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Z:\ЭКОНОМИСТ\1. ПФХД\2024\6. ПФХД от 15.07.2024\"/>
    </mc:Choice>
  </mc:AlternateContent>
  <xr:revisionPtr revIDLastSave="0" documentId="13_ncr:1_{1394E2BE-ED27-42D0-9CEE-B8B3A95CD978}" xr6:coauthVersionLast="47" xr6:coauthVersionMax="47" xr10:uidLastSave="{00000000-0000-0000-0000-000000000000}"/>
  <bookViews>
    <workbookView xWindow="-108" yWindow="-108" windowWidth="23256" windowHeight="12576" tabRatio="963" firstSheet="4" activeTab="13" xr2:uid="{00000000-000D-0000-FFFF-FFFF00000000}"/>
  </bookViews>
  <sheets>
    <sheet name="Стр.1" sheetId="30" r:id="rId1"/>
    <sheet name="Раздел 1" sheetId="31" r:id="rId2"/>
    <sheet name="Раздел 2" sheetId="32" r:id="rId3"/>
    <sheet name="Раздел 3" sheetId="33" r:id="rId4"/>
    <sheet name="Раздел 4" sheetId="34" r:id="rId5"/>
    <sheet name=" доходов 2024" sheetId="35" r:id="rId6"/>
    <sheet name=" доходов 2025" sheetId="36" r:id="rId7"/>
    <sheet name=" доходов 2026" sheetId="37" r:id="rId8"/>
    <sheet name=" расходов ФОТ 2024" sheetId="38" r:id="rId9"/>
    <sheet name=" расходов ФОТ 2025" sheetId="39" r:id="rId10"/>
    <sheet name=" расходов ФОТ 2026" sheetId="40" r:id="rId11"/>
    <sheet name=" расходов 2024" sheetId="41" r:id="rId12"/>
    <sheet name=" расходов 2025" sheetId="42" r:id="rId13"/>
    <sheet name=" расходов 2026" sheetId="43" r:id="rId14"/>
  </sheets>
  <externalReferences>
    <externalReference r:id="rId15"/>
    <externalReference r:id="rId16"/>
  </externalReferences>
  <definedNames>
    <definedName name="_xlnm.Print_Area" localSheetId="5">' доходов 2024'!$A$1:$CS$142</definedName>
    <definedName name="_xlnm.Print_Area" localSheetId="6">' доходов 2025'!$A$1:$CS$110</definedName>
    <definedName name="_xlnm.Print_Area" localSheetId="7">' доходов 2026'!$A$1:$CS$110</definedName>
    <definedName name="_xlnm.Print_Area" localSheetId="11">' расходов 2024'!$A$1:$CZ$947</definedName>
    <definedName name="_xlnm.Print_Area" localSheetId="12">' расходов 2025'!$A$1:$CZ$915</definedName>
    <definedName name="_xlnm.Print_Area" localSheetId="13">' расходов 2026'!$A$1:$DQ$915</definedName>
    <definedName name="_xlnm.Print_Area" localSheetId="8">' расходов ФОТ 2024'!$A$1:$FK$86</definedName>
    <definedName name="_xlnm.Print_Area" localSheetId="9">' расходов ФОТ 2025'!$A$1:$FJ$82</definedName>
    <definedName name="_xlnm.Print_Area" localSheetId="10">' расходов ФОТ 2026'!$A$1:$FJ$83</definedName>
    <definedName name="_xlnm.Print_Area" localSheetId="1">'Раздел 1'!$A$1:$J$186</definedName>
    <definedName name="_xlnm.Print_Area" localSheetId="2">'Раздел 2'!$A$1:$L$55</definedName>
    <definedName name="_xlnm.Print_Area" localSheetId="3">'Раздел 3'!$A$1:$I$61</definedName>
    <definedName name="_xlnm.Print_Area" localSheetId="4">'Раздел 4'!$A$1:$D$28</definedName>
    <definedName name="_xlnm.Print_Area" localSheetId="0">Стр.1!$A$1:$DD$32</definedName>
  </definedNames>
  <calcPr calcId="191029"/>
</workbook>
</file>

<file path=xl/calcChain.xml><?xml version="1.0" encoding="utf-8"?>
<calcChain xmlns="http://schemas.openxmlformats.org/spreadsheetml/2006/main">
  <c r="CI494" i="41" l="1"/>
  <c r="CI569" i="41"/>
  <c r="CI486" i="41"/>
  <c r="I32" i="32"/>
  <c r="I6" i="32"/>
  <c r="CL175" i="41"/>
  <c r="CI912" i="43"/>
  <c r="CI915" i="43"/>
  <c r="I144" i="31"/>
  <c r="I85" i="31"/>
  <c r="I202" i="31"/>
  <c r="I87" i="31" l="1"/>
  <c r="I142" i="31" l="1"/>
  <c r="FP54" i="38" l="1"/>
  <c r="ET82" i="38"/>
  <c r="AT80" i="38"/>
  <c r="ED80" i="38" s="1"/>
  <c r="CL157" i="41"/>
  <c r="CL152" i="41"/>
  <c r="DN80" i="38" l="1"/>
  <c r="ET80" i="38" s="1"/>
  <c r="I10" i="32" l="1"/>
  <c r="I14" i="32"/>
  <c r="I25" i="32"/>
  <c r="CK432" i="41" l="1"/>
  <c r="DB422" i="41"/>
  <c r="CI870" i="41"/>
  <c r="CI750" i="41"/>
  <c r="BS585" i="41" l="1"/>
  <c r="G20" i="31" l="1"/>
  <c r="CD142" i="35"/>
  <c r="G16" i="31" s="1"/>
  <c r="BS945" i="41"/>
  <c r="G41" i="31" l="1"/>
  <c r="AV125" i="35"/>
  <c r="BS492" i="41"/>
  <c r="BS642" i="41" l="1"/>
  <c r="BS649" i="41"/>
  <c r="BS650" i="41"/>
  <c r="BS621" i="41"/>
  <c r="BS622" i="41"/>
  <c r="BS645" i="41"/>
  <c r="BS639" i="41"/>
  <c r="BS661" i="41"/>
  <c r="CI566" i="41"/>
  <c r="CI669" i="41"/>
  <c r="AO945" i="41" l="1"/>
  <c r="BS660" i="41" l="1"/>
  <c r="BS659" i="41"/>
  <c r="BS658" i="41"/>
  <c r="BS657" i="41"/>
  <c r="BS656" i="41"/>
  <c r="BS655" i="41"/>
  <c r="DA491" i="41" l="1"/>
  <c r="H9" i="33"/>
  <c r="G9" i="33"/>
  <c r="H10" i="33"/>
  <c r="G10" i="33"/>
  <c r="CV18" i="40"/>
  <c r="CV18" i="39"/>
  <c r="I150" i="31"/>
  <c r="H150" i="31"/>
  <c r="H142" i="31"/>
  <c r="CI889" i="41"/>
  <c r="CI839" i="41"/>
  <c r="CI728" i="41"/>
  <c r="CI714" i="41"/>
  <c r="CI618" i="41"/>
  <c r="CK318" i="41"/>
  <c r="CK313" i="41"/>
  <c r="BS446" i="41"/>
  <c r="CK319" i="41" l="1"/>
  <c r="BS663" i="41" l="1"/>
  <c r="BS474" i="41"/>
  <c r="I16" i="32"/>
  <c r="CI489" i="41"/>
  <c r="CI572" i="41"/>
  <c r="CI667" i="41"/>
  <c r="BS582" i="41"/>
  <c r="BS465" i="41"/>
  <c r="BQ66" i="41"/>
  <c r="I161" i="31"/>
  <c r="CI484" i="43"/>
  <c r="BS913" i="43"/>
  <c r="CI454" i="43"/>
  <c r="AO406" i="43"/>
  <c r="BC913" i="43"/>
  <c r="H161" i="31"/>
  <c r="CI554" i="42"/>
  <c r="BS913" i="42"/>
  <c r="BC913" i="42"/>
  <c r="CI456" i="42"/>
  <c r="AO406" i="42"/>
  <c r="CI914" i="42"/>
  <c r="CI880" i="42"/>
  <c r="CI877" i="42"/>
  <c r="CI874" i="42"/>
  <c r="CI871" i="42"/>
  <c r="CI860" i="42"/>
  <c r="BC859" i="42"/>
  <c r="BS859" i="42" s="1"/>
  <c r="CI856" i="42"/>
  <c r="CI855" i="42"/>
  <c r="CI854" i="42"/>
  <c r="CI853" i="42"/>
  <c r="CI852" i="42"/>
  <c r="CI851" i="42"/>
  <c r="CI850" i="42"/>
  <c r="CI849" i="42"/>
  <c r="CI848" i="42"/>
  <c r="CI847" i="42"/>
  <c r="CI846" i="42"/>
  <c r="CI845" i="42"/>
  <c r="CI844" i="42"/>
  <c r="BS841" i="42"/>
  <c r="BS840" i="42"/>
  <c r="BS839" i="42"/>
  <c r="BS838" i="42"/>
  <c r="BS836" i="42"/>
  <c r="BS834" i="42"/>
  <c r="BS833" i="42"/>
  <c r="BS832" i="42"/>
  <c r="BS831" i="42"/>
  <c r="CI830" i="42"/>
  <c r="BC830" i="42"/>
  <c r="BS823" i="42"/>
  <c r="BS822" i="42"/>
  <c r="BS821" i="42"/>
  <c r="BS820" i="42"/>
  <c r="BS819" i="42"/>
  <c r="BS818" i="42"/>
  <c r="BS817" i="42"/>
  <c r="BS816" i="42"/>
  <c r="BS815" i="42"/>
  <c r="BS814" i="42"/>
  <c r="BS813" i="42"/>
  <c r="BS812" i="42"/>
  <c r="BS811" i="42"/>
  <c r="BS810" i="42"/>
  <c r="BS809" i="42"/>
  <c r="BS808" i="42"/>
  <c r="CI807" i="42"/>
  <c r="BC807" i="42"/>
  <c r="BS805" i="42"/>
  <c r="BS797" i="42"/>
  <c r="BS796" i="42"/>
  <c r="BS795" i="42"/>
  <c r="BS794" i="42"/>
  <c r="BS793" i="42"/>
  <c r="BS792" i="42"/>
  <c r="BS791" i="42"/>
  <c r="BS790" i="42"/>
  <c r="BS789" i="42"/>
  <c r="BS788" i="42"/>
  <c r="BC787" i="42"/>
  <c r="BS739" i="42"/>
  <c r="BC734" i="42"/>
  <c r="BS734" i="42" s="1"/>
  <c r="BS732" i="42"/>
  <c r="BC730" i="42"/>
  <c r="BS730" i="42" s="1"/>
  <c r="BC728" i="42"/>
  <c r="BS728" i="42" s="1"/>
  <c r="BS726" i="42"/>
  <c r="BS724" i="42"/>
  <c r="BS722" i="42"/>
  <c r="BS720" i="42"/>
  <c r="BC718" i="42"/>
  <c r="BS718" i="42" s="1"/>
  <c r="BC716" i="42"/>
  <c r="BS716" i="42" s="1"/>
  <c r="BS714" i="42"/>
  <c r="CI711" i="42"/>
  <c r="BS711" i="42" s="1"/>
  <c r="BS709" i="42"/>
  <c r="BS708" i="42"/>
  <c r="BS707" i="42"/>
  <c r="BS696" i="42" s="1"/>
  <c r="BS706" i="42"/>
  <c r="BS705" i="42"/>
  <c r="BS703" i="42"/>
  <c r="BS701" i="42"/>
  <c r="BS700" i="42"/>
  <c r="BS699" i="42"/>
  <c r="BC698" i="42"/>
  <c r="BS698" i="42" s="1"/>
  <c r="BS697" i="42"/>
  <c r="CI696" i="42"/>
  <c r="BS695" i="42"/>
  <c r="BS694" i="42"/>
  <c r="BS693" i="42"/>
  <c r="BS692" i="42"/>
  <c r="BS691" i="42"/>
  <c r="BS690" i="42"/>
  <c r="BS689" i="42"/>
  <c r="BS688" i="42"/>
  <c r="BS687" i="42"/>
  <c r="BS686" i="42"/>
  <c r="BS685" i="42"/>
  <c r="BS684" i="42"/>
  <c r="BS683" i="42"/>
  <c r="CI682" i="42"/>
  <c r="BC682" i="42"/>
  <c r="BS680" i="42"/>
  <c r="CI661" i="42"/>
  <c r="BC661" i="42"/>
  <c r="CI659" i="42"/>
  <c r="CI641" i="42"/>
  <c r="CI640" i="42"/>
  <c r="CI639" i="42"/>
  <c r="CI638" i="42"/>
  <c r="CI637" i="42"/>
  <c r="CI636" i="42"/>
  <c r="CI635" i="42"/>
  <c r="CI634" i="42"/>
  <c r="CI633" i="42"/>
  <c r="CI632" i="42"/>
  <c r="CI631" i="42"/>
  <c r="CI630" i="42"/>
  <c r="CI629" i="42"/>
  <c r="CI628" i="42"/>
  <c r="CI627" i="42"/>
  <c r="CI626" i="42"/>
  <c r="CI625" i="42"/>
  <c r="CI624" i="42"/>
  <c r="CI623" i="42"/>
  <c r="CI622" i="42"/>
  <c r="CI621" i="42"/>
  <c r="CI620" i="42"/>
  <c r="CI619" i="42"/>
  <c r="CI617" i="42"/>
  <c r="BS594" i="42"/>
  <c r="CI591" i="42"/>
  <c r="CI590" i="42"/>
  <c r="CI589" i="42"/>
  <c r="CI588" i="42"/>
  <c r="CI587" i="42"/>
  <c r="CI585" i="42"/>
  <c r="CI584" i="42"/>
  <c r="CI583" i="42"/>
  <c r="CI582" i="42"/>
  <c r="CI581" i="42"/>
  <c r="CI571" i="42"/>
  <c r="CI561" i="42"/>
  <c r="CI556" i="42"/>
  <c r="CI550" i="42"/>
  <c r="CI501" i="42"/>
  <c r="DA498" i="42"/>
  <c r="BS498" i="42"/>
  <c r="BS497" i="42"/>
  <c r="BS496" i="42"/>
  <c r="BS495" i="42"/>
  <c r="BS494" i="42"/>
  <c r="BS493" i="42"/>
  <c r="BS492" i="42"/>
  <c r="BS491" i="42"/>
  <c r="DA490" i="42"/>
  <c r="BS490" i="42"/>
  <c r="CI488" i="42"/>
  <c r="BS487" i="42"/>
  <c r="BS486" i="42"/>
  <c r="BS485" i="42"/>
  <c r="BS484" i="42"/>
  <c r="BS483" i="42"/>
  <c r="CI480" i="42"/>
  <c r="CI479" i="42"/>
  <c r="CI478" i="42"/>
  <c r="CI477" i="42"/>
  <c r="CI476" i="42"/>
  <c r="CI475" i="42"/>
  <c r="CI474" i="42"/>
  <c r="CI473" i="42"/>
  <c r="CI472" i="42"/>
  <c r="CI471" i="42"/>
  <c r="CI470" i="42"/>
  <c r="CI469" i="42"/>
  <c r="CI468" i="42"/>
  <c r="CI467" i="42"/>
  <c r="CI466" i="42"/>
  <c r="BS465" i="42"/>
  <c r="CI464" i="42"/>
  <c r="CI463" i="42"/>
  <c r="CI462" i="42"/>
  <c r="CI461" i="42"/>
  <c r="CI460" i="42"/>
  <c r="CI459" i="42"/>
  <c r="CI458" i="42"/>
  <c r="CI457" i="42"/>
  <c r="CI455" i="42"/>
  <c r="BS454" i="42"/>
  <c r="CI453" i="42"/>
  <c r="CI452" i="42"/>
  <c r="CI451" i="42"/>
  <c r="CI450" i="42"/>
  <c r="CI449" i="42"/>
  <c r="CI448" i="42"/>
  <c r="CI447" i="42"/>
  <c r="CI446" i="42"/>
  <c r="CI445" i="42"/>
  <c r="CI444" i="42"/>
  <c r="CI443" i="42"/>
  <c r="CI442" i="42"/>
  <c r="CI441" i="42"/>
  <c r="CK430" i="42"/>
  <c r="CK429" i="42"/>
  <c r="CK428" i="42"/>
  <c r="CK411" i="42"/>
  <c r="CK410" i="42"/>
  <c r="CK409" i="42"/>
  <c r="CK405" i="42"/>
  <c r="CK404" i="42"/>
  <c r="CK403" i="42"/>
  <c r="CK393" i="42"/>
  <c r="CK384" i="42"/>
  <c r="CK388" i="42" s="1"/>
  <c r="CK368" i="42"/>
  <c r="CK367" i="42"/>
  <c r="CK366" i="42"/>
  <c r="CK365" i="42"/>
  <c r="CK364" i="42"/>
  <c r="CK360" i="42"/>
  <c r="CK359" i="42"/>
  <c r="CK358" i="42"/>
  <c r="CK357" i="42"/>
  <c r="CK356" i="42"/>
  <c r="CK355" i="42"/>
  <c r="CI343" i="42"/>
  <c r="CI344" i="42" s="1"/>
  <c r="BS342" i="42"/>
  <c r="CK318" i="42"/>
  <c r="BU317" i="42"/>
  <c r="BU316" i="42"/>
  <c r="BU315" i="42"/>
  <c r="CK313" i="42"/>
  <c r="CK319" i="42" s="1"/>
  <c r="BU312" i="42"/>
  <c r="BU311" i="42"/>
  <c r="BU310" i="42"/>
  <c r="BU309" i="42"/>
  <c r="BU308" i="42"/>
  <c r="CI296" i="42"/>
  <c r="CI297" i="42" s="1"/>
  <c r="CI264" i="42"/>
  <c r="CI265" i="42" s="1"/>
  <c r="CI269" i="42" s="1"/>
  <c r="CI253" i="42"/>
  <c r="CI252" i="42"/>
  <c r="CI249" i="42"/>
  <c r="CI248" i="42"/>
  <c r="CI247" i="42"/>
  <c r="CI246" i="42"/>
  <c r="CI245" i="42"/>
  <c r="CI229" i="42"/>
  <c r="CI230" i="42" s="1"/>
  <c r="CI234" i="42" s="1"/>
  <c r="CI228" i="42"/>
  <c r="CI212" i="42"/>
  <c r="CI213" i="42" s="1"/>
  <c r="CI217" i="42" s="1"/>
  <c r="CI201" i="42"/>
  <c r="CI202" i="42" s="1"/>
  <c r="CI203" i="42" s="1"/>
  <c r="CI190" i="42"/>
  <c r="CI186" i="42"/>
  <c r="DA185" i="42"/>
  <c r="BC184" i="42"/>
  <c r="CL162" i="42"/>
  <c r="CL141" i="42"/>
  <c r="BV138" i="42"/>
  <c r="CL138" i="42" s="1"/>
  <c r="BV135" i="42"/>
  <c r="CL135" i="42" s="1"/>
  <c r="CL132" i="42"/>
  <c r="BV130" i="42"/>
  <c r="CL130" i="42" s="1"/>
  <c r="CL123" i="42"/>
  <c r="CL122" i="42" s="1"/>
  <c r="CL120" i="42"/>
  <c r="BV118" i="42"/>
  <c r="CL118" i="42" s="1"/>
  <c r="CL117" i="42" s="1"/>
  <c r="CL127" i="42" s="1"/>
  <c r="CL111" i="42"/>
  <c r="CL110" i="42" s="1"/>
  <c r="CL108" i="42"/>
  <c r="BV106" i="42"/>
  <c r="CL106" i="42" s="1"/>
  <c r="CI94" i="42"/>
  <c r="CI95" i="42" s="1"/>
  <c r="CI96" i="42" s="1"/>
  <c r="DA97" i="42" s="1"/>
  <c r="CI84" i="42"/>
  <c r="CI85" i="42" s="1"/>
  <c r="DA85" i="42" s="1"/>
  <c r="CI72" i="42"/>
  <c r="CI71" i="42"/>
  <c r="CI70" i="42"/>
  <c r="CI69" i="42"/>
  <c r="CI66" i="42"/>
  <c r="CI65" i="42"/>
  <c r="CI41" i="42"/>
  <c r="CI45" i="42" s="1"/>
  <c r="CI27" i="42"/>
  <c r="CI31" i="42" s="1"/>
  <c r="CI15" i="42"/>
  <c r="CI14" i="42"/>
  <c r="CI11" i="42"/>
  <c r="CI10" i="42"/>
  <c r="CI9" i="42"/>
  <c r="DA3" i="42"/>
  <c r="CI913" i="42" l="1"/>
  <c r="CI254" i="42"/>
  <c r="CI67" i="42"/>
  <c r="CL105" i="42"/>
  <c r="CL115" i="42" s="1"/>
  <c r="CL143" i="42" s="1"/>
  <c r="CL134" i="42"/>
  <c r="BC696" i="42"/>
  <c r="CI16" i="42"/>
  <c r="BS830" i="42"/>
  <c r="CL129" i="42"/>
  <c r="CK394" i="42"/>
  <c r="CK431" i="42"/>
  <c r="CI481" i="42"/>
  <c r="CI502" i="42" s="1"/>
  <c r="BS807" i="42"/>
  <c r="CI881" i="42"/>
  <c r="CI642" i="42"/>
  <c r="DA650" i="42" s="1"/>
  <c r="BS682" i="42"/>
  <c r="CI12" i="42"/>
  <c r="CK426" i="42"/>
  <c r="CK432" i="42" s="1"/>
  <c r="CI73" i="42"/>
  <c r="CI74" i="42" s="1"/>
  <c r="CK370" i="42"/>
  <c r="CI857" i="42"/>
  <c r="CI572" i="42"/>
  <c r="CI736" i="42"/>
  <c r="CI592" i="42"/>
  <c r="CI250" i="42"/>
  <c r="CK412" i="42"/>
  <c r="CK407" i="42"/>
  <c r="CK361" i="42"/>
  <c r="CI842" i="42"/>
  <c r="CI255" i="42" l="1"/>
  <c r="CK413" i="42"/>
  <c r="CI17" i="42"/>
  <c r="DA17" i="42" s="1"/>
  <c r="CK371" i="42"/>
  <c r="CI650" i="42"/>
  <c r="AO912" i="42"/>
  <c r="AO915" i="42" s="1"/>
  <c r="CI861" i="42"/>
  <c r="BC912" i="42"/>
  <c r="BC915" i="42" s="1"/>
  <c r="BS912" i="42"/>
  <c r="BS915" i="42" s="1"/>
  <c r="CI912" i="42" l="1"/>
  <c r="CI915" i="42" s="1"/>
  <c r="CK355" i="43"/>
  <c r="CK355" i="41"/>
  <c r="CI673" i="41" l="1"/>
  <c r="BS672" i="41"/>
  <c r="BS670" i="41"/>
  <c r="BS671" i="41"/>
  <c r="BS669" i="41"/>
  <c r="CI771" i="41"/>
  <c r="BC819" i="41"/>
  <c r="BS820" i="41"/>
  <c r="BS819" i="41" s="1"/>
  <c r="CI766" i="41"/>
  <c r="CI902" i="41"/>
  <c r="CI229" i="41"/>
  <c r="CK358" i="41"/>
  <c r="CK360" i="41"/>
  <c r="CK357" i="41"/>
  <c r="CK411" i="41"/>
  <c r="CK410" i="41"/>
  <c r="CK409" i="41"/>
  <c r="AO406" i="41"/>
  <c r="CK405" i="41"/>
  <c r="CK404" i="41"/>
  <c r="CK403" i="41"/>
  <c r="CK393" i="41"/>
  <c r="CK384" i="41"/>
  <c r="CK388" i="41" s="1"/>
  <c r="CK368" i="41"/>
  <c r="CK367" i="41"/>
  <c r="CK366" i="41"/>
  <c r="CK365" i="41"/>
  <c r="CK364" i="41"/>
  <c r="CK359" i="41"/>
  <c r="CK356" i="41"/>
  <c r="CK407" i="41" l="1"/>
  <c r="CK370" i="41"/>
  <c r="CK361" i="41"/>
  <c r="CK426" i="41"/>
  <c r="CK412" i="41"/>
  <c r="CK394" i="41"/>
  <c r="CK413" i="41" l="1"/>
  <c r="CK433" i="41"/>
  <c r="CK371" i="41"/>
  <c r="AV84" i="35"/>
  <c r="I21" i="32" l="1"/>
  <c r="G182" i="31"/>
  <c r="I15" i="32" l="1"/>
  <c r="I40" i="32"/>
  <c r="I45" i="32"/>
  <c r="H144" i="31"/>
  <c r="CI914" i="43"/>
  <c r="CI264" i="43"/>
  <c r="CI229" i="43"/>
  <c r="CI249" i="41"/>
  <c r="H120" i="31" l="1"/>
  <c r="H85" i="31" s="1"/>
  <c r="V6" i="33"/>
  <c r="W6" i="33"/>
  <c r="U7" i="33"/>
  <c r="V7" i="33"/>
  <c r="W7" i="33"/>
  <c r="F10" i="33" l="1"/>
  <c r="F9" i="33"/>
  <c r="CV18" i="38"/>
  <c r="CI587" i="41" l="1"/>
  <c r="CI342" i="41"/>
  <c r="H48" i="33"/>
  <c r="G48" i="33"/>
  <c r="F48" i="33"/>
  <c r="FO59" i="38"/>
  <c r="FO58" i="38"/>
  <c r="FO54" i="38"/>
  <c r="FP17" i="38"/>
  <c r="FN15" i="38"/>
  <c r="AT60" i="38"/>
  <c r="AT59" i="38"/>
  <c r="AT58" i="38"/>
  <c r="AT57" i="38"/>
  <c r="AT56" i="38"/>
  <c r="AT55" i="38"/>
  <c r="AT54" i="38"/>
  <c r="AT53" i="38"/>
  <c r="AT52" i="38"/>
  <c r="AT51" i="38"/>
  <c r="AT50" i="38"/>
  <c r="AT49" i="38"/>
  <c r="AT48" i="38"/>
  <c r="AT47" i="38"/>
  <c r="DN47" i="38" s="1"/>
  <c r="AT46" i="38"/>
  <c r="AT45" i="38"/>
  <c r="AT44" i="38"/>
  <c r="AT43" i="38"/>
  <c r="DN43" i="38" s="1"/>
  <c r="AT42" i="38"/>
  <c r="AT41" i="38"/>
  <c r="AT38" i="38"/>
  <c r="AT37" i="38"/>
  <c r="AT36" i="38"/>
  <c r="AT35" i="38"/>
  <c r="AT34" i="38"/>
  <c r="AT33" i="38"/>
  <c r="DN33" i="38" s="1"/>
  <c r="AT32" i="38"/>
  <c r="AT29" i="38"/>
  <c r="DN29" i="38" s="1"/>
  <c r="AT28" i="38"/>
  <c r="AT27" i="38"/>
  <c r="DN27" i="38" s="1"/>
  <c r="AT26" i="38"/>
  <c r="AT25" i="38"/>
  <c r="DN25" i="38" s="1"/>
  <c r="AT24" i="38"/>
  <c r="AT23" i="38"/>
  <c r="DN23" i="38" s="1"/>
  <c r="AT22" i="38"/>
  <c r="AT21" i="38"/>
  <c r="DN21" i="38" s="1"/>
  <c r="AT20" i="38"/>
  <c r="DN20" i="38" s="1"/>
  <c r="AT19" i="38"/>
  <c r="AT18" i="38"/>
  <c r="F6" i="33"/>
  <c r="F7" i="33" s="1"/>
  <c r="DN18" i="38" l="1"/>
  <c r="ED18" i="38"/>
  <c r="ET18" i="38" s="1"/>
  <c r="DN19" i="38"/>
  <c r="ED19" i="38"/>
  <c r="DN22" i="38"/>
  <c r="ED22" i="38"/>
  <c r="DN24" i="38"/>
  <c r="ED24" i="38"/>
  <c r="DN26" i="38"/>
  <c r="ED26" i="38"/>
  <c r="ET26" i="38" s="1"/>
  <c r="DN28" i="38"/>
  <c r="ED28" i="38"/>
  <c r="ET28" i="38" s="1"/>
  <c r="DN35" i="38"/>
  <c r="ED35" i="38"/>
  <c r="DN37" i="38"/>
  <c r="ED37" i="38"/>
  <c r="DN41" i="38"/>
  <c r="ED41" i="38"/>
  <c r="DN45" i="38"/>
  <c r="ED45" i="38"/>
  <c r="DN49" i="38"/>
  <c r="ED49" i="38"/>
  <c r="DN51" i="38"/>
  <c r="ED51" i="38"/>
  <c r="DN53" i="38"/>
  <c r="ED53" i="38"/>
  <c r="DN55" i="38"/>
  <c r="ED55" i="38"/>
  <c r="DN57" i="38"/>
  <c r="ED57" i="38"/>
  <c r="DN59" i="38"/>
  <c r="ED59" i="38"/>
  <c r="ED47" i="38"/>
  <c r="ET47" i="38" s="1"/>
  <c r="ED43" i="38"/>
  <c r="ET43" i="38" s="1"/>
  <c r="ED25" i="38"/>
  <c r="ET25" i="38"/>
  <c r="ED27" i="38"/>
  <c r="ET27" i="38" s="1"/>
  <c r="ED29" i="38"/>
  <c r="ET29" i="38" s="1"/>
  <c r="ED23" i="38"/>
  <c r="ET23" i="38" s="1"/>
  <c r="ED21" i="38"/>
  <c r="ET21" i="38" s="1"/>
  <c r="ED20" i="38"/>
  <c r="ET20" i="38" s="1"/>
  <c r="ED33" i="38"/>
  <c r="ET33" i="38" s="1"/>
  <c r="DN42" i="38"/>
  <c r="DN44" i="38"/>
  <c r="DN46" i="38"/>
  <c r="DN48" i="38"/>
  <c r="DN50" i="38"/>
  <c r="DN52" i="38"/>
  <c r="DN54" i="38"/>
  <c r="DN56" i="38"/>
  <c r="DN58" i="38"/>
  <c r="DN60" i="38"/>
  <c r="ED42" i="38"/>
  <c r="ED44" i="38"/>
  <c r="ED46" i="38"/>
  <c r="ED48" i="38"/>
  <c r="ED50" i="38"/>
  <c r="ED52" i="38"/>
  <c r="ED54" i="38"/>
  <c r="ED56" i="38"/>
  <c r="ED58" i="38"/>
  <c r="ED60" i="38"/>
  <c r="DN32" i="38"/>
  <c r="DN34" i="38"/>
  <c r="DN36" i="38"/>
  <c r="DN38" i="38"/>
  <c r="ED32" i="38"/>
  <c r="ED34" i="38"/>
  <c r="ED36" i="38"/>
  <c r="ET36" i="38" s="1"/>
  <c r="ED38" i="38"/>
  <c r="ET38" i="38" l="1"/>
  <c r="ET24" i="38"/>
  <c r="ET52" i="38"/>
  <c r="ET50" i="38"/>
  <c r="ET34" i="38"/>
  <c r="ET32" i="38"/>
  <c r="ET60" i="38"/>
  <c r="ET58" i="38"/>
  <c r="ET56" i="38"/>
  <c r="ET54" i="38"/>
  <c r="ET48" i="38"/>
  <c r="ET46" i="38"/>
  <c r="ET44" i="38"/>
  <c r="ET42" i="38"/>
  <c r="ET59" i="38"/>
  <c r="ET57" i="38"/>
  <c r="ET55" i="38"/>
  <c r="ET53" i="38"/>
  <c r="ET51" i="38"/>
  <c r="ET49" i="38"/>
  <c r="ET45" i="38"/>
  <c r="ET41" i="38"/>
  <c r="ET37" i="38"/>
  <c r="ET35" i="38"/>
  <c r="ET22" i="38"/>
  <c r="ET19" i="38"/>
  <c r="FO17" i="38" s="1"/>
  <c r="CI912" i="41"/>
  <c r="CI213" i="41"/>
  <c r="BS878" i="41"/>
  <c r="G114" i="31" l="1"/>
  <c r="ET61" i="38"/>
  <c r="FP58" i="38"/>
  <c r="ET39" i="38"/>
  <c r="FN14" i="38"/>
  <c r="BS877" i="41"/>
  <c r="BC876" i="41"/>
  <c r="BS623" i="41"/>
  <c r="BS624" i="41"/>
  <c r="BS625" i="41"/>
  <c r="BS626" i="41"/>
  <c r="BS627" i="41"/>
  <c r="BS628" i="41"/>
  <c r="BS629" i="41"/>
  <c r="BS630" i="41"/>
  <c r="BS631" i="41"/>
  <c r="BS632" i="41"/>
  <c r="BS633" i="41"/>
  <c r="BS634" i="41"/>
  <c r="BS635" i="41"/>
  <c r="BS637" i="41"/>
  <c r="BS638" i="41"/>
  <c r="BS640" i="41"/>
  <c r="BS641" i="41"/>
  <c r="BS643" i="41"/>
  <c r="BS644" i="41"/>
  <c r="BS647" i="41"/>
  <c r="BS648" i="41"/>
  <c r="BS651" i="41"/>
  <c r="BS652" i="41"/>
  <c r="BS653" i="41"/>
  <c r="BS654" i="41"/>
  <c r="BS662" i="41"/>
  <c r="BS664" i="41"/>
  <c r="BS665" i="41"/>
  <c r="BS666" i="41"/>
  <c r="BS667" i="41"/>
  <c r="BS668" i="41"/>
  <c r="BS620" i="41"/>
  <c r="CI674" i="41" l="1"/>
  <c r="BS636" i="41"/>
  <c r="CI500" i="41"/>
  <c r="DA499" i="41" l="1"/>
  <c r="CI502" i="41"/>
  <c r="BS500" i="41"/>
  <c r="BS212" i="41"/>
  <c r="BQ72" i="41"/>
  <c r="BQ70" i="41"/>
  <c r="BQ69" i="41"/>
  <c r="AV91" i="35" l="1"/>
  <c r="CK404" i="43" l="1"/>
  <c r="F56" i="33"/>
  <c r="F57" i="33"/>
  <c r="K32" i="32"/>
  <c r="J32" i="32"/>
  <c r="E10" i="34"/>
  <c r="E8" i="34"/>
  <c r="E5" i="34"/>
  <c r="H53" i="33" l="1"/>
  <c r="G53" i="33"/>
  <c r="K14" i="32"/>
  <c r="J45" i="32"/>
  <c r="I44" i="32"/>
  <c r="P40" i="32" s="1"/>
  <c r="Q5" i="32" l="1"/>
  <c r="F186" i="31"/>
  <c r="F182" i="31" s="1"/>
  <c r="F181" i="31" s="1"/>
  <c r="E181" i="31"/>
  <c r="D181" i="31"/>
  <c r="D176" i="31"/>
  <c r="F170" i="31"/>
  <c r="E170" i="31"/>
  <c r="F169" i="31"/>
  <c r="E169" i="31"/>
  <c r="D169" i="31"/>
  <c r="F168" i="31"/>
  <c r="D168" i="31"/>
  <c r="F167" i="31"/>
  <c r="E167" i="31"/>
  <c r="D167" i="31"/>
  <c r="F165" i="31"/>
  <c r="E165" i="31"/>
  <c r="F164" i="31"/>
  <c r="E164" i="31"/>
  <c r="D164" i="31"/>
  <c r="F163" i="31"/>
  <c r="D163" i="31"/>
  <c r="F161" i="31"/>
  <c r="F160" i="31"/>
  <c r="E160" i="31"/>
  <c r="D160" i="31"/>
  <c r="F159" i="31"/>
  <c r="E159" i="31"/>
  <c r="D159" i="31"/>
  <c r="F157" i="31"/>
  <c r="E157" i="31"/>
  <c r="D157" i="31"/>
  <c r="F156" i="31"/>
  <c r="E156" i="31"/>
  <c r="D156" i="31"/>
  <c r="F155" i="31"/>
  <c r="F154" i="31"/>
  <c r="E154" i="31"/>
  <c r="D154" i="31"/>
  <c r="F153" i="31"/>
  <c r="F151" i="31"/>
  <c r="E151" i="31"/>
  <c r="D151" i="31"/>
  <c r="F150" i="31"/>
  <c r="F145" i="31"/>
  <c r="E145" i="31"/>
  <c r="D145" i="31"/>
  <c r="F144" i="31"/>
  <c r="E144" i="31"/>
  <c r="D144" i="31"/>
  <c r="F142" i="31"/>
  <c r="O5" i="32" s="1"/>
  <c r="F141" i="31"/>
  <c r="F140" i="31"/>
  <c r="F137" i="31"/>
  <c r="E137" i="31"/>
  <c r="D137" i="31"/>
  <c r="F126" i="31"/>
  <c r="E126" i="31"/>
  <c r="D126" i="31"/>
  <c r="F125" i="31"/>
  <c r="F124" i="31"/>
  <c r="E124" i="31"/>
  <c r="E120" i="31" s="1"/>
  <c r="D124" i="31"/>
  <c r="F122" i="31"/>
  <c r="F121" i="31"/>
  <c r="E121" i="31"/>
  <c r="D121" i="31"/>
  <c r="F120" i="31"/>
  <c r="D120" i="31"/>
  <c r="F118" i="31"/>
  <c r="F114" i="31"/>
  <c r="D114" i="31"/>
  <c r="D110" i="31" s="1"/>
  <c r="F110" i="31"/>
  <c r="E110" i="31"/>
  <c r="F108" i="31"/>
  <c r="E108" i="31"/>
  <c r="F106" i="31"/>
  <c r="F99" i="31"/>
  <c r="E99" i="31"/>
  <c r="E96" i="31" s="1"/>
  <c r="F97" i="31"/>
  <c r="D97" i="31"/>
  <c r="F96" i="31"/>
  <c r="D96" i="31"/>
  <c r="F94" i="31"/>
  <c r="E94" i="31"/>
  <c r="D94" i="31"/>
  <c r="F92" i="31"/>
  <c r="E92" i="31"/>
  <c r="D92" i="31"/>
  <c r="F91" i="31"/>
  <c r="E91" i="31"/>
  <c r="E86" i="31" s="1"/>
  <c r="D91" i="31"/>
  <c r="F90" i="31"/>
  <c r="E90" i="31"/>
  <c r="D90" i="31"/>
  <c r="F87" i="31"/>
  <c r="F86" i="31"/>
  <c r="D86" i="31"/>
  <c r="F85" i="31"/>
  <c r="D85" i="31"/>
  <c r="F83" i="31"/>
  <c r="E83" i="31"/>
  <c r="F82" i="31"/>
  <c r="F80" i="31"/>
  <c r="F78" i="31"/>
  <c r="F75" i="31"/>
  <c r="E70" i="31"/>
  <c r="E68" i="31" s="1"/>
  <c r="F68" i="31"/>
  <c r="D68" i="31"/>
  <c r="D65" i="31"/>
  <c r="D63" i="31" s="1"/>
  <c r="D61" i="31"/>
  <c r="D59" i="31" s="1"/>
  <c r="F59" i="31"/>
  <c r="E59" i="31"/>
  <c r="F58" i="31"/>
  <c r="F54" i="31"/>
  <c r="E54" i="31"/>
  <c r="E52" i="31" s="1"/>
  <c r="F52" i="31"/>
  <c r="F51" i="31"/>
  <c r="E51" i="31"/>
  <c r="D51" i="31"/>
  <c r="D48" i="31" s="1"/>
  <c r="F50" i="31"/>
  <c r="F49" i="31"/>
  <c r="F17" i="31" s="1"/>
  <c r="E49" i="31"/>
  <c r="E17" i="31" s="1"/>
  <c r="F48" i="31"/>
  <c r="F47" i="31"/>
  <c r="D46" i="31"/>
  <c r="F45" i="31"/>
  <c r="E45" i="31"/>
  <c r="F42" i="31"/>
  <c r="D42" i="31"/>
  <c r="F40" i="31"/>
  <c r="F38" i="31"/>
  <c r="D38" i="31"/>
  <c r="D37" i="31" s="1"/>
  <c r="F37" i="31"/>
  <c r="E37" i="31"/>
  <c r="F35" i="31"/>
  <c r="F33" i="31"/>
  <c r="E33" i="31"/>
  <c r="E31" i="31" s="1"/>
  <c r="F31" i="31"/>
  <c r="F30" i="31"/>
  <c r="D30" i="31"/>
  <c r="D27" i="31" s="1"/>
  <c r="F29" i="31"/>
  <c r="E29" i="31"/>
  <c r="E27" i="31" s="1"/>
  <c r="F27" i="31"/>
  <c r="F20" i="31"/>
  <c r="F19" i="31"/>
  <c r="D17" i="31"/>
  <c r="F16" i="31"/>
  <c r="F11" i="31"/>
  <c r="E11" i="31"/>
  <c r="D11" i="31"/>
  <c r="F10" i="31"/>
  <c r="F9" i="31"/>
  <c r="F6" i="31"/>
  <c r="E6" i="31"/>
  <c r="D6" i="31"/>
  <c r="D142" i="31" l="1"/>
  <c r="E150" i="31"/>
  <c r="D20" i="31"/>
  <c r="D150" i="31"/>
  <c r="D87" i="31"/>
  <c r="E87" i="31"/>
  <c r="D19" i="31"/>
  <c r="E118" i="31"/>
  <c r="D118" i="31"/>
  <c r="E142" i="31"/>
  <c r="N5" i="32" s="1"/>
  <c r="D108" i="31"/>
  <c r="D106" i="31" s="1"/>
  <c r="E85" i="31"/>
  <c r="E20" i="31"/>
  <c r="D16" i="31"/>
  <c r="D82" i="31"/>
  <c r="E50" i="31"/>
  <c r="E106" i="31"/>
  <c r="E42" i="31"/>
  <c r="E82" i="31" l="1"/>
  <c r="E19" i="31"/>
  <c r="E48" i="31"/>
  <c r="E16" i="31" s="1"/>
  <c r="H46" i="33" l="1"/>
  <c r="H91" i="31" l="1"/>
  <c r="CI913" i="43"/>
  <c r="CI880" i="43"/>
  <c r="CI877" i="43"/>
  <c r="CI874" i="43"/>
  <c r="CI871" i="43"/>
  <c r="CI860" i="43"/>
  <c r="BC859" i="43"/>
  <c r="BS859" i="43" s="1"/>
  <c r="CI856" i="43"/>
  <c r="CI855" i="43"/>
  <c r="CI854" i="43"/>
  <c r="CI853" i="43"/>
  <c r="CI852" i="43"/>
  <c r="CI851" i="43"/>
  <c r="CI850" i="43"/>
  <c r="CI849" i="43"/>
  <c r="CI848" i="43"/>
  <c r="CI847" i="43"/>
  <c r="CI846" i="43"/>
  <c r="CI845" i="43"/>
  <c r="CI844" i="43"/>
  <c r="DA498" i="43" s="1"/>
  <c r="BS841" i="43"/>
  <c r="BS840" i="43"/>
  <c r="BS839" i="43"/>
  <c r="BS838" i="43"/>
  <c r="BS836" i="43"/>
  <c r="BS834" i="43"/>
  <c r="BS833" i="43"/>
  <c r="BS832" i="43"/>
  <c r="BS831" i="43"/>
  <c r="CI830" i="43"/>
  <c r="BC830" i="43"/>
  <c r="BS823" i="43"/>
  <c r="BS822" i="43"/>
  <c r="BS821" i="43"/>
  <c r="BS820" i="43"/>
  <c r="BS819" i="43"/>
  <c r="BS818" i="43"/>
  <c r="BS817" i="43"/>
  <c r="BS816" i="43"/>
  <c r="BS815" i="43"/>
  <c r="BS814" i="43"/>
  <c r="BS813" i="43"/>
  <c r="BS812" i="43"/>
  <c r="BS811" i="43"/>
  <c r="BS810" i="43"/>
  <c r="BS809" i="43"/>
  <c r="BS808" i="43"/>
  <c r="CI807" i="43"/>
  <c r="BC807" i="43"/>
  <c r="BS805" i="43"/>
  <c r="BS797" i="43"/>
  <c r="BS796" i="43"/>
  <c r="BS795" i="43"/>
  <c r="BS794" i="43"/>
  <c r="BS793" i="43"/>
  <c r="BS792" i="43"/>
  <c r="BS791" i="43"/>
  <c r="BS790" i="43"/>
  <c r="BS789" i="43"/>
  <c r="BS788" i="43"/>
  <c r="CI787" i="43"/>
  <c r="BC787" i="43"/>
  <c r="CI785" i="43"/>
  <c r="CI784" i="43"/>
  <c r="CI783" i="43"/>
  <c r="CI782" i="43"/>
  <c r="CI781" i="43"/>
  <c r="CI780" i="43"/>
  <c r="CI779" i="43"/>
  <c r="CI778" i="43"/>
  <c r="CI777" i="43"/>
  <c r="CI776" i="43"/>
  <c r="CI775" i="43"/>
  <c r="CI774" i="43"/>
  <c r="CI773" i="43"/>
  <c r="CI772" i="43"/>
  <c r="CI771" i="43"/>
  <c r="CI770" i="43"/>
  <c r="CI769" i="43"/>
  <c r="CI768" i="43"/>
  <c r="CI767" i="43"/>
  <c r="CI766" i="43"/>
  <c r="CI765" i="43"/>
  <c r="CI764" i="43"/>
  <c r="CI763" i="43"/>
  <c r="CI762" i="43"/>
  <c r="CI761" i="43"/>
  <c r="CI760" i="43"/>
  <c r="CI759" i="43"/>
  <c r="CI758" i="43"/>
  <c r="CI757" i="43"/>
  <c r="CI756" i="43"/>
  <c r="CI755" i="43"/>
  <c r="CI754" i="43"/>
  <c r="CI753" i="43"/>
  <c r="CI752" i="43"/>
  <c r="CI751" i="43"/>
  <c r="CI750" i="43"/>
  <c r="CI749" i="43"/>
  <c r="CI748" i="43"/>
  <c r="CI747" i="43"/>
  <c r="CI746" i="43"/>
  <c r="CI745" i="43"/>
  <c r="CI744" i="43"/>
  <c r="CI743" i="43"/>
  <c r="CI742" i="43"/>
  <c r="CI741" i="43"/>
  <c r="CI740" i="43"/>
  <c r="BS739" i="43"/>
  <c r="BC734" i="43"/>
  <c r="BS734" i="43" s="1"/>
  <c r="BS732" i="43"/>
  <c r="BC730" i="43"/>
  <c r="BS730" i="43" s="1"/>
  <c r="BC728" i="43"/>
  <c r="BS728" i="43" s="1"/>
  <c r="BS726" i="43"/>
  <c r="BS724" i="43"/>
  <c r="BS722" i="43"/>
  <c r="BS720" i="43"/>
  <c r="BC718" i="43"/>
  <c r="BS718" i="43" s="1"/>
  <c r="BC716" i="43"/>
  <c r="BS716" i="43" s="1"/>
  <c r="BS714" i="43"/>
  <c r="CI711" i="43"/>
  <c r="BS711" i="43" s="1"/>
  <c r="BS709" i="43"/>
  <c r="BS708" i="43"/>
  <c r="BS707" i="43"/>
  <c r="BS696" i="43" s="1"/>
  <c r="BS706" i="43"/>
  <c r="BS705" i="43"/>
  <c r="BS703" i="43"/>
  <c r="BS701" i="43"/>
  <c r="BS700" i="43"/>
  <c r="BS699" i="43"/>
  <c r="BC698" i="43"/>
  <c r="BS698" i="43" s="1"/>
  <c r="BS697" i="43"/>
  <c r="CI696" i="43"/>
  <c r="BS695" i="43"/>
  <c r="BS694" i="43"/>
  <c r="BS693" i="43"/>
  <c r="BS692" i="43"/>
  <c r="BS691" i="43"/>
  <c r="BS690" i="43"/>
  <c r="BS689" i="43"/>
  <c r="BS688" i="43"/>
  <c r="BS687" i="43"/>
  <c r="BS686" i="43"/>
  <c r="BS685" i="43"/>
  <c r="BS684" i="43"/>
  <c r="BS683" i="43"/>
  <c r="CI682" i="43"/>
  <c r="BC682" i="43"/>
  <c r="BS680" i="43"/>
  <c r="CI661" i="43"/>
  <c r="BC661" i="43"/>
  <c r="CI659" i="43"/>
  <c r="CI641" i="43"/>
  <c r="CI640" i="43"/>
  <c r="CI639" i="43"/>
  <c r="CI638" i="43"/>
  <c r="CI637" i="43"/>
  <c r="CI636" i="43"/>
  <c r="CI635" i="43"/>
  <c r="CI634" i="43"/>
  <c r="CI633" i="43"/>
  <c r="CI632" i="43"/>
  <c r="CI631" i="43"/>
  <c r="CI630" i="43"/>
  <c r="CI629" i="43"/>
  <c r="CI628" i="43"/>
  <c r="CI627" i="43"/>
  <c r="CI626" i="43"/>
  <c r="CI625" i="43"/>
  <c r="CI624" i="43"/>
  <c r="CI623" i="43"/>
  <c r="CI622" i="43"/>
  <c r="CI621" i="43"/>
  <c r="CI620" i="43"/>
  <c r="CI619" i="43"/>
  <c r="CI617" i="43"/>
  <c r="BS594" i="43"/>
  <c r="CI591" i="43"/>
  <c r="CI590" i="43"/>
  <c r="CI589" i="43"/>
  <c r="CI588" i="43"/>
  <c r="CI587" i="43"/>
  <c r="CI585" i="43"/>
  <c r="CI584" i="43"/>
  <c r="CI583" i="43"/>
  <c r="CI582" i="43"/>
  <c r="CI581" i="43"/>
  <c r="CI571" i="43"/>
  <c r="CI561" i="43"/>
  <c r="CI556" i="43"/>
  <c r="CI550" i="43"/>
  <c r="CI501" i="43"/>
  <c r="BS498" i="43"/>
  <c r="BS497" i="43"/>
  <c r="BS496" i="43"/>
  <c r="BS495" i="43"/>
  <c r="BS494" i="43"/>
  <c r="BS493" i="43"/>
  <c r="BS492" i="43"/>
  <c r="BS491" i="43"/>
  <c r="DA490" i="43"/>
  <c r="BS490" i="43"/>
  <c r="CI488" i="43"/>
  <c r="BS487" i="43"/>
  <c r="BS486" i="43"/>
  <c r="BS485" i="43"/>
  <c r="BS484" i="43"/>
  <c r="BS483" i="43"/>
  <c r="CI470" i="43"/>
  <c r="CI469" i="43"/>
  <c r="CI468" i="43"/>
  <c r="CI467" i="43"/>
  <c r="CI466" i="43"/>
  <c r="BS465" i="43"/>
  <c r="CI464" i="43"/>
  <c r="CI463" i="43"/>
  <c r="CI462" i="43"/>
  <c r="CI461" i="43"/>
  <c r="CI460" i="43"/>
  <c r="CI459" i="43"/>
  <c r="CI458" i="43"/>
  <c r="CI457" i="43"/>
  <c r="CI456" i="43"/>
  <c r="CI455" i="43"/>
  <c r="BS454" i="43"/>
  <c r="CI453" i="43"/>
  <c r="CI452" i="43"/>
  <c r="CI451" i="43"/>
  <c r="CI450" i="43"/>
  <c r="CI449" i="43"/>
  <c r="CI448" i="43"/>
  <c r="CI447" i="43"/>
  <c r="CI446" i="43"/>
  <c r="CI445" i="43"/>
  <c r="CI444" i="43"/>
  <c r="CI443" i="43"/>
  <c r="CI442" i="43"/>
  <c r="CI441" i="43"/>
  <c r="CK430" i="43"/>
  <c r="CK429" i="43"/>
  <c r="CK428" i="43"/>
  <c r="CK411" i="43"/>
  <c r="CK410" i="43"/>
  <c r="CK409" i="43"/>
  <c r="CK405" i="43"/>
  <c r="CK403" i="43"/>
  <c r="CK393" i="43"/>
  <c r="CK384" i="43"/>
  <c r="CK388" i="43" s="1"/>
  <c r="CK368" i="43"/>
  <c r="CK367" i="43"/>
  <c r="CK366" i="43"/>
  <c r="CK365" i="43"/>
  <c r="CK364" i="43"/>
  <c r="CK360" i="43"/>
  <c r="CK359" i="43"/>
  <c r="CK358" i="43"/>
  <c r="CK357" i="43"/>
  <c r="CK356" i="43"/>
  <c r="CI343" i="43"/>
  <c r="CI344" i="43" s="1"/>
  <c r="BS342" i="43"/>
  <c r="CK318" i="43"/>
  <c r="BU317" i="43"/>
  <c r="BU316" i="43"/>
  <c r="BU315" i="43"/>
  <c r="CK313" i="43"/>
  <c r="BU312" i="43"/>
  <c r="BU311" i="43"/>
  <c r="BU310" i="43"/>
  <c r="BU309" i="43"/>
  <c r="BU308" i="43"/>
  <c r="CI296" i="43"/>
  <c r="CI297" i="43" s="1"/>
  <c r="CI265" i="43"/>
  <c r="CI253" i="43"/>
  <c r="CI252" i="43"/>
  <c r="CI249" i="43"/>
  <c r="CI248" i="43"/>
  <c r="CI247" i="43"/>
  <c r="CI246" i="43"/>
  <c r="CI245" i="43"/>
  <c r="CI228" i="43"/>
  <c r="CI230" i="43" s="1"/>
  <c r="CI234" i="43" s="1"/>
  <c r="CI212" i="43"/>
  <c r="CI213" i="43" s="1"/>
  <c r="CI217" i="43" s="1"/>
  <c r="CI201" i="43"/>
  <c r="CI202" i="43" s="1"/>
  <c r="CI203" i="43" s="1"/>
  <c r="CI186" i="43"/>
  <c r="CI190" i="43" s="1"/>
  <c r="DA185" i="43"/>
  <c r="BC184" i="43"/>
  <c r="CL162" i="43"/>
  <c r="CL141" i="43"/>
  <c r="BV138" i="43"/>
  <c r="CL138" i="43" s="1"/>
  <c r="BV135" i="43"/>
  <c r="CL135" i="43" s="1"/>
  <c r="CL132" i="43"/>
  <c r="BV130" i="43"/>
  <c r="CL130" i="43" s="1"/>
  <c r="CL123" i="43"/>
  <c r="CL122" i="43" s="1"/>
  <c r="CL120" i="43"/>
  <c r="BV118" i="43"/>
  <c r="CL118" i="43" s="1"/>
  <c r="CL111" i="43"/>
  <c r="CL110" i="43" s="1"/>
  <c r="CL108" i="43"/>
  <c r="BV106" i="43"/>
  <c r="CL106" i="43" s="1"/>
  <c r="CI94" i="43"/>
  <c r="CI95" i="43" s="1"/>
  <c r="CI96" i="43" s="1"/>
  <c r="DA97" i="43" s="1"/>
  <c r="CI84" i="43"/>
  <c r="CI85" i="43" s="1"/>
  <c r="DA85" i="43" s="1"/>
  <c r="CI72" i="43"/>
  <c r="CI71" i="43"/>
  <c r="CI70" i="43"/>
  <c r="CI69" i="43"/>
  <c r="CI66" i="43"/>
  <c r="CI65" i="43"/>
  <c r="CI41" i="43"/>
  <c r="CI45" i="43" s="1"/>
  <c r="CI27" i="43"/>
  <c r="CI31" i="43" s="1"/>
  <c r="CI15" i="43"/>
  <c r="CI14" i="43"/>
  <c r="CI11" i="43"/>
  <c r="CI10" i="43"/>
  <c r="CI9" i="43"/>
  <c r="DA3" i="43"/>
  <c r="CI16" i="43" l="1"/>
  <c r="CL105" i="43"/>
  <c r="CL134" i="43"/>
  <c r="CI592" i="43"/>
  <c r="CL117" i="43"/>
  <c r="CL127" i="43" s="1"/>
  <c r="CK361" i="43"/>
  <c r="CI269" i="43"/>
  <c r="CL115" i="43"/>
  <c r="CL143" i="43" s="1"/>
  <c r="CK370" i="43"/>
  <c r="CL129" i="43"/>
  <c r="CK394" i="43"/>
  <c r="CK431" i="43"/>
  <c r="CI736" i="43"/>
  <c r="BS807" i="43"/>
  <c r="BS830" i="43"/>
  <c r="CI250" i="43"/>
  <c r="CK426" i="43"/>
  <c r="BS682" i="43"/>
  <c r="CI67" i="43"/>
  <c r="CI642" i="43"/>
  <c r="DA650" i="43" s="1"/>
  <c r="CK407" i="43"/>
  <c r="CI881" i="43"/>
  <c r="CI857" i="43"/>
  <c r="CI842" i="43"/>
  <c r="CI572" i="43"/>
  <c r="CI481" i="43"/>
  <c r="CI502" i="43" s="1"/>
  <c r="CI254" i="43"/>
  <c r="CI73" i="43"/>
  <c r="CK412" i="43"/>
  <c r="CK319" i="43"/>
  <c r="CI12" i="43"/>
  <c r="BC696" i="43"/>
  <c r="CK432" i="43" l="1"/>
  <c r="BS912" i="43"/>
  <c r="BS915" i="43" s="1"/>
  <c r="CK371" i="43"/>
  <c r="CI255" i="43"/>
  <c r="CI74" i="43"/>
  <c r="CI650" i="43"/>
  <c r="AO912" i="43"/>
  <c r="AO915" i="43" s="1"/>
  <c r="CI861" i="43"/>
  <c r="BC912" i="43"/>
  <c r="BC915" i="43" s="1"/>
  <c r="CK413" i="43"/>
  <c r="CI17" i="43"/>
  <c r="DA17" i="43"/>
  <c r="I82" i="31" l="1"/>
  <c r="I200" i="31" s="1"/>
  <c r="AA157" i="31"/>
  <c r="CI71" i="41" l="1"/>
  <c r="CI73" i="41" s="1"/>
  <c r="FK82" i="40"/>
  <c r="AD81" i="40"/>
  <c r="AD82" i="40" s="1"/>
  <c r="AT80" i="40"/>
  <c r="AT77" i="40"/>
  <c r="ED77" i="40" s="1"/>
  <c r="AT74" i="40"/>
  <c r="ED74" i="40" s="1"/>
  <c r="FK62" i="40"/>
  <c r="AD61" i="40"/>
  <c r="FK60" i="40"/>
  <c r="AT60" i="40"/>
  <c r="ED60" i="40" s="1"/>
  <c r="FO59" i="40"/>
  <c r="AT59" i="40"/>
  <c r="ED59" i="40" s="1"/>
  <c r="FO58" i="40"/>
  <c r="FK58" i="40"/>
  <c r="AT58" i="40"/>
  <c r="DN58" i="40" s="1"/>
  <c r="AT57" i="40"/>
  <c r="ED57" i="40" s="1"/>
  <c r="AT56" i="40"/>
  <c r="DN56" i="40" s="1"/>
  <c r="AT55" i="40"/>
  <c r="ED55" i="40" s="1"/>
  <c r="FO54" i="40"/>
  <c r="FK54" i="40"/>
  <c r="AT54" i="40"/>
  <c r="AT53" i="40"/>
  <c r="ED53" i="40" s="1"/>
  <c r="AT52" i="40"/>
  <c r="AT51" i="40"/>
  <c r="ED51" i="40" s="1"/>
  <c r="AT50" i="40"/>
  <c r="AT49" i="40"/>
  <c r="ED49" i="40" s="1"/>
  <c r="AT48" i="40"/>
  <c r="AT47" i="40"/>
  <c r="ED47" i="40" s="1"/>
  <c r="AT46" i="40"/>
  <c r="AT45" i="40"/>
  <c r="ED45" i="40" s="1"/>
  <c r="AT44" i="40"/>
  <c r="FO43" i="40"/>
  <c r="AT43" i="40"/>
  <c r="ED43" i="40" s="1"/>
  <c r="AT42" i="40"/>
  <c r="AT41" i="40"/>
  <c r="ED41" i="40" s="1"/>
  <c r="AD39" i="40"/>
  <c r="AT38" i="40"/>
  <c r="AT37" i="40"/>
  <c r="AT36" i="40"/>
  <c r="AT35" i="40"/>
  <c r="AT34" i="40"/>
  <c r="AT33" i="40"/>
  <c r="AT32" i="40"/>
  <c r="AD30" i="40"/>
  <c r="AD62" i="40" s="1"/>
  <c r="AT29" i="40"/>
  <c r="DN29" i="40" s="1"/>
  <c r="AT28" i="40"/>
  <c r="ED28" i="40" s="1"/>
  <c r="AT27" i="40"/>
  <c r="DN27" i="40" s="1"/>
  <c r="AT26" i="40"/>
  <c r="ED26" i="40" s="1"/>
  <c r="AT25" i="40"/>
  <c r="DN25" i="40" s="1"/>
  <c r="AT24" i="40"/>
  <c r="ED24" i="40" s="1"/>
  <c r="AT23" i="40"/>
  <c r="DN23" i="40" s="1"/>
  <c r="AT22" i="40"/>
  <c r="ED22" i="40" s="1"/>
  <c r="AT21" i="40"/>
  <c r="DN21" i="40" s="1"/>
  <c r="AT20" i="40"/>
  <c r="AT19" i="40"/>
  <c r="ED19" i="40" s="1"/>
  <c r="AT18" i="40"/>
  <c r="FP17" i="40"/>
  <c r="FN15" i="40"/>
  <c r="FL15" i="40"/>
  <c r="FK82" i="39"/>
  <c r="AD81" i="39"/>
  <c r="AD82" i="39" s="1"/>
  <c r="AT80" i="39"/>
  <c r="AT77" i="39"/>
  <c r="AT74" i="39"/>
  <c r="FK62" i="39"/>
  <c r="AD61" i="39"/>
  <c r="FK60" i="39"/>
  <c r="AT60" i="39"/>
  <c r="ED60" i="39" s="1"/>
  <c r="FO59" i="39"/>
  <c r="AT59" i="39"/>
  <c r="FO58" i="39"/>
  <c r="FK58" i="39"/>
  <c r="AT58" i="39"/>
  <c r="DN58" i="39" s="1"/>
  <c r="AT57" i="39"/>
  <c r="AT56" i="39"/>
  <c r="DN56" i="39" s="1"/>
  <c r="AT55" i="39"/>
  <c r="DN55" i="39" s="1"/>
  <c r="FO54" i="39"/>
  <c r="FK54" i="39"/>
  <c r="AT54" i="39"/>
  <c r="AT53" i="39"/>
  <c r="ED53" i="39" s="1"/>
  <c r="AT52" i="39"/>
  <c r="AT51" i="39"/>
  <c r="ED51" i="39" s="1"/>
  <c r="AT50" i="39"/>
  <c r="AT49" i="39"/>
  <c r="ED49" i="39" s="1"/>
  <c r="AT48" i="39"/>
  <c r="AT47" i="39"/>
  <c r="ED47" i="39" s="1"/>
  <c r="AT46" i="39"/>
  <c r="AT45" i="39"/>
  <c r="ED45" i="39" s="1"/>
  <c r="AT44" i="39"/>
  <c r="FO43" i="39"/>
  <c r="AT43" i="39"/>
  <c r="AT42" i="39"/>
  <c r="DN42" i="39" s="1"/>
  <c r="AT41" i="39"/>
  <c r="AD39" i="39"/>
  <c r="AT38" i="39"/>
  <c r="AT37" i="39"/>
  <c r="AT36" i="39"/>
  <c r="AT35" i="39"/>
  <c r="AT34" i="39"/>
  <c r="AT33" i="39"/>
  <c r="AT32" i="39"/>
  <c r="AD30" i="39"/>
  <c r="AD62" i="39" s="1"/>
  <c r="AT29" i="39"/>
  <c r="DN29" i="39" s="1"/>
  <c r="AT28" i="39"/>
  <c r="AT27" i="39"/>
  <c r="DN27" i="39" s="1"/>
  <c r="AT26" i="39"/>
  <c r="AT25" i="39"/>
  <c r="DN25" i="39" s="1"/>
  <c r="AT24" i="39"/>
  <c r="DN24" i="39" s="1"/>
  <c r="AT23" i="39"/>
  <c r="DN23" i="39" s="1"/>
  <c r="AT22" i="39"/>
  <c r="ED22" i="39" s="1"/>
  <c r="AT21" i="39"/>
  <c r="DN21" i="39" s="1"/>
  <c r="AT20" i="39"/>
  <c r="AT19" i="39"/>
  <c r="ED19" i="39" s="1"/>
  <c r="AT18" i="39"/>
  <c r="FP17" i="39"/>
  <c r="FN15" i="39"/>
  <c r="FL15" i="39"/>
  <c r="FK83" i="38"/>
  <c r="AD82" i="38"/>
  <c r="AD83" i="38" s="1"/>
  <c r="AT81" i="38"/>
  <c r="AT77" i="38"/>
  <c r="AT74" i="38"/>
  <c r="FK62" i="38"/>
  <c r="AD61" i="38"/>
  <c r="FK60" i="38"/>
  <c r="FK58" i="38"/>
  <c r="FK54" i="38"/>
  <c r="AD39" i="38"/>
  <c r="AD30" i="38"/>
  <c r="FL15" i="38"/>
  <c r="E57" i="33"/>
  <c r="E56" i="33"/>
  <c r="D55" i="33"/>
  <c r="C55" i="33"/>
  <c r="E53" i="33"/>
  <c r="E48" i="33"/>
  <c r="C48" i="33"/>
  <c r="G46" i="33"/>
  <c r="F46" i="33"/>
  <c r="E46" i="33"/>
  <c r="D46" i="33"/>
  <c r="C46" i="33"/>
  <c r="E45" i="33"/>
  <c r="C45" i="33"/>
  <c r="H44" i="33"/>
  <c r="G44" i="33"/>
  <c r="F44" i="33"/>
  <c r="E44" i="33"/>
  <c r="D44" i="33"/>
  <c r="C44" i="33"/>
  <c r="H43" i="33"/>
  <c r="G43" i="33"/>
  <c r="F43" i="33"/>
  <c r="E43" i="33"/>
  <c r="D43" i="33"/>
  <c r="C43" i="33"/>
  <c r="D40" i="33"/>
  <c r="C40" i="33"/>
  <c r="H38" i="33"/>
  <c r="H45" i="33" s="1"/>
  <c r="G38" i="33"/>
  <c r="G45" i="33" s="1"/>
  <c r="F38" i="33"/>
  <c r="F45" i="33" s="1"/>
  <c r="D38" i="33"/>
  <c r="D45" i="33" s="1"/>
  <c r="J27" i="33"/>
  <c r="H27" i="33"/>
  <c r="N27" i="33" s="1"/>
  <c r="G27" i="33"/>
  <c r="M27" i="33" s="1"/>
  <c r="F27" i="33"/>
  <c r="E27" i="33"/>
  <c r="L27" i="33" s="1"/>
  <c r="D27" i="33"/>
  <c r="K27" i="33" s="1"/>
  <c r="H26" i="33"/>
  <c r="N23" i="33" s="1"/>
  <c r="G26" i="33"/>
  <c r="F26" i="33"/>
  <c r="N24" i="33"/>
  <c r="M24" i="33"/>
  <c r="K24" i="33"/>
  <c r="J24" i="33"/>
  <c r="M23" i="33"/>
  <c r="K23" i="33"/>
  <c r="J23" i="33"/>
  <c r="E23" i="33"/>
  <c r="H22" i="33"/>
  <c r="N19" i="33" s="1"/>
  <c r="G22" i="33"/>
  <c r="M19" i="33" s="1"/>
  <c r="F22" i="33"/>
  <c r="E22" i="33"/>
  <c r="L19" i="33" s="1"/>
  <c r="K19" i="33"/>
  <c r="J19" i="33"/>
  <c r="R18" i="33"/>
  <c r="Q18" i="33"/>
  <c r="P18" i="33"/>
  <c r="K18" i="33"/>
  <c r="J18" i="33"/>
  <c r="H18" i="33"/>
  <c r="G18" i="33"/>
  <c r="F18" i="33"/>
  <c r="J39" i="33" s="1"/>
  <c r="E18" i="33"/>
  <c r="L18" i="33" s="1"/>
  <c r="R17" i="33"/>
  <c r="Q17" i="33"/>
  <c r="P17" i="33"/>
  <c r="K17" i="33"/>
  <c r="J17" i="33"/>
  <c r="H17" i="33"/>
  <c r="L38" i="33" s="1"/>
  <c r="G17" i="33"/>
  <c r="K38" i="33" s="1"/>
  <c r="F17" i="33"/>
  <c r="J38" i="33" s="1"/>
  <c r="E17" i="33"/>
  <c r="L17" i="33" s="1"/>
  <c r="R16" i="33"/>
  <c r="Q16" i="33"/>
  <c r="P16" i="33"/>
  <c r="K16" i="33"/>
  <c r="J16" i="33"/>
  <c r="H16" i="33"/>
  <c r="G16" i="33"/>
  <c r="F16" i="33"/>
  <c r="J37" i="33" s="1"/>
  <c r="E16" i="33"/>
  <c r="L16" i="33" s="1"/>
  <c r="R15" i="33"/>
  <c r="Q15" i="33"/>
  <c r="P15" i="33"/>
  <c r="K15" i="33"/>
  <c r="J15" i="33"/>
  <c r="H15" i="33"/>
  <c r="G15" i="33"/>
  <c r="F15" i="33"/>
  <c r="E15" i="33"/>
  <c r="L15" i="33" s="1"/>
  <c r="K13" i="33"/>
  <c r="J13" i="33"/>
  <c r="F12" i="33"/>
  <c r="M10" i="33"/>
  <c r="L10" i="33"/>
  <c r="K10" i="33"/>
  <c r="E10" i="33"/>
  <c r="M9" i="33"/>
  <c r="L9" i="33"/>
  <c r="K9" i="33"/>
  <c r="F40" i="33"/>
  <c r="E9" i="33"/>
  <c r="K7" i="33"/>
  <c r="J7" i="33"/>
  <c r="M6" i="33"/>
  <c r="K6" i="33"/>
  <c r="J6" i="33"/>
  <c r="H6" i="33"/>
  <c r="G6" i="33"/>
  <c r="G7" i="33" s="1"/>
  <c r="F11" i="33"/>
  <c r="U5" i="33" s="1"/>
  <c r="E6" i="33"/>
  <c r="M4" i="33"/>
  <c r="L4" i="33"/>
  <c r="K4" i="33"/>
  <c r="J4" i="33"/>
  <c r="M3" i="33"/>
  <c r="L3" i="33"/>
  <c r="K3" i="33"/>
  <c r="AO944" i="41" l="1"/>
  <c r="DA2" i="41"/>
  <c r="H11" i="33"/>
  <c r="W5" i="33" s="1"/>
  <c r="G12" i="33"/>
  <c r="R7" i="33" s="1"/>
  <c r="F13" i="33"/>
  <c r="K36" i="33"/>
  <c r="G13" i="33"/>
  <c r="H13" i="33"/>
  <c r="N13" i="33" s="1"/>
  <c r="L6" i="33"/>
  <c r="E7" i="33"/>
  <c r="E12" i="33" s="1"/>
  <c r="P7" i="33" s="1"/>
  <c r="E40" i="33"/>
  <c r="G40" i="33"/>
  <c r="J36" i="33"/>
  <c r="L36" i="33"/>
  <c r="K37" i="33"/>
  <c r="M16" i="33"/>
  <c r="L37" i="33"/>
  <c r="N16" i="33"/>
  <c r="K39" i="33"/>
  <c r="M18" i="33"/>
  <c r="L39" i="33"/>
  <c r="N18" i="33"/>
  <c r="L24" i="33"/>
  <c r="E26" i="33"/>
  <c r="L23" i="33" s="1"/>
  <c r="ED77" i="38"/>
  <c r="DN77" i="38"/>
  <c r="ED18" i="39"/>
  <c r="DN18" i="39"/>
  <c r="ED20" i="39"/>
  <c r="DN20" i="39"/>
  <c r="ED26" i="39"/>
  <c r="DN26" i="39"/>
  <c r="ED28" i="39"/>
  <c r="DN28" i="39"/>
  <c r="DN33" i="39"/>
  <c r="ED33" i="39"/>
  <c r="DN35" i="39"/>
  <c r="ED35" i="39"/>
  <c r="DN37" i="39"/>
  <c r="ED37" i="39"/>
  <c r="ED41" i="39"/>
  <c r="DN41" i="39"/>
  <c r="ED43" i="39"/>
  <c r="DN43" i="39"/>
  <c r="ED44" i="39"/>
  <c r="DN44" i="39"/>
  <c r="ED46" i="39"/>
  <c r="DN46" i="39"/>
  <c r="ED48" i="39"/>
  <c r="DN48" i="39"/>
  <c r="ED50" i="39"/>
  <c r="DN50" i="39"/>
  <c r="ED52" i="39"/>
  <c r="DN52" i="39"/>
  <c r="ED54" i="39"/>
  <c r="DN54" i="39"/>
  <c r="ED57" i="39"/>
  <c r="DN57" i="39"/>
  <c r="ET57" i="39" s="1"/>
  <c r="ED59" i="39"/>
  <c r="DN59" i="39"/>
  <c r="ED74" i="39"/>
  <c r="DN74" i="39"/>
  <c r="ET74" i="39" s="1"/>
  <c r="ET75" i="39" s="1"/>
  <c r="ED77" i="39"/>
  <c r="DN77" i="39"/>
  <c r="ED18" i="40"/>
  <c r="DN18" i="40"/>
  <c r="ED20" i="40"/>
  <c r="DN20" i="40"/>
  <c r="ED32" i="40"/>
  <c r="DN32" i="40"/>
  <c r="ED33" i="40"/>
  <c r="DN33" i="40"/>
  <c r="ED34" i="40"/>
  <c r="DN34" i="40"/>
  <c r="ET34" i="40" s="1"/>
  <c r="ED35" i="40"/>
  <c r="DN35" i="40"/>
  <c r="ED36" i="40"/>
  <c r="DN36" i="40"/>
  <c r="ED37" i="40"/>
  <c r="DN37" i="40"/>
  <c r="ED38" i="40"/>
  <c r="DN38" i="40"/>
  <c r="ET38" i="40" s="1"/>
  <c r="ED44" i="40"/>
  <c r="DN44" i="40"/>
  <c r="ED46" i="40"/>
  <c r="DN46" i="40"/>
  <c r="ED48" i="40"/>
  <c r="DN48" i="40"/>
  <c r="ED50" i="40"/>
  <c r="DN50" i="40"/>
  <c r="ET50" i="40" s="1"/>
  <c r="ED52" i="40"/>
  <c r="DN52" i="40"/>
  <c r="ED54" i="40"/>
  <c r="DN54" i="40"/>
  <c r="ED80" i="40"/>
  <c r="DN80" i="40"/>
  <c r="AD62" i="38"/>
  <c r="Q7" i="33"/>
  <c r="ET54" i="40"/>
  <c r="DN49" i="40"/>
  <c r="ET49" i="40" s="1"/>
  <c r="DN60" i="40"/>
  <c r="ET60" i="40" s="1"/>
  <c r="DN42" i="40"/>
  <c r="ED21" i="40"/>
  <c r="ET21" i="40" s="1"/>
  <c r="ED23" i="40"/>
  <c r="ED25" i="40"/>
  <c r="ET25" i="40" s="1"/>
  <c r="ED27" i="40"/>
  <c r="ET27" i="40" s="1"/>
  <c r="ED29" i="40"/>
  <c r="ET29" i="40" s="1"/>
  <c r="ED42" i="40"/>
  <c r="ED56" i="40"/>
  <c r="ET56" i="40" s="1"/>
  <c r="ED58" i="40"/>
  <c r="ET58" i="40" s="1"/>
  <c r="DN59" i="40"/>
  <c r="ET59" i="40" s="1"/>
  <c r="DN77" i="40"/>
  <c r="ET77" i="40" s="1"/>
  <c r="ET78" i="40" s="1"/>
  <c r="DN19" i="40"/>
  <c r="ET19" i="40" s="1"/>
  <c r="DN45" i="40"/>
  <c r="ET45" i="40" s="1"/>
  <c r="DN47" i="40"/>
  <c r="ET47" i="40" s="1"/>
  <c r="DN51" i="40"/>
  <c r="ET51" i="40" s="1"/>
  <c r="DN53" i="40"/>
  <c r="ET53" i="40" s="1"/>
  <c r="ET23" i="40"/>
  <c r="DN22" i="40"/>
  <c r="ET22" i="40" s="1"/>
  <c r="DN24" i="40"/>
  <c r="ET24" i="40" s="1"/>
  <c r="DN26" i="40"/>
  <c r="ET26" i="40" s="1"/>
  <c r="DN28" i="40"/>
  <c r="ET28" i="40" s="1"/>
  <c r="DN41" i="40"/>
  <c r="ET41" i="40" s="1"/>
  <c r="DN43" i="40"/>
  <c r="ET43" i="40" s="1"/>
  <c r="DN55" i="40"/>
  <c r="ET55" i="40" s="1"/>
  <c r="DN57" i="40"/>
  <c r="ET57" i="40" s="1"/>
  <c r="DN74" i="40"/>
  <c r="ET74" i="40" s="1"/>
  <c r="ET75" i="40" s="1"/>
  <c r="ED24" i="39"/>
  <c r="ET24" i="39" s="1"/>
  <c r="DN32" i="39"/>
  <c r="DN34" i="39"/>
  <c r="DN38" i="39"/>
  <c r="ED32" i="39"/>
  <c r="ED21" i="39"/>
  <c r="ET21" i="39" s="1"/>
  <c r="ED23" i="39"/>
  <c r="ET23" i="39" s="1"/>
  <c r="ED25" i="39"/>
  <c r="ET25" i="39" s="1"/>
  <c r="ED27" i="39"/>
  <c r="ET27" i="39" s="1"/>
  <c r="ED29" i="39"/>
  <c r="ET29" i="39" s="1"/>
  <c r="ED42" i="39"/>
  <c r="ET42" i="39" s="1"/>
  <c r="ED56" i="39"/>
  <c r="ET56" i="39" s="1"/>
  <c r="ED58" i="39"/>
  <c r="ET58" i="39" s="1"/>
  <c r="DN22" i="39"/>
  <c r="ET22" i="39" s="1"/>
  <c r="ED55" i="39"/>
  <c r="ET55" i="39" s="1"/>
  <c r="DN36" i="39"/>
  <c r="DN80" i="39"/>
  <c r="DN19" i="39"/>
  <c r="ET19" i="39" s="1"/>
  <c r="ED34" i="39"/>
  <c r="ED36" i="39"/>
  <c r="ED38" i="39"/>
  <c r="DN45" i="39"/>
  <c r="ET45" i="39" s="1"/>
  <c r="DN47" i="39"/>
  <c r="ET47" i="39" s="1"/>
  <c r="DN49" i="39"/>
  <c r="ET49" i="39" s="1"/>
  <c r="DN51" i="39"/>
  <c r="ET51" i="39" s="1"/>
  <c r="DN53" i="39"/>
  <c r="ET53" i="39" s="1"/>
  <c r="DN60" i="39"/>
  <c r="ET60" i="39" s="1"/>
  <c r="ED80" i="39"/>
  <c r="FL54" i="38"/>
  <c r="FM54" i="38" s="1"/>
  <c r="DN74" i="38"/>
  <c r="ED74" i="38"/>
  <c r="FM43" i="38"/>
  <c r="DN81" i="38"/>
  <c r="ED81" i="38"/>
  <c r="N7" i="33"/>
  <c r="E13" i="33"/>
  <c r="L13" i="33" s="1"/>
  <c r="M17" i="33"/>
  <c r="N15" i="33"/>
  <c r="N17" i="33"/>
  <c r="N6" i="33"/>
  <c r="H7" i="33"/>
  <c r="H12" i="33" s="1"/>
  <c r="S7" i="33" s="1"/>
  <c r="E11" i="33"/>
  <c r="M15" i="33"/>
  <c r="H40" i="33"/>
  <c r="Q6" i="33"/>
  <c r="G11" i="33"/>
  <c r="M7" i="33" s="1"/>
  <c r="M13" i="33"/>
  <c r="S6" i="33"/>
  <c r="ET18" i="40" l="1"/>
  <c r="ET30" i="40" s="1"/>
  <c r="ET46" i="40"/>
  <c r="ET36" i="40"/>
  <c r="ET32" i="40"/>
  <c r="ET52" i="39"/>
  <c r="ET48" i="39"/>
  <c r="ET44" i="39"/>
  <c r="ET41" i="39"/>
  <c r="ET28" i="39"/>
  <c r="ET20" i="39"/>
  <c r="ET44" i="40"/>
  <c r="ET48" i="40"/>
  <c r="ET20" i="40"/>
  <c r="ET26" i="39"/>
  <c r="V5" i="33"/>
  <c r="ET32" i="39"/>
  <c r="FL54" i="40"/>
  <c r="FM54" i="40" s="1"/>
  <c r="R6" i="33"/>
  <c r="ET80" i="40"/>
  <c r="ET81" i="40" s="1"/>
  <c r="ET82" i="40" s="1"/>
  <c r="ET52" i="40"/>
  <c r="FP54" i="40" s="1"/>
  <c r="ET37" i="40"/>
  <c r="ET35" i="40"/>
  <c r="ET33" i="40"/>
  <c r="ET54" i="39"/>
  <c r="FP54" i="39" s="1"/>
  <c r="ET50" i="39"/>
  <c r="ET46" i="39"/>
  <c r="ET43" i="39"/>
  <c r="ET18" i="39"/>
  <c r="L7" i="33"/>
  <c r="P6" i="33"/>
  <c r="ET81" i="38"/>
  <c r="FM60" i="38" s="1"/>
  <c r="FM61" i="38" s="1"/>
  <c r="ET74" i="38"/>
  <c r="ET75" i="38" s="1"/>
  <c r="ET80" i="39"/>
  <c r="ET36" i="39"/>
  <c r="ET38" i="39"/>
  <c r="ET34" i="39"/>
  <c r="ET42" i="40"/>
  <c r="ET77" i="39"/>
  <c r="ET78" i="39" s="1"/>
  <c r="ET59" i="39"/>
  <c r="FL60" i="39" s="1"/>
  <c r="ET37" i="39"/>
  <c r="ET35" i="39"/>
  <c r="ET33" i="39"/>
  <c r="ET77" i="38"/>
  <c r="ET78" i="38" s="1"/>
  <c r="FL58" i="40"/>
  <c r="FM58" i="40" s="1"/>
  <c r="FP58" i="40"/>
  <c r="FP43" i="40"/>
  <c r="FM43" i="40"/>
  <c r="ET81" i="39"/>
  <c r="ET82" i="39" s="1"/>
  <c r="FP58" i="39"/>
  <c r="FL58" i="39"/>
  <c r="FM58" i="39" s="1"/>
  <c r="FL20" i="38"/>
  <c r="ET30" i="38"/>
  <c r="FK15" i="38"/>
  <c r="FL17" i="38"/>
  <c r="FL58" i="38"/>
  <c r="FM58" i="38" s="1"/>
  <c r="FL17" i="40" l="1"/>
  <c r="FL20" i="40"/>
  <c r="FN14" i="40"/>
  <c r="FO17" i="40"/>
  <c r="FK15" i="40"/>
  <c r="ET30" i="39"/>
  <c r="ET61" i="39"/>
  <c r="FK15" i="39"/>
  <c r="ET83" i="38"/>
  <c r="FP59" i="38"/>
  <c r="FL60" i="38"/>
  <c r="FM60" i="39"/>
  <c r="FM61" i="39" s="1"/>
  <c r="FM60" i="40"/>
  <c r="FM61" i="40" s="1"/>
  <c r="ET39" i="39"/>
  <c r="FO17" i="39"/>
  <c r="FP43" i="39"/>
  <c r="FM43" i="39"/>
  <c r="ET39" i="40"/>
  <c r="ET61" i="40"/>
  <c r="ET87" i="40" s="1"/>
  <c r="FL20" i="39"/>
  <c r="FL17" i="39"/>
  <c r="FN14" i="39"/>
  <c r="FL54" i="39"/>
  <c r="FM54" i="39" s="1"/>
  <c r="FL60" i="40"/>
  <c r="ET62" i="38"/>
  <c r="ET86" i="40"/>
  <c r="FP59" i="40"/>
  <c r="ET87" i="39"/>
  <c r="ET86" i="39"/>
  <c r="FP59" i="39"/>
  <c r="ET62" i="39" l="1"/>
  <c r="ET88" i="40"/>
  <c r="ET62" i="40"/>
  <c r="ET87" i="38"/>
  <c r="ET88" i="38"/>
  <c r="ET88" i="39"/>
  <c r="ET89" i="38" l="1"/>
  <c r="I33" i="31" l="1"/>
  <c r="H33" i="31"/>
  <c r="BS595" i="41"/>
  <c r="BC945" i="41"/>
  <c r="BC750" i="41"/>
  <c r="CI752" i="41"/>
  <c r="BS740" i="41"/>
  <c r="BC730" i="41"/>
  <c r="BC728" i="41" s="1"/>
  <c r="BC748" i="41"/>
  <c r="BC760" i="41"/>
  <c r="BC762" i="41"/>
  <c r="BC766" i="41"/>
  <c r="CI712" i="41"/>
  <c r="BS841" i="41"/>
  <c r="BS842" i="41"/>
  <c r="BS843" i="41"/>
  <c r="BS844" i="41"/>
  <c r="BS845" i="41"/>
  <c r="BS846" i="41"/>
  <c r="BS847" i="41"/>
  <c r="BS848" i="41"/>
  <c r="BS849" i="41"/>
  <c r="BS850" i="41"/>
  <c r="BS851" i="41"/>
  <c r="BS852" i="41"/>
  <c r="BS853" i="41"/>
  <c r="BS854" i="41"/>
  <c r="BS855" i="41"/>
  <c r="BS840" i="41"/>
  <c r="BS716" i="41"/>
  <c r="BS717" i="41"/>
  <c r="BS718" i="41"/>
  <c r="BS719" i="41"/>
  <c r="BS720" i="41"/>
  <c r="BS721" i="41"/>
  <c r="BS722" i="41"/>
  <c r="BS723" i="41"/>
  <c r="BS724" i="41"/>
  <c r="BS725" i="41"/>
  <c r="BS726" i="41"/>
  <c r="BS727" i="41"/>
  <c r="BS715" i="41"/>
  <c r="BC714" i="41" l="1"/>
  <c r="BS868" i="41"/>
  <c r="CI555" i="41"/>
  <c r="CI557" i="41" s="1"/>
  <c r="CI529" i="41"/>
  <c r="CI551" i="41" s="1"/>
  <c r="BS466" i="41"/>
  <c r="BS455" i="41"/>
  <c r="BU316" i="41" l="1"/>
  <c r="BU309" i="41"/>
  <c r="BU310" i="41"/>
  <c r="BU311" i="41"/>
  <c r="BU312" i="41"/>
  <c r="BU308" i="41"/>
  <c r="CI11" i="41"/>
  <c r="CI14" i="41"/>
  <c r="CI246" i="41" l="1"/>
  <c r="CI247" i="41"/>
  <c r="CI248" i="41"/>
  <c r="CI879" i="41" l="1"/>
  <c r="CI880" i="41"/>
  <c r="CI881" i="41"/>
  <c r="CI882" i="41"/>
  <c r="CI883" i="41"/>
  <c r="CI884" i="41"/>
  <c r="CI885" i="41"/>
  <c r="CI886" i="41"/>
  <c r="CI887" i="41"/>
  <c r="CI888" i="41"/>
  <c r="BS864" i="41"/>
  <c r="BS865" i="41"/>
  <c r="BS866" i="41"/>
  <c r="BS863" i="41"/>
  <c r="BS493" i="41"/>
  <c r="BS498" i="41"/>
  <c r="BS499" i="41"/>
  <c r="CI444" i="41"/>
  <c r="CI445" i="41"/>
  <c r="CI451" i="41"/>
  <c r="CI472" i="41"/>
  <c r="CI473" i="41"/>
  <c r="CI474" i="41"/>
  <c r="CI479" i="41"/>
  <c r="CI480" i="41"/>
  <c r="CI481" i="41"/>
  <c r="CI253" i="41"/>
  <c r="CI252" i="41"/>
  <c r="CI201" i="41"/>
  <c r="CL123" i="41"/>
  <c r="CL122" i="41" s="1"/>
  <c r="CI94" i="41"/>
  <c r="CI66" i="41"/>
  <c r="CI65" i="41"/>
  <c r="CI15" i="41"/>
  <c r="CI16" i="41" s="1"/>
  <c r="CD59" i="35"/>
  <c r="CD41" i="35"/>
  <c r="BM41" i="35" s="1"/>
  <c r="CD70" i="35"/>
  <c r="CI67" i="41" l="1"/>
  <c r="CI74" i="41" s="1"/>
  <c r="BS825" i="41"/>
  <c r="BS826" i="41"/>
  <c r="BS827" i="41"/>
  <c r="BS828" i="41"/>
  <c r="BS829" i="41"/>
  <c r="BS837" i="41" l="1"/>
  <c r="BS871" i="41"/>
  <c r="BS872" i="41"/>
  <c r="BS870" i="41"/>
  <c r="BS873" i="41"/>
  <c r="CI264" i="41" l="1"/>
  <c r="BS824" i="41" l="1"/>
  <c r="CI228" i="41" l="1"/>
  <c r="CI230" i="41" s="1"/>
  <c r="CI691" i="41"/>
  <c r="DA3" i="41" l="1"/>
  <c r="AA50" i="31" l="1"/>
  <c r="BV106" i="41" l="1"/>
  <c r="G161" i="31" l="1"/>
  <c r="G141" i="31"/>
  <c r="AA110" i="31"/>
  <c r="G80" i="31"/>
  <c r="G47" i="31"/>
  <c r="G35" i="31"/>
  <c r="G33" i="31"/>
  <c r="G10" i="31"/>
  <c r="G9" i="31"/>
  <c r="B203" i="31"/>
  <c r="B202" i="31"/>
  <c r="I201" i="31"/>
  <c r="H201" i="31"/>
  <c r="B201" i="31"/>
  <c r="D187" i="31"/>
  <c r="G181" i="31"/>
  <c r="T150" i="31"/>
  <c r="K149" i="31"/>
  <c r="S154" i="31"/>
  <c r="M154" i="31"/>
  <c r="F189" i="31"/>
  <c r="C189" i="31" s="1"/>
  <c r="S150" i="31"/>
  <c r="R149" i="31"/>
  <c r="M149" i="31"/>
  <c r="M148" i="31" s="1"/>
  <c r="M150" i="31" s="1"/>
  <c r="U86" i="31"/>
  <c r="S143" i="31"/>
  <c r="W142" i="31"/>
  <c r="S142" i="31"/>
  <c r="I137" i="31"/>
  <c r="H137" i="31"/>
  <c r="I126" i="31"/>
  <c r="H126" i="31"/>
  <c r="G126" i="31"/>
  <c r="AA124" i="31"/>
  <c r="I120" i="31"/>
  <c r="I121" i="31"/>
  <c r="H121" i="31"/>
  <c r="H86" i="31" s="1"/>
  <c r="S118" i="31"/>
  <c r="X111" i="31"/>
  <c r="W111" i="31"/>
  <c r="U111" i="31"/>
  <c r="T111" i="31"/>
  <c r="S111" i="31"/>
  <c r="S106" i="31"/>
  <c r="X107" i="31"/>
  <c r="W107" i="31"/>
  <c r="U107" i="31"/>
  <c r="I106" i="31"/>
  <c r="H106" i="31"/>
  <c r="U106" i="31"/>
  <c r="T106" i="31"/>
  <c r="U96" i="31"/>
  <c r="I97" i="31"/>
  <c r="S96" i="31"/>
  <c r="T96" i="31"/>
  <c r="E187" i="31"/>
  <c r="F187" i="31"/>
  <c r="S89" i="31"/>
  <c r="H87" i="31"/>
  <c r="S86" i="31"/>
  <c r="T86" i="31"/>
  <c r="S85" i="31"/>
  <c r="T85" i="31"/>
  <c r="X84" i="31"/>
  <c r="W84" i="31"/>
  <c r="U84" i="31"/>
  <c r="T84" i="31"/>
  <c r="S84" i="31"/>
  <c r="G83" i="31"/>
  <c r="AA80" i="31"/>
  <c r="X76" i="31"/>
  <c r="W76" i="31"/>
  <c r="U76" i="31"/>
  <c r="T76" i="31"/>
  <c r="S76" i="31"/>
  <c r="X75" i="31"/>
  <c r="W75" i="31"/>
  <c r="U75" i="31"/>
  <c r="T75" i="31"/>
  <c r="S75" i="31"/>
  <c r="U70" i="31"/>
  <c r="T70" i="31"/>
  <c r="T68" i="31"/>
  <c r="S68" i="31"/>
  <c r="I68" i="31"/>
  <c r="H68" i="31"/>
  <c r="G68" i="31"/>
  <c r="U68" i="31"/>
  <c r="S70" i="31"/>
  <c r="T63" i="31"/>
  <c r="X63" i="31"/>
  <c r="W63" i="31"/>
  <c r="V63" i="31"/>
  <c r="U63" i="31"/>
  <c r="S63" i="31"/>
  <c r="S59" i="31"/>
  <c r="I59" i="31"/>
  <c r="H59" i="31"/>
  <c r="G59" i="31"/>
  <c r="U59" i="31"/>
  <c r="S60" i="31"/>
  <c r="L54" i="31"/>
  <c r="G49" i="31"/>
  <c r="I48" i="31"/>
  <c r="H48" i="31"/>
  <c r="T49" i="31"/>
  <c r="S49" i="31"/>
  <c r="X47" i="31"/>
  <c r="W47" i="31"/>
  <c r="V47" i="31"/>
  <c r="U47" i="31"/>
  <c r="S47" i="31"/>
  <c r="S43" i="31"/>
  <c r="S42" i="31"/>
  <c r="I42" i="31"/>
  <c r="H42" i="31"/>
  <c r="U42" i="31"/>
  <c r="T42" i="31"/>
  <c r="I37" i="31"/>
  <c r="T28" i="31"/>
  <c r="M34" i="31"/>
  <c r="L34" i="31"/>
  <c r="U28" i="31"/>
  <c r="I29" i="31"/>
  <c r="H29" i="31"/>
  <c r="T27" i="31"/>
  <c r="T20" i="31"/>
  <c r="T14" i="31"/>
  <c r="S20" i="31"/>
  <c r="S19" i="31"/>
  <c r="X18" i="31"/>
  <c r="W18" i="31"/>
  <c r="S18" i="31"/>
  <c r="T18" i="31"/>
  <c r="S13" i="31"/>
  <c r="X12" i="31"/>
  <c r="W12" i="31"/>
  <c r="T12" i="31"/>
  <c r="S12" i="31"/>
  <c r="K12" i="31"/>
  <c r="K11" i="31"/>
  <c r="I11" i="31"/>
  <c r="X15" i="31" s="1"/>
  <c r="H11" i="31"/>
  <c r="W15" i="31" s="1"/>
  <c r="G11" i="31"/>
  <c r="V15" i="31" s="1"/>
  <c r="B200" i="31"/>
  <c r="T15" i="31"/>
  <c r="S15" i="31"/>
  <c r="S14" i="31"/>
  <c r="U6" i="31"/>
  <c r="T6" i="31"/>
  <c r="S6" i="31"/>
  <c r="I6" i="31"/>
  <c r="H6" i="31"/>
  <c r="CI945" i="41"/>
  <c r="X6" i="31" l="1"/>
  <c r="I30" i="31"/>
  <c r="G17" i="31"/>
  <c r="X96" i="31"/>
  <c r="X106" i="31"/>
  <c r="I86" i="31"/>
  <c r="W88" i="31"/>
  <c r="W106" i="31"/>
  <c r="H19" i="31"/>
  <c r="H202" i="31" s="1"/>
  <c r="W49" i="31"/>
  <c r="X150" i="31"/>
  <c r="V59" i="31"/>
  <c r="I19" i="31"/>
  <c r="T47" i="31"/>
  <c r="W43" i="31"/>
  <c r="W42" i="31"/>
  <c r="X42" i="31"/>
  <c r="X43" i="31"/>
  <c r="X48" i="31"/>
  <c r="X49" i="31"/>
  <c r="W60" i="31"/>
  <c r="W59" i="31"/>
  <c r="X60" i="31"/>
  <c r="X59" i="31"/>
  <c r="W70" i="31"/>
  <c r="W68" i="31"/>
  <c r="X70" i="31"/>
  <c r="X68" i="31"/>
  <c r="X89" i="31"/>
  <c r="X88" i="31"/>
  <c r="X142" i="31"/>
  <c r="R5" i="32"/>
  <c r="R148" i="31"/>
  <c r="R150" i="31" s="1"/>
  <c r="I187" i="31"/>
  <c r="I27" i="31"/>
  <c r="V84" i="31"/>
  <c r="G201" i="31"/>
  <c r="AA108" i="31"/>
  <c r="V12" i="31"/>
  <c r="W19" i="31"/>
  <c r="U19" i="31"/>
  <c r="U150" i="31"/>
  <c r="K148" i="31"/>
  <c r="K150" i="31" s="1"/>
  <c r="U16" i="31"/>
  <c r="U17" i="31"/>
  <c r="U11" i="31"/>
  <c r="I118" i="31"/>
  <c r="K141" i="31" s="1"/>
  <c r="M35" i="31"/>
  <c r="U49" i="31"/>
  <c r="U48" i="31"/>
  <c r="U20" i="31"/>
  <c r="U14" i="31"/>
  <c r="F203" i="31"/>
  <c r="S27" i="31"/>
  <c r="T59" i="31"/>
  <c r="T60" i="31"/>
  <c r="S82" i="31"/>
  <c r="D188" i="31"/>
  <c r="U88" i="31"/>
  <c r="U89" i="31"/>
  <c r="T142" i="31"/>
  <c r="T143" i="31"/>
  <c r="S28" i="31"/>
  <c r="U142" i="31"/>
  <c r="U143" i="31"/>
  <c r="F188" i="31"/>
  <c r="B187" i="31"/>
  <c r="U118" i="31"/>
  <c r="U119" i="31"/>
  <c r="T118" i="31"/>
  <c r="T119" i="31"/>
  <c r="L35" i="31"/>
  <c r="H118" i="31"/>
  <c r="T88" i="31"/>
  <c r="T89" i="31"/>
  <c r="S48" i="31"/>
  <c r="V70" i="31"/>
  <c r="S119" i="31"/>
  <c r="W6" i="31"/>
  <c r="U15" i="31"/>
  <c r="T48" i="31"/>
  <c r="V68" i="31"/>
  <c r="S88" i="31"/>
  <c r="H97" i="31"/>
  <c r="W150" i="31"/>
  <c r="U60" i="31"/>
  <c r="S107" i="31"/>
  <c r="T43" i="31"/>
  <c r="V60" i="31"/>
  <c r="W89" i="31"/>
  <c r="T107" i="31"/>
  <c r="W143" i="31"/>
  <c r="AA6" i="31"/>
  <c r="U27" i="31"/>
  <c r="U43" i="31"/>
  <c r="W48" i="31"/>
  <c r="U85" i="31"/>
  <c r="X143" i="31"/>
  <c r="K154" i="31"/>
  <c r="H30" i="31"/>
  <c r="X13" i="31" l="1"/>
  <c r="W85" i="31"/>
  <c r="W13" i="31"/>
  <c r="H187" i="31"/>
  <c r="K82" i="31"/>
  <c r="X19" i="31"/>
  <c r="W86" i="31"/>
  <c r="V18" i="31"/>
  <c r="H20" i="31"/>
  <c r="H203" i="31" s="1"/>
  <c r="X85" i="31"/>
  <c r="X86" i="31"/>
  <c r="I20" i="31"/>
  <c r="X27" i="31"/>
  <c r="CW23" i="37"/>
  <c r="L141" i="31"/>
  <c r="X28" i="31"/>
  <c r="I16" i="31"/>
  <c r="T13" i="31"/>
  <c r="T19" i="31"/>
  <c r="S17" i="31"/>
  <c r="S16" i="31"/>
  <c r="S11" i="31"/>
  <c r="W14" i="31"/>
  <c r="U18" i="31"/>
  <c r="F201" i="31"/>
  <c r="U12" i="31"/>
  <c r="T82" i="31"/>
  <c r="E188" i="31"/>
  <c r="U82" i="31"/>
  <c r="F200" i="31"/>
  <c r="W96" i="31"/>
  <c r="H27" i="31"/>
  <c r="W118" i="31"/>
  <c r="W119" i="31"/>
  <c r="T11" i="31"/>
  <c r="T16" i="31"/>
  <c r="T17" i="31"/>
  <c r="X119" i="31"/>
  <c r="X118" i="31"/>
  <c r="U13" i="31"/>
  <c r="F202" i="31"/>
  <c r="W20" i="31" l="1"/>
  <c r="I203" i="31"/>
  <c r="X20" i="31"/>
  <c r="X14" i="31"/>
  <c r="X17" i="31"/>
  <c r="X16" i="31"/>
  <c r="H16" i="31"/>
  <c r="CY22" i="36"/>
  <c r="W27" i="31"/>
  <c r="W28" i="31"/>
  <c r="W17" i="31" l="1"/>
  <c r="W16" i="31"/>
  <c r="CI862" i="41"/>
  <c r="BV118" i="41" l="1"/>
  <c r="CL118" i="41" l="1"/>
  <c r="CI343" i="41"/>
  <c r="CI296" i="41"/>
  <c r="CI297" i="41" s="1"/>
  <c r="CI265" i="41"/>
  <c r="CI269" i="41" s="1"/>
  <c r="G125" i="31" s="1"/>
  <c r="CI344" i="41" l="1"/>
  <c r="G153" i="31" s="1"/>
  <c r="G137" i="31"/>
  <c r="G140" i="31"/>
  <c r="CI234" i="41"/>
  <c r="AA137" i="31" l="1"/>
  <c r="G75" i="31"/>
  <c r="G78" i="31"/>
  <c r="G122" i="31"/>
  <c r="P7" i="32"/>
  <c r="I36" i="32"/>
  <c r="AA75" i="31" l="1"/>
  <c r="V75" i="31"/>
  <c r="V76" i="31"/>
  <c r="CI254" i="41" l="1"/>
  <c r="G121" i="31" s="1"/>
  <c r="CL162" i="41"/>
  <c r="I20" i="32" l="1"/>
  <c r="G155" i="31" l="1"/>
  <c r="BS862" i="41" l="1"/>
  <c r="BC862" i="41"/>
  <c r="G54" i="31" l="1"/>
  <c r="G52" i="31"/>
  <c r="G50" i="31"/>
  <c r="AA52" i="31" l="1"/>
  <c r="S40" i="32"/>
  <c r="CI946" i="41" l="1"/>
  <c r="G6" i="31" s="1"/>
  <c r="G170" i="31" l="1"/>
  <c r="V6" i="31"/>
  <c r="BU315" i="41"/>
  <c r="G154" i="31" l="1"/>
  <c r="L154" i="31" l="1"/>
  <c r="BC693" i="41" l="1"/>
  <c r="CI693" i="41"/>
  <c r="CL111" i="41" l="1"/>
  <c r="CL106" i="41"/>
  <c r="CI909" i="41"/>
  <c r="CI906" i="41"/>
  <c r="CI903" i="41"/>
  <c r="CI913" i="41" s="1"/>
  <c r="CI892" i="41"/>
  <c r="BC891" i="41"/>
  <c r="BS891" i="41" s="1"/>
  <c r="BS823" i="41"/>
  <c r="BS822" i="41"/>
  <c r="BS821" i="41"/>
  <c r="CI817" i="41"/>
  <c r="CI816" i="41"/>
  <c r="CI815" i="41"/>
  <c r="CI814" i="41"/>
  <c r="CI813" i="41"/>
  <c r="CI812" i="41"/>
  <c r="CI811" i="41"/>
  <c r="CI810" i="41"/>
  <c r="CI809" i="41"/>
  <c r="CI808" i="41"/>
  <c r="CI807" i="41"/>
  <c r="CI806" i="41"/>
  <c r="CI805" i="41"/>
  <c r="CI804" i="41"/>
  <c r="CI803" i="41"/>
  <c r="CI802" i="41"/>
  <c r="CI801" i="41"/>
  <c r="CI800" i="41"/>
  <c r="CI799" i="41"/>
  <c r="CI798" i="41"/>
  <c r="CI797" i="41"/>
  <c r="CI796" i="41"/>
  <c r="CI795" i="41"/>
  <c r="CI794" i="41"/>
  <c r="CI793" i="41"/>
  <c r="CI792" i="41"/>
  <c r="CI791" i="41"/>
  <c r="CI790" i="41"/>
  <c r="CI789" i="41"/>
  <c r="CI788" i="41"/>
  <c r="CI787" i="41"/>
  <c r="CI786" i="41"/>
  <c r="CI785" i="41"/>
  <c r="CI784" i="41"/>
  <c r="CI783" i="41"/>
  <c r="CI782" i="41"/>
  <c r="CI781" i="41"/>
  <c r="CI780" i="41"/>
  <c r="CI779" i="41"/>
  <c r="CI778" i="41"/>
  <c r="CI777" i="41"/>
  <c r="CI776" i="41"/>
  <c r="CI775" i="41"/>
  <c r="CI774" i="41"/>
  <c r="CI773" i="41"/>
  <c r="CI772" i="41"/>
  <c r="BS771" i="41"/>
  <c r="BS766" i="41"/>
  <c r="BS764" i="41"/>
  <c r="BS762" i="41"/>
  <c r="BS760" i="41"/>
  <c r="BS758" i="41"/>
  <c r="BS756" i="41"/>
  <c r="BS754" i="41"/>
  <c r="BS752" i="41"/>
  <c r="BS750" i="41"/>
  <c r="BS748" i="41"/>
  <c r="BS746" i="41"/>
  <c r="CI743" i="41"/>
  <c r="BS743" i="41" s="1"/>
  <c r="BS741" i="41"/>
  <c r="BS739" i="41"/>
  <c r="BS728" i="41" s="1"/>
  <c r="BS738" i="41"/>
  <c r="BS737" i="41"/>
  <c r="BS733" i="41"/>
  <c r="BS732" i="41"/>
  <c r="BS731" i="41"/>
  <c r="BS730" i="41"/>
  <c r="BS712" i="41"/>
  <c r="CI562" i="41"/>
  <c r="CI573" i="41" s="1"/>
  <c r="BS491" i="41"/>
  <c r="BS488" i="41"/>
  <c r="BS487" i="41"/>
  <c r="BS486" i="41"/>
  <c r="BS485" i="41"/>
  <c r="BS484" i="41"/>
  <c r="BU317" i="41"/>
  <c r="CI245" i="41"/>
  <c r="CI186" i="41"/>
  <c r="CI190" i="41" s="1"/>
  <c r="DA185" i="41"/>
  <c r="BC184" i="41"/>
  <c r="CL141" i="41"/>
  <c r="BV138" i="41"/>
  <c r="CL138" i="41" s="1"/>
  <c r="BV135" i="41"/>
  <c r="CL135" i="41" s="1"/>
  <c r="CL132" i="41"/>
  <c r="BV130" i="41"/>
  <c r="CL130" i="41" s="1"/>
  <c r="CL120" i="41"/>
  <c r="CL108" i="41"/>
  <c r="CI95" i="41"/>
  <c r="CI84" i="41"/>
  <c r="CI85" i="41" s="1"/>
  <c r="DA85" i="41" s="1"/>
  <c r="CI41" i="41"/>
  <c r="CI45" i="41" s="1"/>
  <c r="CI27" i="41"/>
  <c r="CI31" i="41" s="1"/>
  <c r="CI10" i="41"/>
  <c r="CI9" i="41"/>
  <c r="CD63" i="37"/>
  <c r="CD43" i="37"/>
  <c r="AV41" i="37"/>
  <c r="BW35" i="37"/>
  <c r="BJ34" i="37"/>
  <c r="BJ33" i="37"/>
  <c r="BJ32" i="37"/>
  <c r="AV26" i="37"/>
  <c r="CW24" i="37" s="1"/>
  <c r="CW25" i="37" s="1"/>
  <c r="AV26" i="36"/>
  <c r="BJ32" i="36"/>
  <c r="BJ33" i="36"/>
  <c r="BJ34" i="36"/>
  <c r="BW35" i="36"/>
  <c r="AV41" i="36"/>
  <c r="CD43" i="36"/>
  <c r="CD63" i="36"/>
  <c r="CD102" i="35"/>
  <c r="CD72" i="35"/>
  <c r="BM70" i="35"/>
  <c r="CD61" i="35"/>
  <c r="AV51" i="35"/>
  <c r="CD43" i="35"/>
  <c r="G40" i="31" s="1"/>
  <c r="BW35" i="35"/>
  <c r="BJ34" i="35"/>
  <c r="BJ33" i="35"/>
  <c r="BJ32" i="35"/>
  <c r="D12" i="34"/>
  <c r="K46" i="32"/>
  <c r="S41" i="32"/>
  <c r="G36" i="32"/>
  <c r="N32" i="32"/>
  <c r="K36" i="32"/>
  <c r="R32" i="32" s="1"/>
  <c r="J36" i="32"/>
  <c r="Q32" i="32" s="1"/>
  <c r="H32" i="32"/>
  <c r="G32" i="32"/>
  <c r="R28" i="32"/>
  <c r="Q28" i="32"/>
  <c r="P28" i="32"/>
  <c r="O28" i="32"/>
  <c r="N28" i="32"/>
  <c r="F25" i="32"/>
  <c r="S21" i="32"/>
  <c r="R21" i="32"/>
  <c r="Q21" i="32"/>
  <c r="O21" i="32"/>
  <c r="H21" i="32"/>
  <c r="F21" i="32"/>
  <c r="F16" i="32" s="1"/>
  <c r="H16" i="32"/>
  <c r="G15" i="32"/>
  <c r="O41" i="32" s="1"/>
  <c r="J14" i="32"/>
  <c r="G14" i="32"/>
  <c r="H10" i="32"/>
  <c r="H14" i="32" s="1"/>
  <c r="H15" i="32" s="1"/>
  <c r="CI12" i="41" l="1"/>
  <c r="CI17" i="41" s="1"/>
  <c r="CI96" i="41"/>
  <c r="DA97" i="41" s="1"/>
  <c r="G99" i="31"/>
  <c r="CI768" i="41"/>
  <c r="J16" i="32"/>
  <c r="CY24" i="36"/>
  <c r="CY25" i="36" s="1"/>
  <c r="G45" i="31"/>
  <c r="G42" i="31"/>
  <c r="G51" i="31"/>
  <c r="G48" i="31"/>
  <c r="G58" i="31"/>
  <c r="G38" i="31"/>
  <c r="G30" i="31"/>
  <c r="G37" i="31"/>
  <c r="CI217" i="41"/>
  <c r="G106" i="31"/>
  <c r="G110" i="31"/>
  <c r="G108" i="31"/>
  <c r="O32" i="32"/>
  <c r="CD110" i="36"/>
  <c r="CD110" i="37"/>
  <c r="AV26" i="35"/>
  <c r="G19" i="31" s="1"/>
  <c r="N21" i="32"/>
  <c r="R41" i="32"/>
  <c r="K16" i="32"/>
  <c r="K20" i="32" s="1"/>
  <c r="R17" i="32" s="1"/>
  <c r="Q41" i="32"/>
  <c r="G16" i="32"/>
  <c r="G20" i="32" s="1"/>
  <c r="O17" i="32" s="1"/>
  <c r="CI250" i="41"/>
  <c r="CL134" i="41"/>
  <c r="CL105" i="41"/>
  <c r="CL129" i="41"/>
  <c r="CL117" i="41"/>
  <c r="CL127" i="41" s="1"/>
  <c r="BS735" i="41"/>
  <c r="CL110" i="41"/>
  <c r="BS729" i="41"/>
  <c r="CI819" i="41"/>
  <c r="CI874" i="41" s="1"/>
  <c r="BC839" i="41"/>
  <c r="N15" i="32"/>
  <c r="F6" i="32"/>
  <c r="F20" i="32"/>
  <c r="F40" i="32" s="1"/>
  <c r="H44" i="32"/>
  <c r="P15" i="32"/>
  <c r="H25" i="32"/>
  <c r="P21" i="32" s="1"/>
  <c r="H43" i="32"/>
  <c r="P41" i="32" s="1"/>
  <c r="H20" i="32"/>
  <c r="P17" i="32" s="1"/>
  <c r="H36" i="32"/>
  <c r="Y17" i="32" s="1"/>
  <c r="H6" i="32"/>
  <c r="CI893" i="41" l="1"/>
  <c r="G91" i="31"/>
  <c r="G168" i="31"/>
  <c r="AA42" i="31"/>
  <c r="AA106" i="31"/>
  <c r="AA48" i="31"/>
  <c r="O6" i="32"/>
  <c r="O3" i="32"/>
  <c r="O7" i="32"/>
  <c r="J6" i="32"/>
  <c r="J20" i="32"/>
  <c r="Q17" i="32" s="1"/>
  <c r="Q6" i="32"/>
  <c r="CL115" i="41"/>
  <c r="AA20" i="31"/>
  <c r="V106" i="31"/>
  <c r="V42" i="31"/>
  <c r="V43" i="31"/>
  <c r="V49" i="31"/>
  <c r="V48" i="31"/>
  <c r="V20" i="31"/>
  <c r="K20" i="31"/>
  <c r="K36" i="31"/>
  <c r="AA37" i="31"/>
  <c r="K34" i="31"/>
  <c r="G160" i="31"/>
  <c r="CV24" i="35"/>
  <c r="G27" i="31"/>
  <c r="G31" i="31"/>
  <c r="G29" i="31"/>
  <c r="V111" i="31"/>
  <c r="V107" i="31"/>
  <c r="CI255" i="41"/>
  <c r="G120" i="31"/>
  <c r="CV22" i="35"/>
  <c r="CV25" i="35" s="1"/>
  <c r="O15" i="32"/>
  <c r="G6" i="32"/>
  <c r="K6" i="32"/>
  <c r="K15" i="32" s="1"/>
  <c r="J40" i="32"/>
  <c r="BS839" i="41"/>
  <c r="H40" i="32"/>
  <c r="F41" i="32"/>
  <c r="N41" i="32" s="1"/>
  <c r="N17" i="32"/>
  <c r="P32" i="32"/>
  <c r="Q3" i="32" l="1"/>
  <c r="J15" i="32"/>
  <c r="Q7" i="32" s="1"/>
  <c r="G40" i="32"/>
  <c r="O40" i="32" s="1"/>
  <c r="N7" i="32"/>
  <c r="N6" i="32"/>
  <c r="N3" i="32"/>
  <c r="R3" i="32"/>
  <c r="R6" i="32"/>
  <c r="K40" i="32"/>
  <c r="AA19" i="31"/>
  <c r="AA27" i="31"/>
  <c r="V28" i="31"/>
  <c r="AA33" i="31"/>
  <c r="V19" i="31"/>
  <c r="V13" i="31"/>
  <c r="V16" i="31"/>
  <c r="V27" i="31"/>
  <c r="AA16" i="31"/>
  <c r="V17" i="31"/>
  <c r="G124" i="31"/>
  <c r="G118" i="31"/>
  <c r="AA118" i="31"/>
  <c r="K35" i="31"/>
  <c r="CL143" i="41"/>
  <c r="G97" i="31" s="1"/>
  <c r="R7" i="32"/>
  <c r="J46" i="32"/>
  <c r="Q40" i="32" s="1"/>
  <c r="Q15" i="32"/>
  <c r="DA17" i="41"/>
  <c r="N40" i="32"/>
  <c r="AA120" i="31" l="1"/>
  <c r="G96" i="31"/>
  <c r="V119" i="31"/>
  <c r="V118" i="31"/>
  <c r="R15" i="32"/>
  <c r="K47" i="32"/>
  <c r="R40" i="32" s="1"/>
  <c r="V96" i="31" l="1"/>
  <c r="AA96" i="31"/>
  <c r="G165" i="31" l="1"/>
  <c r="CI202" i="41" l="1"/>
  <c r="G92" i="31" l="1"/>
  <c r="CI203" i="41"/>
  <c r="G90" i="31" s="1"/>
  <c r="U6" i="33" l="1"/>
  <c r="G151" i="31"/>
  <c r="CI442" i="41"/>
  <c r="CI443" i="41"/>
  <c r="CI447" i="41"/>
  <c r="CI448" i="41"/>
  <c r="CI458" i="41"/>
  <c r="CI467" i="41"/>
  <c r="CI478" i="41"/>
  <c r="CI449" i="41"/>
  <c r="CI460" i="41"/>
  <c r="CI468" i="41"/>
  <c r="CI450" i="41"/>
  <c r="CI461" i="41"/>
  <c r="CI469" i="41"/>
  <c r="CI452" i="41"/>
  <c r="CI462" i="41"/>
  <c r="CI470" i="41"/>
  <c r="CI453" i="41"/>
  <c r="CI463" i="41"/>
  <c r="CI471" i="41"/>
  <c r="CI454" i="41"/>
  <c r="CI464" i="41"/>
  <c r="CI475" i="41"/>
  <c r="CI456" i="41"/>
  <c r="CI465" i="41"/>
  <c r="CI476" i="41"/>
  <c r="CI446" i="41"/>
  <c r="G159" i="31" s="1"/>
  <c r="CI457" i="41"/>
  <c r="CI477" i="41"/>
  <c r="CI459" i="41"/>
  <c r="CI482" i="41" l="1"/>
  <c r="CI503" i="41" s="1"/>
  <c r="G157" i="31"/>
  <c r="BS496" i="41"/>
  <c r="BS497" i="41"/>
  <c r="BS494" i="41"/>
  <c r="G156" i="31" l="1"/>
  <c r="CI584" i="41"/>
  <c r="CI585" i="41"/>
  <c r="CI589" i="41"/>
  <c r="CI583" i="41"/>
  <c r="CI590" i="41"/>
  <c r="CI586" i="41"/>
  <c r="CI592" i="41"/>
  <c r="CI588" i="41"/>
  <c r="CI582" i="41"/>
  <c r="CI591" i="41"/>
  <c r="CI593" i="41" l="1"/>
  <c r="CI682" i="41" s="1"/>
  <c r="F53" i="33"/>
  <c r="BS944" i="41" l="1"/>
  <c r="BS947" i="41" s="1"/>
  <c r="G86" i="31"/>
  <c r="G203" i="31" s="1"/>
  <c r="G145" i="31"/>
  <c r="G167" i="31"/>
  <c r="AA86" i="31" l="1"/>
  <c r="V86" i="31"/>
  <c r="V14" i="31"/>
  <c r="BS714" i="41" l="1"/>
  <c r="G169" i="31" l="1"/>
  <c r="BC944" i="41" l="1"/>
  <c r="BC947" i="41" s="1"/>
  <c r="G85" i="31"/>
  <c r="G202" i="31" s="1"/>
  <c r="G144" i="31"/>
  <c r="G142" i="31" l="1"/>
  <c r="CI944" i="41"/>
  <c r="G164" i="31"/>
  <c r="P6" i="32" l="1"/>
  <c r="P5" i="32"/>
  <c r="P3" i="32" s="1"/>
  <c r="G82" i="31"/>
  <c r="G200" i="31" s="1"/>
  <c r="G87" i="31" l="1"/>
  <c r="AA87" i="31"/>
  <c r="G94" i="31"/>
  <c r="V89" i="31" l="1"/>
  <c r="V88" i="31"/>
  <c r="I188" i="31" l="1"/>
  <c r="X82" i="31"/>
  <c r="X11" i="31"/>
  <c r="BS673" i="41" l="1"/>
  <c r="AO947" i="41" l="1"/>
  <c r="AA85" i="31" l="1"/>
  <c r="V85" i="31"/>
  <c r="AA142" i="31"/>
  <c r="G150" i="31"/>
  <c r="G163" i="31"/>
  <c r="CI947" i="41" l="1"/>
  <c r="V150" i="31"/>
  <c r="AA150" i="31"/>
  <c r="L149" i="31"/>
  <c r="L148" i="31" s="1"/>
  <c r="G187" i="31"/>
  <c r="S152" i="31"/>
  <c r="AA82" i="31"/>
  <c r="V142" i="31"/>
  <c r="V143" i="31"/>
  <c r="L150" i="31" l="1"/>
  <c r="V82" i="31"/>
  <c r="V11" i="31"/>
  <c r="G189" i="31"/>
  <c r="G188" i="31"/>
  <c r="H82" i="31" l="1"/>
  <c r="W11" i="31" l="1"/>
  <c r="H200" i="31"/>
  <c r="W82" i="31"/>
  <c r="H18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8AA0EC4C-87E6-4194-AAEE-CC3AF1A249B3}">
      <text>
        <r>
          <rPr>
            <sz val="9"/>
            <color indexed="81"/>
            <rFont val="Tahoma"/>
            <family val="2"/>
            <charset val="204"/>
          </rPr>
          <t xml:space="preserve">
убрать</t>
        </r>
      </text>
    </comment>
    <comment ref="A47" authorId="0" shapeId="0" xr:uid="{3A09E271-B0A9-4287-9AB5-940DCF08BA88}">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30D77D61-9266-4228-8B91-C02C9F059873}">
      <text>
        <r>
          <rPr>
            <sz val="9"/>
            <color indexed="81"/>
            <rFont val="Tahoma"/>
            <family val="2"/>
            <charset val="204"/>
          </rPr>
          <t xml:space="preserve">
12752,74
добавили в ячейку эту сумму.</t>
        </r>
      </text>
    </comment>
    <comment ref="D48" authorId="1" shapeId="0" xr:uid="{3FF28ADC-BE20-41B3-9825-8B47D436CDEE}">
      <text>
        <r>
          <rPr>
            <sz val="9"/>
            <color indexed="81"/>
            <rFont val="Tahoma"/>
            <family val="2"/>
            <charset val="204"/>
          </rPr>
          <t xml:space="preserve">60 000 - грант
32 310,64 - пожертвован
</t>
        </r>
      </text>
    </comment>
    <comment ref="D51" authorId="2" shapeId="0" xr:uid="{FEF17EA0-6CB6-4722-9AD5-FF61F280038F}">
      <text>
        <r>
          <rPr>
            <sz val="9"/>
            <color indexed="81"/>
            <rFont val="Tahoma"/>
            <family val="2"/>
            <charset val="204"/>
          </rPr>
          <t xml:space="preserve">
добровольное пожертвование 32310,64 + 60000 -грант</t>
        </r>
      </text>
    </comment>
    <comment ref="E51" authorId="2" shapeId="0" xr:uid="{9F7B4552-DA01-46E4-B1D3-51F6A3E9D140}">
      <text>
        <r>
          <rPr>
            <sz val="9"/>
            <color indexed="81"/>
            <rFont val="Tahoma"/>
            <family val="2"/>
            <charset val="204"/>
          </rPr>
          <t xml:space="preserve">
добровольно пожертвование КФО2</t>
        </r>
      </text>
    </comment>
    <comment ref="F51" authorId="2" shapeId="0" xr:uid="{AA8A677B-A90C-47CF-BC9B-B330273D7523}">
      <text>
        <r>
          <rPr>
            <sz val="9"/>
            <color indexed="81"/>
            <rFont val="Tahoma"/>
            <family val="2"/>
            <charset val="204"/>
          </rPr>
          <t xml:space="preserve">
добровольно пожертвование КФО2</t>
        </r>
      </text>
    </comment>
    <comment ref="G51" authorId="2" shapeId="0" xr:uid="{3B42AD42-C427-424E-8B5B-5BD4EAD3F884}">
      <text>
        <r>
          <rPr>
            <sz val="9"/>
            <color indexed="81"/>
            <rFont val="Tahoma"/>
            <family val="2"/>
            <charset val="204"/>
          </rPr>
          <t xml:space="preserve">
добровольно пожертвование КФО2</t>
        </r>
      </text>
    </comment>
    <comment ref="D60" authorId="1" shapeId="0" xr:uid="{143F82D0-E921-42BA-8EF7-29D96FE3DA00}">
      <text>
        <r>
          <rPr>
            <sz val="9"/>
            <color indexed="81"/>
            <rFont val="Tahoma"/>
            <family val="2"/>
            <charset val="204"/>
          </rPr>
          <t xml:space="preserve">автомобиль ИЦ нац проект ДЕМОГРАФИЯ
</t>
        </r>
      </text>
    </comment>
    <comment ref="D61" authorId="2" shapeId="0" xr:uid="{125005A7-C750-4AEB-B0F5-6FE2FCB74FEF}">
      <text>
        <r>
          <rPr>
            <sz val="9"/>
            <color indexed="81"/>
            <rFont val="Tahoma"/>
            <family val="2"/>
            <charset val="204"/>
          </rPr>
          <t xml:space="preserve">
иные цели (КФО5)</t>
        </r>
      </text>
    </comment>
    <comment ref="D62" authorId="0" shapeId="0" xr:uid="{5BE4334D-8C50-4D3C-AB3D-F07292F67DD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3E00833C-2118-406A-89D1-9AF1EE903077}">
      <text>
        <r>
          <rPr>
            <sz val="9"/>
            <color indexed="81"/>
            <rFont val="Tahoma"/>
            <family val="2"/>
            <charset val="204"/>
          </rPr>
          <t xml:space="preserve">продажа металолома от списан автомобиля
</t>
        </r>
      </text>
    </comment>
    <comment ref="E90" authorId="2" shapeId="0" xr:uid="{59CBC49C-0B35-4CA2-919E-6CC92D89502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04C9B4A7-FA69-4554-A539-513D6B732887}">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3298CFAC-4DB8-49E4-ACA0-09057C0DD8CE}">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BF5A247F-0A13-48E8-AB09-BBFE87EA5015}">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AA92" authorId="2" shapeId="0" xr:uid="{69901B34-4B50-494F-AAC3-D84CAE0A64BF}">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614F3F6A-132D-4CCC-8DB7-2E177A97BE5D}">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96CF9AAE-8AE3-4090-9A7B-E99F8DADBCEA}">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F6DD6864-78A3-4903-92EF-69D96C7FB0E7}">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2FB9010C-9F36-4189-9E65-D7AD82F111AC}">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23DF799C-39FD-4703-802E-B24BF0CA5B8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2C3A5540-E58B-428D-A0BD-3E82B4412E29}">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08046D32-EFBF-4A4E-8348-0E18BBD39707}">
      <text>
        <r>
          <rPr>
            <sz val="9"/>
            <color indexed="81"/>
            <rFont val="Tahoma"/>
            <family val="2"/>
            <charset val="204"/>
          </rPr>
          <t xml:space="preserve">Транспортн налог -    9 072,00;
Госпошлина - 3 000,00
</t>
        </r>
      </text>
    </comment>
    <comment ref="F124" authorId="3" shapeId="0" xr:uid="{64D83F28-3173-4251-81ED-D8BDA3DD1900}">
      <text>
        <r>
          <rPr>
            <sz val="9"/>
            <color indexed="81"/>
            <rFont val="Tahoma"/>
            <family val="2"/>
            <charset val="204"/>
          </rPr>
          <t xml:space="preserve">Транспортн налог -    9 072,00;
Госпошлина - 3 000,00
Госпошлина ТС - 2500,00
</t>
        </r>
      </text>
    </comment>
    <comment ref="G124" authorId="3" shapeId="0" xr:uid="{626125C5-B515-4207-9977-1C33BC04D8ED}">
      <text>
        <r>
          <rPr>
            <sz val="9"/>
            <color indexed="81"/>
            <rFont val="Tahoma"/>
            <family val="2"/>
            <charset val="204"/>
          </rPr>
          <t xml:space="preserve">Транспортн налог -    9 072,00;
Госпошлина - 3 000,00
Госпошлина ТС - 2500,00
</t>
        </r>
      </text>
    </comment>
    <comment ref="E144" authorId="2" shapeId="0" xr:uid="{41399278-1540-4CEB-B678-6A644BAF9F6B}">
      <text>
        <r>
          <rPr>
            <sz val="9"/>
            <color indexed="81"/>
            <rFont val="Tahoma"/>
            <family val="2"/>
            <charset val="204"/>
          </rPr>
          <t xml:space="preserve">
</t>
        </r>
        <r>
          <rPr>
            <b/>
            <sz val="9"/>
            <color indexed="81"/>
            <rFont val="Tahoma"/>
            <family val="2"/>
            <charset val="204"/>
          </rPr>
          <t>ГЗ+ИЦ</t>
        </r>
      </text>
    </comment>
    <comment ref="F144" authorId="2" shapeId="0" xr:uid="{4C31BA46-64FA-424B-A593-D66C4F9AB2D6}">
      <text>
        <r>
          <rPr>
            <sz val="9"/>
            <color indexed="81"/>
            <rFont val="Tahoma"/>
            <family val="2"/>
            <charset val="204"/>
          </rPr>
          <t xml:space="preserve">
</t>
        </r>
        <r>
          <rPr>
            <b/>
            <sz val="9"/>
            <color indexed="81"/>
            <rFont val="Tahoma"/>
            <family val="2"/>
            <charset val="204"/>
          </rPr>
          <t>ГЗ+ИЦ</t>
        </r>
      </text>
    </comment>
    <comment ref="G144" authorId="2" shapeId="0" xr:uid="{0BABBA22-51AD-4334-9632-77F58A2D75C6}">
      <text>
        <r>
          <rPr>
            <sz val="9"/>
            <color indexed="81"/>
            <rFont val="Tahoma"/>
            <family val="2"/>
            <charset val="204"/>
          </rPr>
          <t xml:space="preserve">
</t>
        </r>
        <r>
          <rPr>
            <b/>
            <sz val="9"/>
            <color indexed="81"/>
            <rFont val="Tahoma"/>
            <family val="2"/>
            <charset val="204"/>
          </rPr>
          <t>ГЗ+ИЦ</t>
        </r>
      </text>
    </comment>
    <comment ref="E145" authorId="2" shapeId="0" xr:uid="{CCB796EF-39AF-45FB-8296-2200E965325F}">
      <text>
        <r>
          <rPr>
            <sz val="9"/>
            <color indexed="81"/>
            <rFont val="Tahoma"/>
            <family val="2"/>
            <charset val="204"/>
          </rPr>
          <t xml:space="preserve">
</t>
        </r>
        <r>
          <rPr>
            <b/>
            <sz val="9"/>
            <color indexed="81"/>
            <rFont val="Tahoma"/>
            <family val="2"/>
            <charset val="204"/>
          </rPr>
          <t>ПДД</t>
        </r>
      </text>
    </comment>
    <comment ref="F145" authorId="2" shapeId="0" xr:uid="{ABDAA98B-66E0-4A14-93FB-0B6530631947}">
      <text>
        <r>
          <rPr>
            <sz val="9"/>
            <color indexed="81"/>
            <rFont val="Tahoma"/>
            <family val="2"/>
            <charset val="204"/>
          </rPr>
          <t xml:space="preserve">
</t>
        </r>
        <r>
          <rPr>
            <b/>
            <sz val="9"/>
            <color indexed="81"/>
            <rFont val="Tahoma"/>
            <family val="2"/>
            <charset val="204"/>
          </rPr>
          <t>ПДД</t>
        </r>
      </text>
    </comment>
    <comment ref="G145" authorId="2" shapeId="0" xr:uid="{20FCA46B-24FF-4D14-95AA-3C612BED6B9A}">
      <text>
        <r>
          <rPr>
            <sz val="9"/>
            <color indexed="81"/>
            <rFont val="Tahoma"/>
            <family val="2"/>
            <charset val="204"/>
          </rPr>
          <t xml:space="preserve">
</t>
        </r>
        <r>
          <rPr>
            <b/>
            <sz val="9"/>
            <color indexed="81"/>
            <rFont val="Tahoma"/>
            <family val="2"/>
            <charset val="204"/>
          </rPr>
          <t>ПДД</t>
        </r>
      </text>
    </comment>
    <comment ref="E150" authorId="2" shapeId="0" xr:uid="{48D89B70-6A4C-47B7-A083-9622734540E2}">
      <text>
        <r>
          <rPr>
            <sz val="9"/>
            <color indexed="81"/>
            <rFont val="Tahoma"/>
            <family val="2"/>
            <charset val="204"/>
          </rPr>
          <t xml:space="preserve">
- страхование машин</t>
        </r>
      </text>
    </comment>
    <comment ref="F150" authorId="2" shapeId="0" xr:uid="{7B39603C-FF24-4D57-B851-0FBC5C6E426D}">
      <text>
        <r>
          <rPr>
            <sz val="9"/>
            <color indexed="81"/>
            <rFont val="Tahoma"/>
            <family val="2"/>
            <charset val="204"/>
          </rPr>
          <t xml:space="preserve">
- страхование машин</t>
        </r>
      </text>
    </comment>
    <comment ref="G150" authorId="2" shapeId="0" xr:uid="{EA519C7E-269A-415D-8A9F-36B30C4DFF20}">
      <text>
        <r>
          <rPr>
            <sz val="9"/>
            <color indexed="81"/>
            <rFont val="Tahoma"/>
            <family val="2"/>
            <charset val="204"/>
          </rPr>
          <t xml:space="preserve">
- страхование машин</t>
        </r>
      </text>
    </comment>
    <comment ref="E159" authorId="2" shapeId="0" xr:uid="{CA9B8167-2C3C-4997-9FFD-230026CBCA67}">
      <text>
        <r>
          <rPr>
            <sz val="9"/>
            <color indexed="81"/>
            <rFont val="Tahoma"/>
            <family val="2"/>
            <charset val="204"/>
          </rPr>
          <t xml:space="preserve">
 ремонт крыльца 2 шт. по 5 1 592 000+ ремонт комнат по 4 
207 359,98</t>
        </r>
      </text>
    </comment>
    <comment ref="E160" authorId="2" shapeId="0" xr:uid="{D07676A0-2C51-4C3A-A864-956F5AECC48D}">
      <text>
        <r>
          <rPr>
            <sz val="9"/>
            <color indexed="81"/>
            <rFont val="Tahoma"/>
            <family val="2"/>
            <charset val="204"/>
          </rPr>
          <t xml:space="preserve">
КОСГУ 226 (ГЗ +ПДД+Иные цели)</t>
        </r>
      </text>
    </comment>
    <comment ref="F160" authorId="2" shapeId="0" xr:uid="{377C7F6E-3B40-4C55-AE94-10AE2C06E1EE}">
      <text>
        <r>
          <rPr>
            <sz val="9"/>
            <color indexed="81"/>
            <rFont val="Tahoma"/>
            <family val="2"/>
            <charset val="204"/>
          </rPr>
          <t xml:space="preserve">
КОСГУ 226 (ГЗ +ПДД+Иные цели)</t>
        </r>
      </text>
    </comment>
    <comment ref="G160" authorId="2" shapeId="0" xr:uid="{5EFCBBBC-6460-4C65-A914-D58EAF63B075}">
      <text>
        <r>
          <rPr>
            <sz val="9"/>
            <color indexed="81"/>
            <rFont val="Tahoma"/>
            <family val="2"/>
            <charset val="204"/>
          </rPr>
          <t xml:space="preserve">
КОСГУ 226 (ГЗ +ПДД+Иные цели)</t>
        </r>
      </text>
    </comment>
    <comment ref="E187" authorId="1" shapeId="0" xr:uid="{54C0047F-184C-4B01-9404-40251866FDA1}">
      <text>
        <r>
          <rPr>
            <sz val="9"/>
            <color indexed="81"/>
            <rFont val="Tahoma"/>
            <family val="2"/>
            <charset val="204"/>
          </rPr>
          <t xml:space="preserve">разница автострахование
</t>
        </r>
      </text>
    </comment>
    <comment ref="F188" authorId="3" shapeId="0" xr:uid="{1E1FA458-552E-4A85-85E9-663F30B33E36}">
      <text>
        <r>
          <rPr>
            <sz val="9"/>
            <color indexed="81"/>
            <rFont val="Tahoma"/>
            <family val="2"/>
            <charset val="204"/>
          </rPr>
          <t xml:space="preserve">5-332 181,18;
4-5 131 051,76;
2-3 745 340,07
страхование 13 214,92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Татьяна</author>
  </authors>
  <commentList>
    <comment ref="H10" authorId="0" shapeId="0" xr:uid="{00000000-0006-0000-0200-000001000000}">
      <text>
        <r>
          <rPr>
            <sz val="9"/>
            <color indexed="81"/>
            <rFont val="Tahoma"/>
            <family val="2"/>
            <charset val="204"/>
          </rPr>
          <t xml:space="preserve">4+2
</t>
        </r>
      </text>
    </comment>
    <comment ref="I10" authorId="0" shapeId="0" xr:uid="{00000000-0006-0000-0200-000002000000}">
      <text>
        <r>
          <rPr>
            <sz val="9"/>
            <color indexed="81"/>
            <rFont val="Tahoma"/>
            <family val="2"/>
            <charset val="204"/>
          </rPr>
          <t>4 7423240,07
2 11102420</t>
        </r>
      </text>
    </comment>
    <comment ref="H16" authorId="0" shapeId="0" xr:uid="{00000000-0006-0000-0200-000004000000}">
      <text>
        <r>
          <rPr>
            <sz val="9"/>
            <color indexed="81"/>
            <rFont val="Tahoma"/>
            <family val="2"/>
            <charset val="204"/>
          </rPr>
          <t xml:space="preserve">4
</t>
        </r>
      </text>
    </comment>
    <comment ref="H21" authorId="0" shapeId="0" xr:uid="{00000000-0006-0000-0200-000006000000}">
      <text>
        <r>
          <rPr>
            <sz val="9"/>
            <color indexed="81"/>
            <rFont val="Tahoma"/>
            <family val="2"/>
            <charset val="204"/>
          </rPr>
          <t>5
сумма по иц</t>
        </r>
      </text>
    </comment>
    <comment ref="I21" authorId="0" shapeId="0" xr:uid="{00000000-0006-0000-0200-000007000000}">
      <text>
        <r>
          <rPr>
            <sz val="9"/>
            <color indexed="81"/>
            <rFont val="Tahoma"/>
            <family val="2"/>
            <charset val="204"/>
          </rPr>
          <t>5
сумма по иц</t>
        </r>
      </text>
    </comment>
    <comment ref="H32" authorId="0" shapeId="0" xr:uid="{00000000-0006-0000-0200-000008000000}">
      <text>
        <r>
          <rPr>
            <sz val="9"/>
            <color indexed="81"/>
            <rFont val="Tahoma"/>
            <family val="2"/>
            <charset val="204"/>
          </rPr>
          <t xml:space="preserve">2
</t>
        </r>
      </text>
    </comment>
    <comment ref="I32" authorId="0" shapeId="0" xr:uid="{00000000-0006-0000-0200-000009000000}">
      <text>
        <r>
          <rPr>
            <sz val="9"/>
            <color indexed="81"/>
            <rFont val="Tahoma"/>
            <family val="2"/>
            <charset val="204"/>
          </rPr>
          <t xml:space="preserve">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2DB7D4F1-1833-4983-A42E-B4E419B2F73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83888BFD-706A-465D-A26C-E0C90EC5C50B}">
      <text>
        <r>
          <rPr>
            <sz val="9"/>
            <color indexed="81"/>
            <rFont val="Tahoma"/>
            <family val="2"/>
            <charset val="204"/>
          </rPr>
          <t xml:space="preserve">Водоснабжение=хол вода+гор вода
</t>
        </r>
      </text>
    </comment>
    <comment ref="H364" authorId="0" shapeId="0" xr:uid="{535E6739-DABC-4A15-84C5-4E88FB80F31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FACDD8A7-CAFA-4DCE-B3D4-F128B144BDAD}">
      <text>
        <r>
          <rPr>
            <sz val="9"/>
            <color indexed="81"/>
            <rFont val="Tahoma"/>
            <family val="2"/>
            <charset val="204"/>
          </rPr>
          <t xml:space="preserve">Водоснабжение
</t>
        </r>
      </text>
    </comment>
    <comment ref="H380" authorId="0" shapeId="0" xr:uid="{A615DDA1-83EA-4243-A60D-C50E6B7A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174F8153-8C93-46D0-B064-95C46C597F39}">
      <text>
        <r>
          <rPr>
            <sz val="9"/>
            <color indexed="81"/>
            <rFont val="Tahoma"/>
            <family val="2"/>
            <charset val="204"/>
          </rPr>
          <t xml:space="preserve">Водоснабжение
</t>
        </r>
      </text>
    </comment>
    <comment ref="H404" authorId="0" shapeId="0" xr:uid="{9D2B383E-F22F-43C3-B8AB-0D6FCF6A151E}">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CK407" authorId="1" shapeId="0" xr:uid="{A206738F-A6E6-425E-A123-F4C715879F1E}">
      <text>
        <r>
          <rPr>
            <sz val="9"/>
            <color indexed="81"/>
            <rFont val="Tahoma"/>
            <family val="2"/>
            <charset val="204"/>
          </rPr>
          <t xml:space="preserve">Ручной ввод
</t>
        </r>
      </text>
    </comment>
    <comment ref="H410" authorId="0" shapeId="0" xr:uid="{FC8BC3F9-E990-46C3-AE2B-1E23E789CB7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0CCCC47F-24C7-4447-9268-15106CD7088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DF2D98FE-9149-4E7F-8FD9-70AF563084C3}">
      <text>
        <r>
          <rPr>
            <sz val="9"/>
            <color indexed="81"/>
            <rFont val="Tahoma"/>
            <family val="2"/>
            <charset val="204"/>
          </rPr>
          <t xml:space="preserve">Водоснабжение
</t>
        </r>
      </text>
    </comment>
    <comment ref="H604" authorId="1" shapeId="0" xr:uid="{79DDA400-B048-4A40-9584-29E2DF395BA6}">
      <text>
        <r>
          <rPr>
            <sz val="9"/>
            <color indexed="81"/>
            <rFont val="Tahoma"/>
            <family val="2"/>
            <charset val="204"/>
          </rPr>
          <t xml:space="preserve">1 шт. 120 000 ОБ пож
</t>
        </r>
      </text>
    </comment>
    <comment ref="CI869" authorId="1" shapeId="0" xr:uid="{00000000-0006-0000-0B00-00000E000000}">
      <text>
        <r>
          <rPr>
            <sz val="9"/>
            <color indexed="81"/>
            <rFont val="Tahoma"/>
            <family val="2"/>
            <charset val="204"/>
          </rPr>
          <t xml:space="preserve">Пожертвован
</t>
        </r>
      </text>
    </comment>
    <comment ref="AO944" authorId="2" shapeId="0" xr:uid="{00000000-0006-0000-0B00-00000F000000}">
      <text>
        <r>
          <rPr>
            <b/>
            <sz val="9"/>
            <color indexed="81"/>
            <rFont val="Tahoma"/>
            <family val="2"/>
            <charset val="204"/>
          </rPr>
          <t>GKS:</t>
        </r>
        <r>
          <rPr>
            <sz val="9"/>
            <color indexed="81"/>
            <rFont val="Tahoma"/>
            <family val="2"/>
            <charset val="204"/>
          </rPr>
          <t xml:space="preserve">
иные цели *5*
</t>
        </r>
      </text>
    </comment>
    <comment ref="BC944" authorId="1" shapeId="0" xr:uid="{00000000-0006-0000-0B00-000010000000}">
      <text>
        <r>
          <rPr>
            <sz val="9"/>
            <color indexed="81"/>
            <rFont val="Tahoma"/>
            <family val="2"/>
            <charset val="204"/>
          </rPr>
          <t xml:space="preserve">
Субсидия на ГЗ (КФО4)</t>
        </r>
      </text>
    </comment>
    <comment ref="BS944" authorId="1" shapeId="0" xr:uid="{00000000-0006-0000-0B00-000011000000}">
      <text>
        <r>
          <rPr>
            <sz val="9"/>
            <color indexed="81"/>
            <rFont val="Tahoma"/>
            <family val="2"/>
            <charset val="204"/>
          </rPr>
          <t xml:space="preserve">
Иная приносящая доход деятельность (КФО2)</t>
        </r>
      </text>
    </comment>
    <comment ref="AO946" authorId="1" shapeId="0" xr:uid="{00000000-0006-0000-0B00-000012000000}">
      <text>
        <r>
          <rPr>
            <sz val="9"/>
            <color indexed="81"/>
            <rFont val="Tahoma"/>
            <family val="2"/>
            <charset val="204"/>
          </rPr>
          <t xml:space="preserve">
Субсидия на иные цели (КФО5)</t>
        </r>
      </text>
    </comment>
    <comment ref="BC946" authorId="1" shapeId="0" xr:uid="{00000000-0006-0000-0B00-000013000000}">
      <text>
        <r>
          <rPr>
            <sz val="9"/>
            <color indexed="81"/>
            <rFont val="Tahoma"/>
            <family val="2"/>
            <charset val="204"/>
          </rPr>
          <t xml:space="preserve">
Субсидия на ГЗ (КФО4)
сумма указана без остатка по "5" 1 144 105,78 </t>
        </r>
      </text>
    </comment>
    <comment ref="BS946" authorId="1" shapeId="0" xr:uid="{00000000-0006-0000-0B00-000014000000}">
      <text>
        <r>
          <rPr>
            <sz val="9"/>
            <color indexed="81"/>
            <rFont val="Tahoma"/>
            <family val="2"/>
            <charset val="204"/>
          </rPr>
          <t xml:space="preserve">
Иная приносящая доход деятельность (КФО2)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B18F2E7E-0DAC-46ED-8887-09650D50785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E2B01F07-E77E-4940-BEE6-58868A0684BE}">
      <text>
        <r>
          <rPr>
            <sz val="9"/>
            <color indexed="81"/>
            <rFont val="Tahoma"/>
            <family val="2"/>
            <charset val="204"/>
          </rPr>
          <t xml:space="preserve">Водоснабжение=хол вода+гор вода
</t>
        </r>
      </text>
    </comment>
    <comment ref="CK361" authorId="1" shapeId="0" xr:uid="{575255CE-B632-436D-A055-C82A26BAD034}">
      <text>
        <r>
          <rPr>
            <sz val="9"/>
            <color indexed="81"/>
            <rFont val="Tahoma"/>
            <family val="2"/>
            <charset val="204"/>
          </rPr>
          <t xml:space="preserve">Ручной ввод
</t>
        </r>
      </text>
    </comment>
    <comment ref="H364" authorId="0" shapeId="0" xr:uid="{CF008D1A-1BAD-4D84-8A4C-DD54F4FAD562}">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0684C2C2-B997-4659-877E-0A41E2DD45B6}">
      <text>
        <r>
          <rPr>
            <sz val="9"/>
            <color indexed="81"/>
            <rFont val="Tahoma"/>
            <family val="2"/>
            <charset val="204"/>
          </rPr>
          <t xml:space="preserve">Водоснабжение
</t>
        </r>
      </text>
    </comment>
    <comment ref="H380" authorId="0" shapeId="0" xr:uid="{DC4FB060-711B-40A0-86DF-29A40C14A96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AA56BD9-FD93-4EB0-956B-4D262BB185F2}">
      <text>
        <r>
          <rPr>
            <sz val="9"/>
            <color indexed="81"/>
            <rFont val="Tahoma"/>
            <family val="2"/>
            <charset val="204"/>
          </rPr>
          <t xml:space="preserve">Водоснабжение
</t>
        </r>
      </text>
    </comment>
    <comment ref="H404" authorId="0" shapeId="0" xr:uid="{D95F03A4-421B-4D90-8182-21385C9C1361}">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0" authorId="0" shapeId="0" xr:uid="{F671761C-B749-4B11-B341-0ACD1CF8E99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D9F734CF-D0FD-44F1-9814-81442605B2D7}">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1EB8ACA9-4FEF-4D10-A194-13130BE19358}">
      <text>
        <r>
          <rPr>
            <sz val="9"/>
            <color indexed="81"/>
            <rFont val="Tahoma"/>
            <family val="2"/>
            <charset val="204"/>
          </rPr>
          <t xml:space="preserve">Водоснабжение
</t>
        </r>
      </text>
    </comment>
    <comment ref="H603" authorId="1" shapeId="0" xr:uid="{0D7F5703-8DBB-471A-AFA7-B297AA520FA6}">
      <text>
        <r>
          <rPr>
            <sz val="9"/>
            <color indexed="81"/>
            <rFont val="Tahoma"/>
            <family val="2"/>
            <charset val="204"/>
          </rPr>
          <t xml:space="preserve">1 шт. 120 000 ОБ пож
</t>
        </r>
      </text>
    </comment>
    <comment ref="H628" authorId="1" shapeId="0" xr:uid="{9EEAC7A1-6129-41EA-9AF1-25EA1D3DB56D}">
      <text>
        <r>
          <rPr>
            <sz val="9"/>
            <color indexed="81"/>
            <rFont val="Tahoma"/>
            <family val="2"/>
            <charset val="204"/>
          </rPr>
          <t xml:space="preserve">1 шт. 120 000 ОБ пож
</t>
        </r>
      </text>
    </comment>
    <comment ref="CI837" authorId="1" shapeId="0" xr:uid="{8E9DFA83-AD42-40E7-B791-FCC9591B696E}">
      <text>
        <r>
          <rPr>
            <sz val="9"/>
            <color indexed="81"/>
            <rFont val="Tahoma"/>
            <family val="2"/>
            <charset val="204"/>
          </rPr>
          <t xml:space="preserve">Пожертвован
</t>
        </r>
      </text>
    </comment>
    <comment ref="AO912" authorId="2" shapeId="0" xr:uid="{7B91AC88-70A9-434E-94D2-01C733C3D4F1}">
      <text>
        <r>
          <rPr>
            <b/>
            <sz val="9"/>
            <color indexed="81"/>
            <rFont val="Tahoma"/>
            <family val="2"/>
            <charset val="204"/>
          </rPr>
          <t>GKS:</t>
        </r>
        <r>
          <rPr>
            <sz val="9"/>
            <color indexed="81"/>
            <rFont val="Tahoma"/>
            <family val="2"/>
            <charset val="204"/>
          </rPr>
          <t xml:space="preserve">
иные цели *5*
</t>
        </r>
      </text>
    </comment>
    <comment ref="BC912" authorId="1" shapeId="0" xr:uid="{5C59E14B-4BD3-4DF8-B68C-E05EAE6DBBA8}">
      <text>
        <r>
          <rPr>
            <sz val="9"/>
            <color indexed="81"/>
            <rFont val="Tahoma"/>
            <family val="2"/>
            <charset val="204"/>
          </rPr>
          <t xml:space="preserve">
Субсидия на ГЗ (КФО4)</t>
        </r>
      </text>
    </comment>
    <comment ref="BS912" authorId="1" shapeId="0" xr:uid="{C7EB1A0B-F7B9-418B-919A-F661E64C1E2D}">
      <text>
        <r>
          <rPr>
            <sz val="9"/>
            <color indexed="81"/>
            <rFont val="Tahoma"/>
            <family val="2"/>
            <charset val="204"/>
          </rPr>
          <t xml:space="preserve">
Иная приносящая доход деятельность (КФО2)</t>
        </r>
      </text>
    </comment>
    <comment ref="AO914" authorId="1" shapeId="0" xr:uid="{8EABCB4D-CC2B-430C-BB62-B226BFAC68F7}">
      <text>
        <r>
          <rPr>
            <sz val="9"/>
            <color indexed="81"/>
            <rFont val="Tahoma"/>
            <family val="2"/>
            <charset val="204"/>
          </rPr>
          <t xml:space="preserve">
Субсидия на иные цели (КФО5)</t>
        </r>
      </text>
    </comment>
    <comment ref="BC914" authorId="1" shapeId="0" xr:uid="{09B1FF8B-4A2E-4277-A526-69FFC2DDA1E3}">
      <text>
        <r>
          <rPr>
            <sz val="9"/>
            <color indexed="81"/>
            <rFont val="Tahoma"/>
            <family val="2"/>
            <charset val="204"/>
          </rPr>
          <t xml:space="preserve">
Субсидия на ГЗ (КФО4)
сумма указана без остатка по "5" 1 144 105,78 </t>
        </r>
      </text>
    </comment>
    <comment ref="BS914" authorId="1" shapeId="0" xr:uid="{5A0152BF-362D-4E86-A748-D61613A4481C}">
      <text>
        <r>
          <rPr>
            <sz val="9"/>
            <color indexed="81"/>
            <rFont val="Tahoma"/>
            <family val="2"/>
            <charset val="204"/>
          </rPr>
          <t xml:space="preserve">
Иная приносящая доход деятельность (КФО2)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C0F9BA45-B014-4F57-8C7C-73B6C52F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47DFAF5C-C64A-44B5-8F17-A34D9C3BD8E3}">
      <text>
        <r>
          <rPr>
            <sz val="9"/>
            <color indexed="81"/>
            <rFont val="Tahoma"/>
            <family val="2"/>
            <charset val="204"/>
          </rPr>
          <t xml:space="preserve">Водоснабжение=хол вода+гор вода
</t>
        </r>
      </text>
    </comment>
    <comment ref="CK361" authorId="1" shapeId="0" xr:uid="{37011803-5345-4107-A016-FCB4A302B795}">
      <text>
        <r>
          <rPr>
            <sz val="9"/>
            <color indexed="81"/>
            <rFont val="Tahoma"/>
            <family val="2"/>
            <charset val="204"/>
          </rPr>
          <t xml:space="preserve">Ручной ввод
</t>
        </r>
      </text>
    </comment>
    <comment ref="H364" authorId="0" shapeId="0" xr:uid="{253FA9D3-4DA4-4802-906E-15AC171FE43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6B83D255-D957-4FAD-A50F-918F83CE24D1}">
      <text>
        <r>
          <rPr>
            <sz val="9"/>
            <color indexed="81"/>
            <rFont val="Tahoma"/>
            <family val="2"/>
            <charset val="204"/>
          </rPr>
          <t xml:space="preserve">Водоснабжение
</t>
        </r>
      </text>
    </comment>
    <comment ref="H380" authorId="0" shapeId="0" xr:uid="{A2CBFAA8-364D-4A0B-9EF5-3D90CBA74A2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C7B9B54-8261-423C-857B-9C9F80148D0C}">
      <text>
        <r>
          <rPr>
            <sz val="9"/>
            <color indexed="81"/>
            <rFont val="Tahoma"/>
            <family val="2"/>
            <charset val="204"/>
          </rPr>
          <t xml:space="preserve">Водоснабжение
</t>
        </r>
      </text>
    </comment>
    <comment ref="H404" authorId="0" shapeId="0" xr:uid="{6D6ED0D7-14ED-4BE0-8737-B5024A3BA2E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CK407" authorId="1" shapeId="0" xr:uid="{08EB5FDB-DCC8-4247-8D6E-8F10FBC40791}">
      <text>
        <r>
          <rPr>
            <sz val="9"/>
            <color indexed="81"/>
            <rFont val="Tahoma"/>
            <family val="2"/>
            <charset val="204"/>
          </rPr>
          <t xml:space="preserve">Ручной ввод
</t>
        </r>
      </text>
    </comment>
    <comment ref="H410" authorId="0" shapeId="0" xr:uid="{FA3AD287-2250-498A-89E2-CDB222A4BD6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A3E6BAAA-93D6-4617-8B77-073CB63AF34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2137058B-E147-4D4E-9B8D-A0F8FD4271DF}">
      <text>
        <r>
          <rPr>
            <sz val="9"/>
            <color indexed="81"/>
            <rFont val="Tahoma"/>
            <family val="2"/>
            <charset val="204"/>
          </rPr>
          <t xml:space="preserve">Водоснабжение
</t>
        </r>
      </text>
    </comment>
    <comment ref="H603" authorId="1" shapeId="0" xr:uid="{9BCC4001-346B-4DDC-AB7B-A57E75DF040A}">
      <text>
        <r>
          <rPr>
            <sz val="9"/>
            <color indexed="81"/>
            <rFont val="Tahoma"/>
            <family val="2"/>
            <charset val="204"/>
          </rPr>
          <t xml:space="preserve">1 шт. 120 000 ОБ пож
</t>
        </r>
      </text>
    </comment>
    <comment ref="H628" authorId="1" shapeId="0" xr:uid="{AD5F617A-7B70-4D68-AA73-2DC83F33BC40}">
      <text>
        <r>
          <rPr>
            <sz val="9"/>
            <color indexed="81"/>
            <rFont val="Tahoma"/>
            <family val="2"/>
            <charset val="204"/>
          </rPr>
          <t xml:space="preserve">1 шт. 120 000 ОБ пож
</t>
        </r>
      </text>
    </comment>
    <comment ref="CI837" authorId="1" shapeId="0" xr:uid="{DC374838-7EC9-4FF6-8328-1C658F1314D7}">
      <text>
        <r>
          <rPr>
            <sz val="9"/>
            <color indexed="81"/>
            <rFont val="Tahoma"/>
            <family val="2"/>
            <charset val="204"/>
          </rPr>
          <t xml:space="preserve">Пожертвован
</t>
        </r>
      </text>
    </comment>
    <comment ref="AO912" authorId="2" shapeId="0" xr:uid="{A06C8D95-BDAB-49B2-96E0-34919208A721}">
      <text>
        <r>
          <rPr>
            <b/>
            <sz val="9"/>
            <color indexed="81"/>
            <rFont val="Tahoma"/>
            <family val="2"/>
            <charset val="204"/>
          </rPr>
          <t>GKS:</t>
        </r>
        <r>
          <rPr>
            <sz val="9"/>
            <color indexed="81"/>
            <rFont val="Tahoma"/>
            <family val="2"/>
            <charset val="204"/>
          </rPr>
          <t xml:space="preserve">
иные цели *5*
</t>
        </r>
      </text>
    </comment>
    <comment ref="BC912" authorId="1" shapeId="0" xr:uid="{EFB08B1B-7837-4AD9-9809-B6A8E3884165}">
      <text>
        <r>
          <rPr>
            <sz val="9"/>
            <color indexed="81"/>
            <rFont val="Tahoma"/>
            <family val="2"/>
            <charset val="204"/>
          </rPr>
          <t xml:space="preserve">
Субсидия на ГЗ (КФО4)</t>
        </r>
      </text>
    </comment>
    <comment ref="BS912" authorId="1" shapeId="0" xr:uid="{80941584-BB7B-4CFF-A986-E0C97646D5FE}">
      <text>
        <r>
          <rPr>
            <sz val="9"/>
            <color indexed="81"/>
            <rFont val="Tahoma"/>
            <family val="2"/>
            <charset val="204"/>
          </rPr>
          <t xml:space="preserve">
Иная приносящая доход деятельность (КФО2)</t>
        </r>
      </text>
    </comment>
    <comment ref="AO914" authorId="1" shapeId="0" xr:uid="{1CBF4A34-F3D1-4A0F-BFC5-C979C41A89C1}">
      <text>
        <r>
          <rPr>
            <sz val="9"/>
            <color indexed="81"/>
            <rFont val="Tahoma"/>
            <family val="2"/>
            <charset val="204"/>
          </rPr>
          <t xml:space="preserve">
Субсидия на иные цели (КФО5)</t>
        </r>
      </text>
    </comment>
    <comment ref="BC914" authorId="1" shapeId="0" xr:uid="{EB432220-2D71-476B-A591-90659839EAB9}">
      <text>
        <r>
          <rPr>
            <sz val="9"/>
            <color indexed="81"/>
            <rFont val="Tahoma"/>
            <family val="2"/>
            <charset val="204"/>
          </rPr>
          <t xml:space="preserve">
Субсидия на ГЗ (КФО4)
сумма указана без остатка по "5" 1 144 105,78 </t>
        </r>
      </text>
    </comment>
    <comment ref="BS914" authorId="1" shapeId="0" xr:uid="{F9D1B543-3944-4CBC-A3C3-C381A0D43396}">
      <text>
        <r>
          <rPr>
            <sz val="9"/>
            <color indexed="81"/>
            <rFont val="Tahoma"/>
            <family val="2"/>
            <charset val="204"/>
          </rPr>
          <t xml:space="preserve">
Иная приносящая доход деятельность (КФО2)</t>
        </r>
      </text>
    </comment>
  </commentList>
</comments>
</file>

<file path=xl/sharedStrings.xml><?xml version="1.0" encoding="utf-8"?>
<sst xmlns="http://schemas.openxmlformats.org/spreadsheetml/2006/main" count="6397" uniqueCount="1100">
  <si>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</si>
  <si>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</si>
  <si>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</si>
  <si>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</si>
  <si>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</si>
  <si>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</si>
  <si>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</si>
  <si>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</si>
  <si>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</si>
  <si>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</si>
  <si>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</si>
  <si>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</si>
  <si>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</si>
  <si>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</si>
  <si>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</si>
  <si>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</si>
  <si>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</si>
  <si>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</si>
  <si>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</si>
  <si>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</si>
  <si>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</si>
  <si>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</si>
  <si>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</si>
  <si>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</si>
  <si>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</si>
  <si>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</si>
  <si>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</si>
  <si>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</si>
  <si>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</si>
  <si>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</si>
  <si>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</si>
  <si>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</si>
  <si>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</si>
  <si>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</si>
  <si>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</si>
  <si>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</si>
  <si>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</si>
  <si>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</si>
  <si>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</si>
  <si>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</si>
  <si>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</si>
  <si>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</si>
  <si>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</si>
  <si>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</si>
  <si>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</si>
  <si>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</si>
  <si>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средства на уплату налогов, в качестве объекта налогообложения по которым признается имущество учреждения</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</si>
  <si>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</si>
  <si>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</si>
  <si>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</si>
  <si>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</si>
  <si>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</si>
  <si>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</si>
  <si>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</si>
  <si>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</si>
  <si>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</si>
  <si>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</si>
  <si>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</si>
  <si>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</si>
  <si>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</si>
  <si>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</si>
  <si>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</si>
  <si>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</si>
  <si>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</si>
  <si>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</si>
  <si>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</si>
  <si>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</si>
  <si>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</si>
  <si>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</si>
  <si>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</si>
  <si>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</si>
  <si>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</si>
  <si>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2.1</t>
  </si>
  <si>
    <t>2.2</t>
  </si>
  <si>
    <t>2.3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</si>
  <si>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</si>
  <si>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</si>
  <si>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</si>
  <si>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</si>
  <si>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</si>
  <si>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</si>
  <si>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</si>
  <si>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</si>
  <si>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</si>
  <si>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</si>
  <si>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</si>
  <si>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</si>
  <si>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</si>
  <si>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</si>
  <si>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</si>
  <si>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</si>
  <si>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</si>
  <si>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</si>
  <si>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</si>
  <si>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</si>
  <si>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</si>
  <si>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</si>
  <si>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</si>
  <si>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</si>
  <si>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</si>
  <si>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</si>
  <si>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</si>
  <si>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</si>
  <si>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Наименование учреждения (подразделения)
</t>
  </si>
  <si>
    <t xml:space="preserve">глава по БК
</t>
  </si>
  <si>
    <t xml:space="preserve">Орган, осуществляющий функции и полномочия учредителя
</t>
  </si>
  <si>
    <t xml:space="preserve">ИНН
</t>
  </si>
  <si>
    <t xml:space="preserve">КПП
</t>
  </si>
  <si>
    <t xml:space="preserve">по ОКЕИ
</t>
  </si>
  <si>
    <t>Единица измерения: рубли</t>
  </si>
  <si>
    <t>Раздел 1. Поступления и выплаты</t>
  </si>
  <si>
    <t>за пределами планового периода</t>
  </si>
  <si>
    <t>x</t>
  </si>
  <si>
    <t>средства федерального бюджета</t>
  </si>
  <si>
    <t>средства областного бюджета</t>
  </si>
  <si>
    <t>внебюджетные источники</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</si>
  <si>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</si>
  <si>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</si>
  <si>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</si>
  <si>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</si>
  <si>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</si>
  <si>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</si>
  <si>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</si>
  <si>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</si>
  <si>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</si>
  <si>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</si>
  <si>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</si>
  <si>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</si>
  <si>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за счет средств федерального бюджета</t>
  </si>
  <si>
    <t>за счет средств областного бюджета</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</si>
  <si>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</si>
  <si>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</si>
  <si>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</si>
  <si>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</si>
  <si>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</si>
  <si>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</si>
  <si>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</si>
  <si>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</si>
  <si>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</si>
  <si>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</si>
  <si>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</si>
  <si>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</si>
  <si>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</si>
  <si>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</si>
  <si>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</si>
  <si>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</si>
  <si>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</si>
  <si>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</si>
  <si>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</si>
  <si>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</si>
  <si>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</si>
  <si>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</si>
  <si>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</si>
  <si>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</si>
  <si>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</si>
  <si>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</si>
  <si>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</si>
  <si>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</si>
  <si>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</si>
  <si>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</si>
  <si>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</si>
  <si>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</si>
  <si>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</si>
  <si>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</si>
  <si>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</si>
  <si>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&lt;2&gt;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</si>
  <si>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</si>
  <si>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</si>
  <si>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</si>
  <si>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</si>
  <si>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</si>
  <si>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</si>
  <si>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</si>
  <si>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</si>
  <si>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</si>
  <si>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</si>
  <si>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</si>
  <si>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</si>
  <si>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</si>
  <si>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</si>
  <si>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</si>
  <si>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</si>
  <si>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</si>
  <si>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</si>
  <si>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</si>
  <si>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</si>
  <si>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</si>
  <si>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</si>
  <si>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Раздел 2. Сведения по выплатам на закупки товаров, работ, услуг</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</si>
  <si>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</si>
  <si>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</si>
  <si>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</si>
  <si>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</si>
  <si>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</si>
  <si>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</si>
  <si>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</si>
  <si>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</si>
  <si>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</si>
  <si>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</si>
  <si>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</si>
  <si>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</si>
  <si>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</si>
  <si>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</si>
  <si>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</si>
  <si>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</si>
  <si>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</si>
  <si>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</si>
  <si>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</si>
  <si>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</si>
  <si>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</si>
  <si>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</si>
  <si>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___________________     __________________________________________</t>
  </si>
  <si>
    <t xml:space="preserve">     (подпись)                     (расшифровка подписи)</t>
  </si>
  <si>
    <t>"__" ___________ 20___ г.</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</si>
  <si>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</si>
  <si>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</si>
  <si>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</si>
  <si>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</si>
  <si>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</si>
  <si>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</si>
  <si>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</si>
  <si>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</si>
  <si>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</si>
  <si>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</si>
  <si>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</si>
  <si>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</si>
  <si>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</si>
  <si>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</si>
  <si>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</si>
  <si>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</si>
  <si>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</si>
  <si>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</si>
  <si>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</si>
  <si>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</si>
  <si>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</si>
  <si>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</si>
  <si>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</si>
  <si>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</si>
  <si>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</si>
  <si>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</si>
  <si>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</si>
  <si>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</si>
  <si>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</si>
  <si>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</si>
  <si>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</si>
  <si>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</si>
  <si>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Среднегодовое количество получателей, чел.</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</si>
  <si>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</si>
  <si>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</si>
  <si>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</si>
  <si>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</si>
  <si>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</si>
  <si>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</si>
  <si>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</si>
  <si>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</si>
  <si>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</si>
  <si>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</si>
  <si>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</si>
  <si>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</si>
  <si>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</si>
  <si>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Код по БК РФ &lt;2&gt;</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</si>
  <si>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</si>
  <si>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</si>
  <si>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</si>
  <si>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</si>
  <si>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</si>
  <si>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Планируемый объем оказания услуг (выполнения работ), руб.</t>
  </si>
  <si>
    <t>Средний размер платы,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</si>
  <si>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</si>
  <si>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</si>
  <si>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</si>
  <si>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</si>
  <si>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Наименование формы социального обслуживания</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</si>
  <si>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</si>
  <si>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</si>
  <si>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</si>
  <si>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</si>
  <si>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</si>
  <si>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</si>
  <si>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</si>
  <si>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</si>
  <si>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</si>
  <si>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</si>
  <si>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</si>
  <si>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</si>
  <si>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</si>
  <si>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</si>
  <si>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</si>
  <si>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2.2.1.Расчеты (обоснования) расходов на пособия, компенсации и иные социальные выплаты гражданам, кроме публичных нормативных обязательств</t>
  </si>
  <si>
    <t>2.2.2.Расчеты (обоснования) расходов на приобретение товаров, работ, услуг в пользу граждан в целях их социального обеспечения</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</si>
  <si>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</si>
  <si>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</si>
  <si>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</si>
  <si>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</si>
  <si>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 xml:space="preserve">1.2.3. Расчет плановых поступлений от оказания дополнительных платных услуг (выполнения работ)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</si>
  <si>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</si>
  <si>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</si>
  <si>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</si>
  <si>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</si>
  <si>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</si>
  <si>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</si>
  <si>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</si>
  <si>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</si>
  <si>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</si>
  <si>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</si>
  <si>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</si>
  <si>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</si>
  <si>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</si>
  <si>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</si>
  <si>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Стоимость 
работ (услуг) всего, 
руб.</t>
  </si>
  <si>
    <t>Стоимость 
работ (услуг) за единицу, 
руб.</t>
  </si>
  <si>
    <t>Остаток средств на начало текущего финансового года &lt;3&gt;</t>
  </si>
  <si>
    <t>Остаток средств на конец текущего финансового года &lt;3&gt;</t>
  </si>
  <si>
    <t>&lt;3&gt; По строкам 0001 и 0002 указываются планируемые суммы остатков средств на начало и на конец планируемого года,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</si>
  <si>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</si>
  <si>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</si>
  <si>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</si>
  <si>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</si>
  <si>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прочие поступления, всего &lt;4&gt;</t>
  </si>
  <si>
    <t>расходы на закупку товаров, работ, услуг, всего &lt;5&gt;</t>
  </si>
  <si>
    <t>Выплаты, уменьшающие доход, всего &lt;6&gt;</t>
  </si>
  <si>
    <t>Прочие выплаты, всего &lt;7&gt;</t>
  </si>
  <si>
    <t>&lt;8&gt;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</si>
  <si>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&lt;9&gt;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</si>
  <si>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&lt;10&gt; Указывается сумма закупок товаров, работ, услуг, осуществляемых в соответствии с Федеральным законом N 44-ФЗ и Федеральным законом N 223-ФЗ.</t>
  </si>
  <si>
    <t>&lt;11&gt; Государственным (муниципальным) бюджетным учреждением показатель не формируется.</t>
  </si>
  <si>
    <t>&lt;12&gt; Указывается сумма закупок товаров, работ, услуг, осуществляемых в соответствии с Федеральным законом N 44-ФЗ.</t>
  </si>
  <si>
    <t>&lt;13&gt;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</si>
  <si>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Выплаты на закупку товаров, работ, услуг, всего &lt;8&gt;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</si>
  <si>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&lt;9&gt;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</si>
  <si>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&lt;10&gt;</t>
  </si>
  <si>
    <t>в соответствии с Федеральным законом N 223-ФЗ &lt;11&gt;</t>
  </si>
  <si>
    <t>за счет субсидий, предоставляемых на осуществление капитальных вложений &lt;12&gt;</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</si>
  <si>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&lt;13&gt;</t>
  </si>
  <si>
    <t>СОГЛАСОВАНО&lt;14&gt;</t>
  </si>
  <si>
    <t>1.2.2.Расчет плановых доходов от платной деятельности, осуществляемой в рамках установленного государственного задания</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</si>
  <si>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</si>
  <si>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</si>
  <si>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</si>
  <si>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</si>
  <si>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</si>
  <si>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</si>
  <si>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</si>
  <si>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</si>
  <si>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</si>
  <si>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</si>
  <si>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</si>
  <si>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</si>
  <si>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</si>
  <si>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</si>
  <si>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</si>
  <si>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</si>
  <si>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</si>
  <si>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</si>
  <si>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из них &lt;7.1&gt;:</t>
  </si>
  <si>
    <t>Код по бюджетной классификации Российской Федерации &lt;7.1&gt;</t>
  </si>
  <si>
    <t>&lt;7.1&gt;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</si>
  <si>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Закупка энергетических ресурсов</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</si>
  <si>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</si>
  <si>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</si>
  <si>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</si>
  <si>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приобретение основных средств</t>
  </si>
  <si>
    <t>2.6.9. Расчет (обоснование) расходов на приобретение материальных запасов</t>
  </si>
  <si>
    <t>2.6.10. Расчет (обоснование) расходов на страхование</t>
  </si>
  <si>
    <t>2.6.4. Расчет (обоснование) расходов на закупку энергетических ресурсов</t>
  </si>
  <si>
    <t>специальные расходы</t>
  </si>
  <si>
    <t>2.7. Расчет (обоснование) специальных расходов</t>
  </si>
  <si>
    <t>2.8. Расчет (обоснование) прочих выплат</t>
  </si>
  <si>
    <t>Сумма, руб. 
(гр. 4 x гр. 5)</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</si>
  <si>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</si>
  <si>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</si>
  <si>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</si>
  <si>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</si>
  <si>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обязательное социальное страхование от несчастных случаев на производстве и профессиональных заболеванийи, всего</t>
  </si>
  <si>
    <t>по ставке 0,2%</t>
  </si>
  <si>
    <t>по ставке 0,_%*</t>
  </si>
  <si>
    <t>2.1.5. Расчеты (обоснования) страховых взносов на обязательное социального страхование в Фонд пенсионного и социального страхования Российской Федерации на выплаты по оплате труда</t>
  </si>
  <si>
    <t>2.1.6. Расчеты (обоснования) страховых взносов на обязательное страхование в Фонд пенсионного и социального страхования Российской Федерации на иные выплаты работникам</t>
  </si>
  <si>
    <t>Адрес фактического местонахождения учреждения (подразделения) 184144, г. Ковдор, Мурманская обл., ул. Баштыркова, д.5А</t>
  </si>
  <si>
    <t>Юридический адрес учреждения (подразделения)  184144, г. Ковдор, Мурманская обл., ул. Баштыркова, д.5А</t>
  </si>
  <si>
    <t>510401001</t>
  </si>
  <si>
    <t>5104004993</t>
  </si>
  <si>
    <t>47207015</t>
  </si>
  <si>
    <t>Министерство труда и социального развития Мурманской области</t>
  </si>
  <si>
    <t>803</t>
  </si>
  <si>
    <t>472Ш9548</t>
  </si>
  <si>
    <t xml:space="preserve">государственное областное автономное учреждение социального обслуживания населения "Ковдорский комплексный центр социального обслуживания населения" </t>
  </si>
  <si>
    <t>23</t>
  </si>
  <si>
    <t>26</t>
  </si>
  <si>
    <r>
      <t>финансово-хозяйственной деятельности</t>
    </r>
    <r>
      <rPr>
        <b/>
        <sz val="12"/>
        <color rgb="FFFF0000"/>
        <rFont val="Times New Roman"/>
        <family val="1"/>
        <charset val="204"/>
      </rPr>
      <t xml:space="preserve"> </t>
    </r>
  </si>
  <si>
    <t>Сумма, руб.</t>
  </si>
  <si>
    <t>проставленные формулы не убирайте</t>
  </si>
  <si>
    <t>на 2018 г. отчетный финансовый год</t>
  </si>
  <si>
    <t>на 2019 г. отчетный финансовый год</t>
  </si>
  <si>
    <t>на 2022 г. отчетный финансовый год</t>
  </si>
  <si>
    <t>гз</t>
  </si>
  <si>
    <t>иц</t>
  </si>
  <si>
    <t>расх=дох</t>
  </si>
  <si>
    <t>доход от пеней за нарушение обязательст по договору</t>
  </si>
  <si>
    <t>по дс пока минфин не разрешит ост к исп-ю</t>
  </si>
  <si>
    <t>в том числе: целевые субсидии</t>
  </si>
  <si>
    <t>измен в стр 54</t>
  </si>
  <si>
    <t>грант</t>
  </si>
  <si>
    <t>добровольные пожертвования</t>
  </si>
  <si>
    <t xml:space="preserve">целевые субсидии </t>
  </si>
  <si>
    <t xml:space="preserve">реализация материальных запасов </t>
  </si>
  <si>
    <t>реализация основных средств</t>
  </si>
  <si>
    <t>не вошло 400,0</t>
  </si>
  <si>
    <t>2640+2650</t>
  </si>
  <si>
    <t>расх</t>
  </si>
  <si>
    <t>закупку товаров, работ, услуг в сфере информационно-коммуникационных технологий</t>
  </si>
  <si>
    <t>в 2640  не вх стр 2650</t>
  </si>
  <si>
    <t>должно быть</t>
  </si>
  <si>
    <t>страховка плюсом 2640</t>
  </si>
  <si>
    <t>4.1.</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</si>
  <si>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&lt;8&gt;</t>
  </si>
  <si>
    <t>стр.700 ф.738- резервы - энергосервис 24,25гг</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</si>
  <si>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&lt;9&gt;</t>
  </si>
  <si>
    <t>стр.26000-стр 1,3</t>
  </si>
  <si>
    <t>в соответствии с Федеральным законом N 223-ФЗ &lt;10&gt;</t>
  </si>
  <si>
    <t>за 2018 г. отчетный финансовый год</t>
  </si>
  <si>
    <t>за 2019 г. отчетный  финансовый год</t>
  </si>
  <si>
    <t>фот</t>
  </si>
  <si>
    <t>1р</t>
  </si>
  <si>
    <t>Социальные работники</t>
  </si>
  <si>
    <t>ежкв</t>
  </si>
  <si>
    <t>Средний медицинский персонал</t>
  </si>
  <si>
    <t>Врач</t>
  </si>
  <si>
    <t>Младший медицинский персонал</t>
  </si>
  <si>
    <t>Врач-терапевт</t>
  </si>
  <si>
    <t>Младшая медицинская сестра по уходу за больными</t>
  </si>
  <si>
    <t>в том числе по категориям работников, повышение оплаты труда которых предусмотрено указами Президента РФ:</t>
  </si>
  <si>
    <t>1.1. Повышение квалификации:</t>
  </si>
  <si>
    <t>улучшение качества оказываемых услуг</t>
  </si>
  <si>
    <t>2.1. Повышение квалификации:</t>
  </si>
  <si>
    <t>по программе "Эксплуатация тепловых установок и электроустановок"</t>
  </si>
  <si>
    <t>повышение профессионального уровня</t>
  </si>
  <si>
    <t>3.1. Повышение квалификации:</t>
  </si>
  <si>
    <t xml:space="preserve">                               (должность)                  (подпись)                          (расшифровка подписи)</t>
  </si>
  <si>
    <t xml:space="preserve">                          (должность)        (подпись)       (фамилия, инициалы)       (телефон)</t>
  </si>
  <si>
    <t>130</t>
  </si>
  <si>
    <t>1.</t>
  </si>
  <si>
    <t>Оказание государственных услуг</t>
  </si>
  <si>
    <t>Социальное обслуживание в стационарной форме</t>
  </si>
  <si>
    <t>2.</t>
  </si>
  <si>
    <t>Социальное обслуживание в полустационарной форме</t>
  </si>
  <si>
    <t>3.</t>
  </si>
  <si>
    <t>Социальное обслуживание на дому</t>
  </si>
  <si>
    <t>Приобретение и доставка для личных нужд заказчика товаров</t>
  </si>
  <si>
    <t xml:space="preserve">1.2.4. Расчет плановых поступлений от прочих поступлений </t>
  </si>
  <si>
    <t>Возмещение предупредительных мер ФСС</t>
  </si>
  <si>
    <t>140</t>
  </si>
  <si>
    <t>Пени за нарушение обязательств по договорам</t>
  </si>
  <si>
    <t>150</t>
  </si>
  <si>
    <t>Количество (чел.)</t>
  </si>
  <si>
    <t>Объем поступлений от одного чел.</t>
  </si>
  <si>
    <t>Добровольное пожертвование</t>
  </si>
  <si>
    <t>440</t>
  </si>
  <si>
    <t>Реализация материалов</t>
  </si>
  <si>
    <t>кг.</t>
  </si>
  <si>
    <t>Реализация транспортного средства Волга  ГАЗ 31105</t>
  </si>
  <si>
    <t>шт</t>
  </si>
  <si>
    <t>3</t>
  </si>
  <si>
    <t>Реализация транспортного средства FIAT DUCATO Vin</t>
  </si>
  <si>
    <t>ИТОГО</t>
  </si>
  <si>
    <t>\</t>
  </si>
  <si>
    <t>111</t>
  </si>
  <si>
    <t>Субсидия ГЗ</t>
  </si>
  <si>
    <t>ФОТ Руководителей</t>
  </si>
  <si>
    <t>ФОТ стм по руководителям</t>
  </si>
  <si>
    <t>Предел по СВ ПФ</t>
  </si>
  <si>
    <t>Сумма предела по ФОТу</t>
  </si>
  <si>
    <t>Директор</t>
  </si>
  <si>
    <t>Заместитель директора</t>
  </si>
  <si>
    <t>Предел по СВ ФСС</t>
  </si>
  <si>
    <t>Сумма необлаг. по ФОТу</t>
  </si>
  <si>
    <t>Главный бухгалтер</t>
  </si>
  <si>
    <t>4</t>
  </si>
  <si>
    <t>Экономист 1 категории</t>
  </si>
  <si>
    <t>5</t>
  </si>
  <si>
    <t xml:space="preserve">Экономист </t>
  </si>
  <si>
    <t>6</t>
  </si>
  <si>
    <t>Специалист по закупкам</t>
  </si>
  <si>
    <t>7</t>
  </si>
  <si>
    <t>Бухгалтер 1 категории</t>
  </si>
  <si>
    <t>8</t>
  </si>
  <si>
    <t xml:space="preserve">Начальник отдела </t>
  </si>
  <si>
    <t>9</t>
  </si>
  <si>
    <t>Специалист</t>
  </si>
  <si>
    <t>10</t>
  </si>
  <si>
    <t>Администратор баз данных</t>
  </si>
  <si>
    <t>11</t>
  </si>
  <si>
    <t>Специалист по охране труда</t>
  </si>
  <si>
    <t>12</t>
  </si>
  <si>
    <t>Юрисконсульт 2 категории</t>
  </si>
  <si>
    <t>Начальник хозяйственного отдела</t>
  </si>
  <si>
    <t>Заведующий хозяйством</t>
  </si>
  <si>
    <t>Водитель автомобиля 5 разряда</t>
  </si>
  <si>
    <t>Машинист по стирке и ремонту спецодежды 2 разряда</t>
  </si>
  <si>
    <t>Рабочий по комплексному обслуживанию зданий и сооружений 2 разряда</t>
  </si>
  <si>
    <t>Буфетчик 3 разряда</t>
  </si>
  <si>
    <t>Заведующий отделением</t>
  </si>
  <si>
    <t>Заведующий медицинским отделом</t>
  </si>
  <si>
    <t>Врач терапевт</t>
  </si>
  <si>
    <t>план</t>
  </si>
  <si>
    <t>Специалист по социальной работе</t>
  </si>
  <si>
    <t>Специалист по работе с семьей</t>
  </si>
  <si>
    <t>Младший воспитатель</t>
  </si>
  <si>
    <t>Психолог в социальной сфере</t>
  </si>
  <si>
    <t xml:space="preserve">Специалист по социальной реабилитации </t>
  </si>
  <si>
    <t>Специалист по социальной реабилитации  (в сельской местности)</t>
  </si>
  <si>
    <t>Инструктор по адаптивной физической культуре</t>
  </si>
  <si>
    <t>расчет</t>
  </si>
  <si>
    <t>Старшая медицинская сестра</t>
  </si>
  <si>
    <t>Медицинская сестра</t>
  </si>
  <si>
    <t>13</t>
  </si>
  <si>
    <t xml:space="preserve">Медицинская сестра 1 квалификационной категории </t>
  </si>
  <si>
    <t>план с ИЦ</t>
  </si>
  <si>
    <t>сред.показатель</t>
  </si>
  <si>
    <t>14</t>
  </si>
  <si>
    <t xml:space="preserve">Медицинская сестра высшей квалификационной категории </t>
  </si>
  <si>
    <t>15</t>
  </si>
  <si>
    <t>Санитар</t>
  </si>
  <si>
    <t>16</t>
  </si>
  <si>
    <t>Сестра-хозяйка</t>
  </si>
  <si>
    <t>17</t>
  </si>
  <si>
    <t>18</t>
  </si>
  <si>
    <t>Социальный работник</t>
  </si>
  <si>
    <t>план с ИЦ без ЕЖКВ</t>
  </si>
  <si>
    <t>с ЕЖКВ</t>
  </si>
  <si>
    <t>19</t>
  </si>
  <si>
    <t>Социальный работник (в сельской местности)</t>
  </si>
  <si>
    <t>все дорожники под факт в плане</t>
  </si>
  <si>
    <t>Приносящая доход деятельность</t>
  </si>
  <si>
    <t>2. Обоснования (расчеты) расходов 2024 год</t>
  </si>
  <si>
    <t>2. Обоснования (расчеты) расходов 2025 год</t>
  </si>
  <si>
    <t>112</t>
  </si>
  <si>
    <r>
      <t xml:space="preserve">Источник финансового обеспечения: </t>
    </r>
    <r>
      <rPr>
        <b/>
        <sz val="10"/>
        <rFont val="Times New Roman"/>
        <family val="1"/>
        <charset val="204"/>
      </rPr>
      <t>субсидия на выполнение ГЗ</t>
    </r>
  </si>
  <si>
    <t xml:space="preserve">Суточные </t>
  </si>
  <si>
    <t xml:space="preserve">Найм жилых помещений при командировках на повышение квалификации </t>
  </si>
  <si>
    <t xml:space="preserve">Оплата проезда при командировках на курсы повышения квалификации </t>
  </si>
  <si>
    <r>
      <t xml:space="preserve">Источник финансового обеспечения: </t>
    </r>
    <r>
      <rPr>
        <b/>
        <sz val="10"/>
        <rFont val="Times New Roman"/>
        <family val="1"/>
        <charset val="204"/>
      </rPr>
      <t>приносящая доход деятельность</t>
    </r>
  </si>
  <si>
    <t>Пособие по уходу за ребенком до 3-ех лет</t>
  </si>
  <si>
    <t>Единовременное пособие при увольнении в связи с выходом на пенсию по старости</t>
  </si>
  <si>
    <t>321</t>
  </si>
  <si>
    <t>Среднемесячный заработок на период трудоустройства бывшим работникам</t>
  </si>
  <si>
    <t>Оплата мед. осмотра при приеме на работу</t>
  </si>
  <si>
    <r>
      <t xml:space="preserve">Источник финансового обеспечения: </t>
    </r>
    <r>
      <rPr>
        <b/>
        <sz val="10"/>
        <rFont val="Times New Roman"/>
        <family val="1"/>
        <charset val="204"/>
      </rPr>
      <t>субсидия на иные цели</t>
    </r>
  </si>
  <si>
    <t>Количество работников и членов семей, получивших компенсацию расходов на оплату стоимости проезда  к месту отпуска (отдыха) и обратно, (чел).</t>
  </si>
  <si>
    <t xml:space="preserve">Выплата  денежной компенсации на приобретение самим социальным работником специальной одежды, обуви и инвентаря  </t>
  </si>
  <si>
    <t>Оплата социальным работникам  стоимости проезда на транспорте общего пользования</t>
  </si>
  <si>
    <t>4.</t>
  </si>
  <si>
    <t>Выплата денежной компенсации социальным работникам  по оплате жилого помещения и коммунальных услуг</t>
  </si>
  <si>
    <t>119</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</si>
  <si>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</si>
  <si>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</si>
  <si>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</si>
  <si>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</si>
  <si>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</si>
  <si>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</si>
  <si>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</si>
  <si>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</si>
  <si>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</si>
  <si>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</si>
  <si>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</si>
  <si>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Страховые взносы в Федеральный фонд обязательного медицинского страхования, всего (по ставке 5,1%)</t>
  </si>
  <si>
    <r>
      <t>Источник финансового обеспечения: п</t>
    </r>
    <r>
      <rPr>
        <b/>
        <u/>
        <sz val="10"/>
        <rFont val="Times New Roman"/>
        <family val="1"/>
        <charset val="204"/>
      </rPr>
      <t>риносящая доход деятельность</t>
    </r>
  </si>
  <si>
    <r>
      <t xml:space="preserve">Источник финансового обеспечения: </t>
    </r>
    <r>
      <rPr>
        <b/>
        <u/>
        <sz val="10"/>
        <rFont val="Times New Roman"/>
        <family val="1"/>
        <charset val="204"/>
      </rPr>
      <t xml:space="preserve">субсидия на иные цели </t>
    </r>
    <r>
      <rPr>
        <b/>
        <sz val="10"/>
        <rFont val="Times New Roman"/>
        <family val="1"/>
        <charset val="204"/>
      </rPr>
      <t>(65+)</t>
    </r>
  </si>
  <si>
    <t>2.1.6. Расчеты (обоснования) расходов на выплату социальных пособий и компенсаций персоналу учреждения в денежной форме</t>
  </si>
  <si>
    <t>Источник финансового обеспечения: субсидия на выполнение ГЗ</t>
  </si>
  <si>
    <t>Пособие за первые три дня периода нетрудоспособности</t>
  </si>
  <si>
    <t>Выходное пособие при сокращении штатной численности</t>
  </si>
  <si>
    <t xml:space="preserve">323 </t>
  </si>
  <si>
    <t>Источник финансового обеспечения: субсидия на иные цели</t>
  </si>
  <si>
    <t>851</t>
  </si>
  <si>
    <t>Налог на имущество организаций</t>
  </si>
  <si>
    <t>Земельный налог</t>
  </si>
  <si>
    <t>852</t>
  </si>
  <si>
    <t>Транспортный налог: ГАЗ 31105</t>
  </si>
  <si>
    <t>ГАЗ 2705 (1 квартал)</t>
  </si>
  <si>
    <t xml:space="preserve">1. </t>
  </si>
  <si>
    <t>ГАЗ 27057</t>
  </si>
  <si>
    <t>Автобус ЛУИДОР</t>
  </si>
  <si>
    <t>Citroen Jumpy 22430J</t>
  </si>
  <si>
    <t>Источник финансового обеспечения:  приносящая доход деятельность</t>
  </si>
  <si>
    <t>853</t>
  </si>
  <si>
    <t>Пени, штраф</t>
  </si>
  <si>
    <t>244</t>
  </si>
  <si>
    <t xml:space="preserve">Объем расходов на повременную оплату междугородных, международных и местных телефонных соединений    </t>
  </si>
  <si>
    <t xml:space="preserve">Подключение и использование Глобальной сети Интернет, оплата услуг связи при обмене электронными данными  </t>
  </si>
  <si>
    <t>Почтовые расходы</t>
  </si>
  <si>
    <r>
      <t xml:space="preserve">Источник финансового обеспечения:  </t>
    </r>
    <r>
      <rPr>
        <b/>
        <sz val="10"/>
        <rFont val="Times New Roman"/>
        <family val="1"/>
        <charset val="204"/>
      </rPr>
      <t>приносящая доход деятельность</t>
    </r>
  </si>
  <si>
    <t>Транспортные расходы</t>
  </si>
  <si>
    <t>Теплоэнергия (Гкал)</t>
  </si>
  <si>
    <r>
      <t>Компонент на теплоносители (м</t>
    </r>
    <r>
      <rPr>
        <sz val="10"/>
        <rFont val="Calibri"/>
        <family val="2"/>
        <charset val="204"/>
      </rPr>
      <t>³</t>
    </r>
    <r>
      <rPr>
        <sz val="11.5"/>
        <rFont val="Times New Roman"/>
        <family val="1"/>
        <charset val="204"/>
      </rPr>
      <t>)</t>
    </r>
  </si>
  <si>
    <r>
      <t>Горячая вода (м</t>
    </r>
    <r>
      <rPr>
        <sz val="10"/>
        <rFont val="Calibri"/>
        <family val="2"/>
        <charset val="204"/>
      </rPr>
      <t>³</t>
    </r>
    <r>
      <rPr>
        <sz val="11.5"/>
        <rFont val="Times New Roman"/>
        <family val="1"/>
        <charset val="204"/>
      </rPr>
      <t>)</t>
    </r>
  </si>
  <si>
    <r>
      <t>Водоотведение (м</t>
    </r>
    <r>
      <rPr>
        <sz val="10"/>
        <rFont val="Calibri"/>
        <family val="2"/>
        <charset val="204"/>
      </rPr>
      <t>³</t>
    </r>
    <r>
      <rPr>
        <sz val="11.5"/>
        <rFont val="Times New Roman"/>
        <family val="1"/>
        <charset val="204"/>
      </rPr>
      <t>)</t>
    </r>
  </si>
  <si>
    <t>Негативное воздействие на работу централизованной системы водоотведения</t>
  </si>
  <si>
    <t>Сброс загрязняющих веществ в составе сточных вод сверх установленных нормативов состава сточных вод</t>
  </si>
  <si>
    <t>5.</t>
  </si>
  <si>
    <r>
      <t>Услуги по обращению с твёрдыми коммунальными отходами (региональный оператор)(м</t>
    </r>
    <r>
      <rPr>
        <sz val="10"/>
        <rFont val="Calibri"/>
        <family val="2"/>
        <charset val="204"/>
      </rPr>
      <t>³</t>
    </r>
    <r>
      <rPr>
        <sz val="10"/>
        <rFont val="Times New Roman"/>
        <family val="1"/>
        <charset val="204"/>
      </rPr>
      <t>)</t>
    </r>
  </si>
  <si>
    <t>2.6.4. Расчет (обоснование) расходов на оплату аренды имущества</t>
  </si>
  <si>
    <t>244 Возмещение ссудодателю</t>
  </si>
  <si>
    <t>247</t>
  </si>
  <si>
    <r>
      <t xml:space="preserve">Источник финансового обеспечения:  </t>
    </r>
    <r>
      <rPr>
        <b/>
        <sz val="10"/>
        <rFont val="Times New Roman"/>
        <family val="1"/>
        <charset val="204"/>
      </rPr>
      <t>субсидия на выполнение ГЗ</t>
    </r>
  </si>
  <si>
    <t>Эл. Энергия (КВт)</t>
  </si>
  <si>
    <t>Возмещение по энергосервисному контракту</t>
  </si>
  <si>
    <t>Ремонт автомобилей</t>
  </si>
  <si>
    <t>Ремонт бытовой техники</t>
  </si>
  <si>
    <t>Ремонт оргтехники</t>
  </si>
  <si>
    <t>Услуга по обслуживанию автотранспорта</t>
  </si>
  <si>
    <t>Услуга по обслуживанию и ремонту эл.оборудования</t>
  </si>
  <si>
    <t>Услуги по уборке территории</t>
  </si>
  <si>
    <t xml:space="preserve">Уборка снега </t>
  </si>
  <si>
    <t>Оказание услуг по сбору, транспортировонию и демеркуризации(обезвреживанию) отходов 1 класса опасности</t>
  </si>
  <si>
    <t>Испытание диэлектрических перчаток</t>
  </si>
  <si>
    <t xml:space="preserve">Оказание услуг по проведению дезинфекционных, дератизационных и дезинсекционных работ </t>
  </si>
  <si>
    <t>Прочистка наружных канализаций</t>
  </si>
  <si>
    <t>Обслуживание кассовых аппаратов</t>
  </si>
  <si>
    <t xml:space="preserve">Проведение ТО транспортных средств </t>
  </si>
  <si>
    <t>Заправка картриджей</t>
  </si>
  <si>
    <t>20</t>
  </si>
  <si>
    <t>21</t>
  </si>
  <si>
    <t>22</t>
  </si>
  <si>
    <t>24</t>
  </si>
  <si>
    <t>25</t>
  </si>
  <si>
    <t>31</t>
  </si>
  <si>
    <t>Оказание услуг по проведению дезинфекционных работ (СЭС)</t>
  </si>
  <si>
    <t>32</t>
  </si>
  <si>
    <t>27</t>
  </si>
  <si>
    <t xml:space="preserve">Очистка кровли и козырьков от снега, сосулек, наледи </t>
  </si>
  <si>
    <t>28</t>
  </si>
  <si>
    <t xml:space="preserve">Обслуживание установки ГЛОНАСС </t>
  </si>
  <si>
    <t>Ремонтные работы по восстановлению фундамента, наружных стен по адресу: ул. Коновалова,24</t>
  </si>
  <si>
    <t>Источник финансового обеспечения: приносящая доход деятельность</t>
  </si>
  <si>
    <t>Услуги по стирке и обработке белья</t>
  </si>
  <si>
    <t>Ремонт кровли: Коновалова, 24, Гараж</t>
  </si>
  <si>
    <t>Услуга по ремонту крыльца</t>
  </si>
  <si>
    <t>в дс</t>
  </si>
  <si>
    <r>
      <t xml:space="preserve">Услуга по обслуживанию автотранспорта </t>
    </r>
    <r>
      <rPr>
        <b/>
        <sz val="10"/>
        <rFont val="Times New Roman"/>
        <family val="1"/>
        <charset val="204"/>
      </rPr>
      <t>(65+)</t>
    </r>
  </si>
  <si>
    <r>
      <t xml:space="preserve">Услуга по ремонтным  работам </t>
    </r>
    <r>
      <rPr>
        <b/>
        <sz val="10"/>
        <rFont val="Times New Roman"/>
        <family val="1"/>
        <charset val="204"/>
      </rPr>
      <t>(65+)</t>
    </r>
  </si>
  <si>
    <r>
      <t xml:space="preserve">Проведение ТО транспортных средств </t>
    </r>
    <r>
      <rPr>
        <b/>
        <sz val="10"/>
        <rFont val="Times New Roman"/>
        <family val="1"/>
        <charset val="204"/>
      </rPr>
      <t>(65+)</t>
    </r>
  </si>
  <si>
    <t>6.</t>
  </si>
  <si>
    <t>Услуга по сбору, транспортировке и обезвреживанию отходов  группы "В"</t>
  </si>
  <si>
    <t>65+</t>
  </si>
  <si>
    <t>Услуги по кадастровым работам</t>
  </si>
  <si>
    <t>Оплата обучения на курсах, семинарах (специалисты+водитель)</t>
  </si>
  <si>
    <t>Охрана физическая</t>
  </si>
  <si>
    <t>7.</t>
  </si>
  <si>
    <t>Работы по оформлению архива</t>
  </si>
  <si>
    <t>8.</t>
  </si>
  <si>
    <t>9.</t>
  </si>
  <si>
    <t>Услуги по разработке декларации по пожарной безопасности</t>
  </si>
  <si>
    <t>10.</t>
  </si>
  <si>
    <t>11.</t>
  </si>
  <si>
    <t>12.</t>
  </si>
  <si>
    <t>13.</t>
  </si>
  <si>
    <t>14.</t>
  </si>
  <si>
    <t>Предоставление сведений из РЕ</t>
  </si>
  <si>
    <t>15.</t>
  </si>
  <si>
    <t>Услуги по переносу телефонов и организации локальной сети</t>
  </si>
  <si>
    <t>Услуги по питанию получателей услуг</t>
  </si>
  <si>
    <t>17.</t>
  </si>
  <si>
    <t>СОУТ</t>
  </si>
  <si>
    <t>16.</t>
  </si>
  <si>
    <t xml:space="preserve">Подписка на систему ГФ </t>
  </si>
  <si>
    <t>18.</t>
  </si>
  <si>
    <t>19.</t>
  </si>
  <si>
    <t>23.</t>
  </si>
  <si>
    <t>Диагностика оргтехники, с целью тех. состояния оборудования</t>
  </si>
  <si>
    <t>20.</t>
  </si>
  <si>
    <t xml:space="preserve">СБИС ЭО-Базовый, ОСНО   </t>
  </si>
  <si>
    <t>21.</t>
  </si>
  <si>
    <t>Приобретение  права на ЭВМ "АльфаДок"</t>
  </si>
  <si>
    <t>26.</t>
  </si>
  <si>
    <t>27.</t>
  </si>
  <si>
    <t>Разработка локально-сметной документации на ремонт  в здании</t>
  </si>
  <si>
    <t>22.</t>
  </si>
  <si>
    <t>Услуги по прокладке опноволокна для улучшения качества интернета</t>
  </si>
  <si>
    <t>Услуги по обслуживанию и сопровождению личного кабинета сотрудников</t>
  </si>
  <si>
    <t>Разработка локально-сметной документации на ремонт кровли</t>
  </si>
  <si>
    <t>Гражданско-правовые договора</t>
  </si>
  <si>
    <r>
      <t xml:space="preserve">Договор ГП (водитель) за услугу: доставка лиц старше 65 лет,проживающих в сельской местности, в медицинские организации для проведения скринингов </t>
    </r>
    <r>
      <rPr>
        <b/>
        <sz val="10"/>
        <rFont val="Times New Roman"/>
        <family val="1"/>
        <charset val="204"/>
      </rPr>
      <t>(65+)</t>
    </r>
  </si>
  <si>
    <t>Услуга по установке видеодомофона</t>
  </si>
  <si>
    <t>Услуги по питанию работников</t>
  </si>
  <si>
    <r>
      <t xml:space="preserve">Договор ГП (водитель) за услугу: доставка лиц старше 65 лет,проживающих в сельской местности, в медицинские организации </t>
    </r>
    <r>
      <rPr>
        <b/>
        <sz val="10"/>
        <rFont val="Times New Roman"/>
        <family val="1"/>
        <charset val="204"/>
      </rPr>
      <t>(65+)</t>
    </r>
  </si>
  <si>
    <t>Приобретение  лицензионного продукта</t>
  </si>
  <si>
    <t>Установка кнопки вызова</t>
  </si>
  <si>
    <t>Установка/замена АПС</t>
  </si>
  <si>
    <t>МЕДИКАМЕНТЫ</t>
  </si>
  <si>
    <t>шт.</t>
  </si>
  <si>
    <t xml:space="preserve">ПРОДУКТЫ ПИТАНИЯ </t>
  </si>
  <si>
    <t>Фрукты</t>
  </si>
  <si>
    <t>Овощи</t>
  </si>
  <si>
    <t>Сыр</t>
  </si>
  <si>
    <t>Масложировая продукция</t>
  </si>
  <si>
    <t xml:space="preserve">Молоко </t>
  </si>
  <si>
    <t>литр</t>
  </si>
  <si>
    <t>Кисломолочные продукты</t>
  </si>
  <si>
    <t>Хлебобулочные изделия</t>
  </si>
  <si>
    <t>Мясо птицы</t>
  </si>
  <si>
    <t>Мясо говяжье</t>
  </si>
  <si>
    <t>Рыба</t>
  </si>
  <si>
    <t xml:space="preserve">Сок </t>
  </si>
  <si>
    <t>Переработанные овощи и фрукты</t>
  </si>
  <si>
    <t>Бакалея и кондит. Изделия</t>
  </si>
  <si>
    <t>Мукомольная-крупяная продукция, в т. ч. макарон. изд.</t>
  </si>
  <si>
    <t xml:space="preserve">Яйцо куриное </t>
  </si>
  <si>
    <t>Колбасные изделия</t>
  </si>
  <si>
    <t>Дражже ревит</t>
  </si>
  <si>
    <t>ГСМ</t>
  </si>
  <si>
    <r>
      <t xml:space="preserve">Мягкий инвентарь </t>
    </r>
    <r>
      <rPr>
        <sz val="10"/>
        <rFont val="Times New Roman"/>
        <family val="1"/>
        <charset val="204"/>
      </rPr>
      <t xml:space="preserve">(спецодежда) </t>
    </r>
  </si>
  <si>
    <t>Жилет сигнальный</t>
  </si>
  <si>
    <r>
      <rPr>
        <b/>
        <sz val="10"/>
        <rFont val="Times New Roman"/>
        <family val="1"/>
        <charset val="204"/>
      </rPr>
      <t>Мягкий инвентарь</t>
    </r>
    <r>
      <rPr>
        <sz val="10"/>
        <rFont val="Times New Roman"/>
        <family val="1"/>
        <charset val="204"/>
      </rPr>
      <t xml:space="preserve"> ( для детей реабилитационного отделения) </t>
    </r>
  </si>
  <si>
    <t>Перчатки</t>
  </si>
  <si>
    <t>пар.</t>
  </si>
  <si>
    <t>Брюки</t>
  </si>
  <si>
    <r>
      <rPr>
        <b/>
        <sz val="10"/>
        <rFont val="Times New Roman"/>
        <family val="1"/>
        <charset val="204"/>
      </rPr>
      <t>Мягкий инвентарь</t>
    </r>
    <r>
      <rPr>
        <sz val="10"/>
        <rFont val="Times New Roman"/>
        <family val="1"/>
        <charset val="204"/>
      </rPr>
      <t xml:space="preserve"> </t>
    </r>
  </si>
  <si>
    <t>Чехлы для мебели</t>
  </si>
  <si>
    <t>Шторы</t>
  </si>
  <si>
    <t>ПРОДУКТОВЫЕ НАБОРЫ</t>
  </si>
  <si>
    <t>СТРОЙМАТЕРИАЛЫ</t>
  </si>
  <si>
    <t>ПРОЧИЕ</t>
  </si>
  <si>
    <t>МОЮЩИЕ СРЕДСТВА</t>
  </si>
  <si>
    <t>САНИТАРНО - ГИГИЕНИЧЕСКИЕ НАБОРЫ</t>
  </si>
  <si>
    <t>КАНЦЕЛЯРСКИЕ ТОВАРЫ</t>
  </si>
  <si>
    <t>ЭЛЕКТРИКА</t>
  </si>
  <si>
    <t>САНТЕХНИКА</t>
  </si>
  <si>
    <t>ХОЗЯЙСТВЕННО- БЫТОВЫЕ</t>
  </si>
  <si>
    <t>Амброксол</t>
  </si>
  <si>
    <t>уп.</t>
  </si>
  <si>
    <t xml:space="preserve">Ацетилсацилиловая кислота </t>
  </si>
  <si>
    <t>Бинт</t>
  </si>
  <si>
    <t>Боярышника настойка  25 мл</t>
  </si>
  <si>
    <t>бут.</t>
  </si>
  <si>
    <t>Брилл.зеленый р-р фл</t>
  </si>
  <si>
    <t>Валидол таб.</t>
  </si>
  <si>
    <t>Верошприрон капс.50мг №30</t>
  </si>
  <si>
    <t>Глюкоза аип.40% 10мл.</t>
  </si>
  <si>
    <t>Гуттасил капли 7,5мг/мл.</t>
  </si>
  <si>
    <t>Дибазол 1%-5мл №10</t>
  </si>
  <si>
    <t>Дротаверин</t>
  </si>
  <si>
    <t>Ибупрофен тб 0,2 №10</t>
  </si>
  <si>
    <t>Йода р-р спирт. 5% 10мл</t>
  </si>
  <si>
    <t>Камфорный спирт 10%</t>
  </si>
  <si>
    <t>Каптоприл таб. 25мг</t>
  </si>
  <si>
    <t>Корвалол фл.25мл</t>
  </si>
  <si>
    <t>Коринфар</t>
  </si>
  <si>
    <t>Левомеколь мазь 40г.</t>
  </si>
  <si>
    <t>Лоперамид №20</t>
  </si>
  <si>
    <t>Мелоксикам</t>
  </si>
  <si>
    <t>Моксонидин таб.</t>
  </si>
  <si>
    <t>Напальчник медиц №100</t>
  </si>
  <si>
    <t>Настойка пиона</t>
  </si>
  <si>
    <t>24.</t>
  </si>
  <si>
    <t>Натрия хлорид 0.9% 10мл №40</t>
  </si>
  <si>
    <t>25.</t>
  </si>
  <si>
    <t>Оксолиновая мазь 0.25% 10г</t>
  </si>
  <si>
    <t>Омепразол капс</t>
  </si>
  <si>
    <t>Панкреатин таб.</t>
  </si>
  <si>
    <t>28.</t>
  </si>
  <si>
    <t>Парацетамол таб.</t>
  </si>
  <si>
    <t>29.</t>
  </si>
  <si>
    <t>Перекиси водорода р/р 3%</t>
  </si>
  <si>
    <t>30.</t>
  </si>
  <si>
    <t>Перчатки смотр. н/ст.</t>
  </si>
  <si>
    <t>31.</t>
  </si>
  <si>
    <t>Простудокс пор д/сусп   таб  5г  №10  саше</t>
  </si>
  <si>
    <t>32.</t>
  </si>
  <si>
    <t>Пустырника настойка фл.</t>
  </si>
  <si>
    <t>33.</t>
  </si>
  <si>
    <t>Риностоп капли</t>
  </si>
  <si>
    <t>34.</t>
  </si>
  <si>
    <t>Салфетки стер.</t>
  </si>
  <si>
    <t>35.</t>
  </si>
  <si>
    <t>Спазмалгон таб</t>
  </si>
  <si>
    <t>36.</t>
  </si>
  <si>
    <t>Тавегил</t>
  </si>
  <si>
    <t>37.</t>
  </si>
  <si>
    <t>Терафлю</t>
  </si>
  <si>
    <t>38.</t>
  </si>
  <si>
    <t>Тетрациклиновая мазь 1% 10г</t>
  </si>
  <si>
    <t>39.</t>
  </si>
  <si>
    <t>Уголь активированный 0.25</t>
  </si>
  <si>
    <t>40.</t>
  </si>
  <si>
    <t>Фукорцин</t>
  </si>
  <si>
    <t>41.</t>
  </si>
  <si>
    <t>Фурацилин таб.20мг №10</t>
  </si>
  <si>
    <t>42.</t>
  </si>
  <si>
    <t>Хлоргексидин  амп 100мг № 10</t>
  </si>
  <si>
    <t>43.</t>
  </si>
  <si>
    <t>Цитрамон П таб. №10</t>
  </si>
  <si>
    <t>44.</t>
  </si>
  <si>
    <t>Шприц 20мл</t>
  </si>
  <si>
    <t>45.</t>
  </si>
  <si>
    <t>Шприц 2мл</t>
  </si>
  <si>
    <t>46.</t>
  </si>
  <si>
    <t>Эуфиллин 2,4%-10мл №10</t>
  </si>
  <si>
    <r>
      <rPr>
        <b/>
        <sz val="10"/>
        <rFont val="Times New Roman"/>
        <family val="1"/>
        <charset val="204"/>
      </rPr>
      <t>Мягкий инвентарь</t>
    </r>
    <r>
      <rPr>
        <sz val="10"/>
        <rFont val="Times New Roman"/>
        <family val="1"/>
        <charset val="204"/>
      </rPr>
      <t xml:space="preserve"> ( для пожилых стационарного отделения) </t>
    </r>
  </si>
  <si>
    <t>ГСМ (65+)</t>
  </si>
  <si>
    <t>пог.м</t>
  </si>
  <si>
    <t>Таблица информационная</t>
  </si>
  <si>
    <t>Крючки травмобезопасные</t>
  </si>
  <si>
    <t>Страхование автогражданской ответственности</t>
  </si>
  <si>
    <r>
      <rPr>
        <b/>
        <sz val="10"/>
        <rFont val="Times New Roman"/>
        <family val="1"/>
        <charset val="204"/>
      </rPr>
      <t>Источник финансового обеспечения:</t>
    </r>
    <r>
      <rPr>
        <sz val="10"/>
        <rFont val="Times New Roman"/>
        <family val="1"/>
        <charset val="204"/>
      </rPr>
      <t xml:space="preserve"> </t>
    </r>
    <r>
      <rPr>
        <b/>
        <sz val="10"/>
        <rFont val="Times New Roman"/>
        <family val="1"/>
        <charset val="204"/>
      </rPr>
      <t xml:space="preserve">субсидия на иные цели </t>
    </r>
  </si>
  <si>
    <r>
      <t>Страхование автогражданской ответственности</t>
    </r>
    <r>
      <rPr>
        <b/>
        <sz val="10"/>
        <rFont val="Times New Roman"/>
        <family val="1"/>
        <charset val="204"/>
      </rPr>
      <t xml:space="preserve"> (65+)</t>
    </r>
  </si>
  <si>
    <t>Приобретение МФУ</t>
  </si>
  <si>
    <t>Приобретение столика для раскладки лекарств</t>
  </si>
  <si>
    <t>Приобретение поста медсестры</t>
  </si>
  <si>
    <t>Приобретение столов для столовой</t>
  </si>
  <si>
    <t>Приобретение стульев для столовой</t>
  </si>
  <si>
    <t>Приобретение тележки для перевозки пищи</t>
  </si>
  <si>
    <t>Приобретение тележки для уборки помещений</t>
  </si>
  <si>
    <t>Приобретение пылесоса</t>
  </si>
  <si>
    <t>Приобретение посудомоечной машины</t>
  </si>
  <si>
    <t>Приобретение шкафа для хранения медикаментов</t>
  </si>
  <si>
    <t>Приобретение шкафа платяного</t>
  </si>
  <si>
    <t>Приобретение тумбы прикроватной</t>
  </si>
  <si>
    <t>Приобретение автомобиля</t>
  </si>
  <si>
    <t>Приобретение ПК в сборе</t>
  </si>
  <si>
    <t>Оказание помощи в уборке квартир гражданам пожилого возраста и инвалидам, находящимся на обслуживании в отделениях социального обслуживания на дому</t>
  </si>
  <si>
    <t>Обоснования расходов 2024 года</t>
  </si>
  <si>
    <t>Страховые взносы обязательное социальное страхование от несчастных случаев на производстве и профессиональных заболеваний, всего</t>
  </si>
  <si>
    <t>Обоснования расходов 2025 года</t>
  </si>
  <si>
    <r>
      <t>Вода хоз.питьевая (м</t>
    </r>
    <r>
      <rPr>
        <sz val="10"/>
        <rFont val="Calibri"/>
        <family val="2"/>
        <charset val="204"/>
      </rPr>
      <t>³</t>
    </r>
    <r>
      <rPr>
        <sz val="11.5"/>
        <rFont val="Times New Roman"/>
        <family val="1"/>
        <charset val="204"/>
      </rPr>
      <t>)</t>
    </r>
  </si>
  <si>
    <t>Обслуживание пожарной сигнализации и речевого оповещения.  Обслуживание видеонаблюдения</t>
  </si>
  <si>
    <t>Услуги по технической эксплуатации электрохозяйства</t>
  </si>
  <si>
    <t>Обслуживание медицинской техники</t>
  </si>
  <si>
    <t>Обслуживание  холодильного оборудования</t>
  </si>
  <si>
    <t xml:space="preserve">Утилизация медицинских отходов </t>
  </si>
  <si>
    <t>29</t>
  </si>
  <si>
    <t xml:space="preserve">Санитарно-эпидемиологические услуги по производственному контролю </t>
  </si>
  <si>
    <t>Подписка и доставка на печатные периодические издания "Почта России"</t>
  </si>
  <si>
    <t>Услуги по дезинфекционной обработке белья</t>
  </si>
  <si>
    <t xml:space="preserve">Замеры электричества (электрической проводки) </t>
  </si>
  <si>
    <t>Оплата обучения работников (улучшение качества обслуживания)</t>
  </si>
  <si>
    <t xml:space="preserve">Вызов наряда охраны с помощью КТС </t>
  </si>
  <si>
    <t>Медицинский осмотр при трудоустройстве</t>
  </si>
  <si>
    <t>Медицинский осмотр и освидетельствование работников, состоящих в штате</t>
  </si>
  <si>
    <t xml:space="preserve">Оказание платных медицинских услуг по проведению предрейсового  медицинского водителей автотранспортных средств </t>
  </si>
  <si>
    <t>Прохождение гигиенической подготовки и аттестации</t>
  </si>
  <si>
    <t>Программное обеспечение по передаче фискальных данных по кас.операциям</t>
  </si>
  <si>
    <t xml:space="preserve">Санитарно-эпидемиологические по баканализам (исследование смывов)    </t>
  </si>
  <si>
    <t>Монтаж системы контроля входной группы</t>
  </si>
  <si>
    <t>Разработка норм расхода топлива на автомобиль</t>
  </si>
  <si>
    <t>Госпошлина за гос.регистрацию автомобиля</t>
  </si>
  <si>
    <t>Ремонт межпанельных швов по адресу: ул. Коновалова,24</t>
  </si>
  <si>
    <t>Выполнение работ по техническому надзору за проведением строительно-монтажных и ремонтных работ</t>
  </si>
  <si>
    <t>Выполнение работ по установке поручней</t>
  </si>
  <si>
    <t>Оказание услуг по информационно-технологическому сопровождению программы: 1С: предприятие 8.3.сетевая конфигурация "БГУ 2.0"</t>
  </si>
  <si>
    <t>Пин-код активации кассы</t>
  </si>
  <si>
    <t xml:space="preserve">Мягкий инвентарь </t>
  </si>
  <si>
    <t>Фиксирующий жилет для инвалидной коляски</t>
  </si>
  <si>
    <t>Фиксирующий жилет для инвалидной коляски с паховой вставкой</t>
  </si>
  <si>
    <t>Фиксирующий пояс для инвалидной коляски</t>
  </si>
  <si>
    <t>Противопролежневая подушка</t>
  </si>
  <si>
    <t>831</t>
  </si>
  <si>
    <t>Исполнение судебных актов РФ и мировых соглашений по возмещению вреда, причиненного в результате деятельности учреждения</t>
  </si>
  <si>
    <t>Ремонт помещений по адресу: ул. Баштыркова, 5а</t>
  </si>
  <si>
    <t>Ремонт помещений по адресу: ул. Коновалова,24</t>
  </si>
  <si>
    <t>Замена дверных блоков (проемов, полотен), дверей</t>
  </si>
  <si>
    <t>Установка системы речевого и звукового оповещения</t>
  </si>
  <si>
    <t>Дезинфекция транспорта</t>
  </si>
  <si>
    <t>Противоскользящая лента</t>
  </si>
  <si>
    <t>Поручни для санитарно-гигиенических комнат</t>
  </si>
  <si>
    <t>Тактильные знаки (пиктограмма)</t>
  </si>
  <si>
    <t>Тактильная вывеска</t>
  </si>
  <si>
    <t>Стул для ванны</t>
  </si>
  <si>
    <t>Приобретение шкафа медицинского</t>
  </si>
  <si>
    <t>Единовременное пособие при увольнении в связи с выходом на пенсию</t>
  </si>
  <si>
    <t>Страховые взносы, начисленные на единовременное пособие при увольнении в связи с выходом на пенсию</t>
  </si>
  <si>
    <t>Средства на уплату налогов</t>
  </si>
  <si>
    <t>Предоставление мер социальной поддержки в части предоставления бесплатного проезда на транспорте общего пользования (кроме такси), обеспечения специальной одеждой, обувью и инвентарем отдельным категориям работников государственных областных учреждений социального обслуживания населения</t>
  </si>
  <si>
    <t>Предоставление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</si>
  <si>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(отдыха)  и обратно работников учреждений социального обслуживания и неработающих членов их семей</t>
  </si>
  <si>
    <t>Приобретение оборудования и предметов длительного пользования, автотранспортных средств</t>
  </si>
  <si>
    <t>Повышение противопожарной безопасности</t>
  </si>
  <si>
    <t>Улучшение санитарно-эпидемиологических условий</t>
  </si>
  <si>
    <t>Создание условий доступности в подведомственных учреждениях  (устройство наружных и внутренних пандусов, оснащение поручнями, кресло-колясками, ходунками и др.)</t>
  </si>
  <si>
    <t>Доставка лиц старше 65 лет, проживающих в сельской местности, в медицинские организации</t>
  </si>
  <si>
    <t>Внедрение современных ИКТ в подведомственных учреждениях</t>
  </si>
  <si>
    <t>Приобретение шкафа для документов</t>
  </si>
  <si>
    <t>Приобретение стеллажа углового</t>
  </si>
  <si>
    <t>Приобретение полки навесной</t>
  </si>
  <si>
    <t>Приобретение стола компьютерного</t>
  </si>
  <si>
    <t>Услуги по ремонту канализационного колодца на территории учреждения</t>
  </si>
  <si>
    <t xml:space="preserve">Оплата обучения на курсах "устройство и безопасная эксплуатация тепловых сетей энергоустановок и тепловых сетей и электроустановок потребителей электроэнергии"   </t>
  </si>
  <si>
    <t>Ремонт поручней (перил лестничных маршей)</t>
  </si>
  <si>
    <t xml:space="preserve">Размещение объявлений, статей в газету, журналы </t>
  </si>
  <si>
    <r>
      <t xml:space="preserve">Источник финансового обеспечения: </t>
    </r>
    <r>
      <rPr>
        <b/>
        <u/>
        <sz val="10"/>
        <rFont val="Times New Roman"/>
        <family val="1"/>
        <charset val="204"/>
      </rPr>
      <t>приносящая доход деятельность</t>
    </r>
  </si>
  <si>
    <t>Госпошлина (судебные расходы)</t>
  </si>
  <si>
    <t>Задолженность по плате за негативное воздействие на работу централизованной системы водоотведения</t>
  </si>
  <si>
    <t>Установка поручней</t>
  </si>
  <si>
    <t>Наушники</t>
  </si>
  <si>
    <t>Колонки</t>
  </si>
  <si>
    <t>Монитор</t>
  </si>
  <si>
    <t xml:space="preserve">Ремонтные работы в помещениях </t>
  </si>
  <si>
    <t>510</t>
  </si>
  <si>
    <t>Санитарка</t>
  </si>
  <si>
    <t>Приобретение стеллажа</t>
  </si>
  <si>
    <t>Приобретение стола компьютерного углового</t>
  </si>
  <si>
    <t>Приобретение кресла офисного</t>
  </si>
  <si>
    <t>Приобретение стула офисного</t>
  </si>
  <si>
    <t>Веб-камера</t>
  </si>
  <si>
    <t>Программное обеспечение VipNet</t>
  </si>
  <si>
    <t>САНИТАРНО-ГИГИЕНИЧЕСКИЕ, МОЮЩИЕ СРЕДСТВА</t>
  </si>
  <si>
    <t xml:space="preserve">Исполнитель: экономист                </t>
  </si>
  <si>
    <t xml:space="preserve">               Е.А.Тархова (81535 51187)</t>
  </si>
  <si>
    <t>Установка кнопки вызова помощника в санузел</t>
  </si>
  <si>
    <t>факт</t>
  </si>
  <si>
    <t>Автозапчасти (65+)</t>
  </si>
  <si>
    <t>LADA Largus KS045L</t>
  </si>
  <si>
    <t>КОСГУ</t>
  </si>
  <si>
    <t>212;226</t>
  </si>
  <si>
    <t>226;266</t>
  </si>
  <si>
    <t>Участие в IV-Чемпионате России на лучшую презентацию</t>
  </si>
  <si>
    <t>Антивирус Dr.Web</t>
  </si>
  <si>
    <t>340-349</t>
  </si>
  <si>
    <t>Костюм рабочий мужской</t>
  </si>
  <si>
    <t>Обувь</t>
  </si>
  <si>
    <t>Верхняя одежда (куртка,бомбер,пальто)</t>
  </si>
  <si>
    <t>Джемпер,свитер,свитшот</t>
  </si>
  <si>
    <t>Обувь (ботинки,сапоги,сандалии)</t>
  </si>
  <si>
    <t>Пижама</t>
  </si>
  <si>
    <t>Полукомбинезон</t>
  </si>
  <si>
    <t>Футболка</t>
  </si>
  <si>
    <t>Шапка (шапка+снуд)</t>
  </si>
  <si>
    <t>Услуги по обращению с твёрдыми коммунальными отходами (региональный оператор)(м³)</t>
  </si>
  <si>
    <t>Ремонт прочий</t>
  </si>
  <si>
    <t>Услуга по переделке рулонных штор</t>
  </si>
  <si>
    <t>Продукты к празднику</t>
  </si>
  <si>
    <t>Радиотелефон</t>
  </si>
  <si>
    <t>Вафли, зефир</t>
  </si>
  <si>
    <t>Вода</t>
  </si>
  <si>
    <t>Икра</t>
  </si>
  <si>
    <t>Колбаса</t>
  </si>
  <si>
    <t>Конфеты</t>
  </si>
  <si>
    <t>Печенье</t>
  </si>
  <si>
    <t>Хлеб</t>
  </si>
  <si>
    <t>Шоколад</t>
  </si>
  <si>
    <t>на 2024 г.    текущий финансовый год</t>
  </si>
  <si>
    <t>на 2025 г. (1-й год планового периода)</t>
  </si>
  <si>
    <t>на 2026 г. (2-й год планового периода)</t>
  </si>
  <si>
    <t>на 2024 г. текущий финансовый год</t>
  </si>
  <si>
    <t>на 2025 г. 1-й год планового периода</t>
  </si>
  <si>
    <t>на 2026 г. 2-й год планового периода</t>
  </si>
  <si>
    <t xml:space="preserve"> на 2024 год и плановый период 2025  и 2026 годов &lt;1&gt;</t>
  </si>
  <si>
    <t>Обоснования (расчеты) к плану финансово-хозяйственной деятельности государственного  учреждения на 2024 год (на текущий финансовый год)  &lt;15&gt;</t>
  </si>
  <si>
    <t>Обоснования (расчеты) к плану финансово-хозяйственной деятельности государственного  учреждения на 2025 год (на первый год планового периода) &lt;15&gt;</t>
  </si>
  <si>
    <t>Обоснования (расчеты) к плану финансово-хозяйственной деятельности государственного  учреждения на  2026 год (на второй год планового периода) &lt;15&gt;</t>
  </si>
  <si>
    <t>2. Обоснования (расчеты) расходов 2026 год</t>
  </si>
  <si>
    <t>Обоснования расходов 2026 года</t>
  </si>
  <si>
    <t>с-до на 01.01.2024 г.</t>
  </si>
  <si>
    <t>Сотовая связь для планшета</t>
  </si>
  <si>
    <t>Ремонт помещений</t>
  </si>
  <si>
    <t>Диагностика оргтехники</t>
  </si>
  <si>
    <t>Утилизация оборудования</t>
  </si>
  <si>
    <t>Техническое обслуживание объектовых приборов с выводом сигнала АСПС на пульт охраны</t>
  </si>
  <si>
    <t>Техническое и аварийное обслуживание систем водоснабжения, канализационных систем, отопления</t>
  </si>
  <si>
    <t>Заправка огнетушителей</t>
  </si>
  <si>
    <t>Испытание, проверка гидранта, пожар.рукавов, кранов</t>
  </si>
  <si>
    <t>Техническое обслуживание тепловычислителей</t>
  </si>
  <si>
    <t>Поверка мед.техники</t>
  </si>
  <si>
    <t>Ремонт холодильного оборудования</t>
  </si>
  <si>
    <t>Прочистка наружной канализации</t>
  </si>
  <si>
    <t>Поверка весов</t>
  </si>
  <si>
    <t>Гидропромывка систем отопления, отбор проб</t>
  </si>
  <si>
    <t>Разработка паспортов отходов 1-4 класса опасности</t>
  </si>
  <si>
    <t>Весы напольные медицинские</t>
  </si>
  <si>
    <t>Прибор для измерения давления</t>
  </si>
  <si>
    <t>Манекен, стенды</t>
  </si>
  <si>
    <t>Медицинское оборудование</t>
  </si>
  <si>
    <t xml:space="preserve">Пальто </t>
  </si>
  <si>
    <t>Термобелье</t>
  </si>
  <si>
    <t>Носки/чулки</t>
  </si>
  <si>
    <t>Фартук</t>
  </si>
  <si>
    <t>Головной убор</t>
  </si>
  <si>
    <t>Очки защитные</t>
  </si>
  <si>
    <t>Защитные маски</t>
  </si>
  <si>
    <t>Полотенце</t>
  </si>
  <si>
    <t>Одежда защитная</t>
  </si>
  <si>
    <t>Перчатки защитные</t>
  </si>
  <si>
    <t>Пододеяльник</t>
  </si>
  <si>
    <t>Пеленки/салфетки</t>
  </si>
  <si>
    <t>Майка</t>
  </si>
  <si>
    <t>Носовой платок</t>
  </si>
  <si>
    <t>Чулочно-носочные изделия</t>
  </si>
  <si>
    <t>Шарф</t>
  </si>
  <si>
    <t>Верхняя одежда</t>
  </si>
  <si>
    <t>Сорочка</t>
  </si>
  <si>
    <t>Джемпер/свитер</t>
  </si>
  <si>
    <t>Нижнее белье</t>
  </si>
  <si>
    <t>Брюки/юбки</t>
  </si>
  <si>
    <t xml:space="preserve">Костюм  </t>
  </si>
  <si>
    <t>Портфель/сумка/рюкзак</t>
  </si>
  <si>
    <t>Приобретение термосов для горячего питания</t>
  </si>
  <si>
    <t>МРОТ с 01.01.2024</t>
  </si>
  <si>
    <t>Уборщик служебных помещений 1 разряда</t>
  </si>
  <si>
    <t>АВТОЗАПЧАСТИ</t>
  </si>
  <si>
    <t>с-до на 01.01.2025 г.</t>
  </si>
  <si>
    <t>с-до на 01.01.2026 г.</t>
  </si>
  <si>
    <t>на 2023 г. отчетный финансовый год</t>
  </si>
  <si>
    <t>2024 г.</t>
  </si>
  <si>
    <t>*</t>
  </si>
  <si>
    <t>Усиление антитеррористической устойчивости</t>
  </si>
  <si>
    <t>Ремонт кровли: Баштыркова 5а</t>
  </si>
  <si>
    <t>Установка системы видеонаблюдения</t>
  </si>
  <si>
    <t>30</t>
  </si>
  <si>
    <t>33</t>
  </si>
  <si>
    <t>34</t>
  </si>
  <si>
    <t>35</t>
  </si>
  <si>
    <t>36</t>
  </si>
  <si>
    <t>37</t>
  </si>
  <si>
    <t>38</t>
  </si>
  <si>
    <t>39</t>
  </si>
  <si>
    <t>40</t>
  </si>
  <si>
    <t>41</t>
  </si>
  <si>
    <t>42</t>
  </si>
  <si>
    <t>43</t>
  </si>
  <si>
    <t>Приобретение ПК</t>
  </si>
  <si>
    <t>Приобретение Монитора</t>
  </si>
  <si>
    <t>Приобретение банкетки медицинской</t>
  </si>
  <si>
    <t>Приобретение гардеробных шкафов</t>
  </si>
  <si>
    <t>Приобретение диванов</t>
  </si>
  <si>
    <t>Приобретение комодов</t>
  </si>
  <si>
    <t>Приобретение комплекта мебели в зал социальной реабилитации</t>
  </si>
  <si>
    <t>Приобретение кресел</t>
  </si>
  <si>
    <t>Приобретение навесного кухонного шкафа</t>
  </si>
  <si>
    <t>Приобретение навесного шкафа</t>
  </si>
  <si>
    <t>Приобретение скамейки 2000 мм</t>
  </si>
  <si>
    <t>Приобретение стеллажа металлического</t>
  </si>
  <si>
    <t>Приобретение стеллажа открытого</t>
  </si>
  <si>
    <t>Приобретение стеллажа углового 5-уровневнего</t>
  </si>
  <si>
    <t>Приобретение стенки детской</t>
  </si>
  <si>
    <t>Приобретение стенки для игрушек</t>
  </si>
  <si>
    <t>Приобретение столика прикроватного</t>
  </si>
  <si>
    <t>Приобретение стула ученического регулируемого</t>
  </si>
  <si>
    <t>Приобретение тумбы с двумя мойками</t>
  </si>
  <si>
    <t>Приобретение ширмы медицинской 1-х секционной</t>
  </si>
  <si>
    <t>Приобретение шкафа 5-уровневого полуоткрытого</t>
  </si>
  <si>
    <t>Приобретение шкафа закрытого</t>
  </si>
  <si>
    <t>Приобретение шкафа многофункционального</t>
  </si>
  <si>
    <t>Приобретение шкафа полуоткрытого</t>
  </si>
  <si>
    <t>Приобретение шкафа с полками</t>
  </si>
  <si>
    <t>Приобретение шкафа сушки</t>
  </si>
  <si>
    <t>Приобретение шкафа-гардероба</t>
  </si>
  <si>
    <t>Приобретение пылесоса профессионального моющего</t>
  </si>
  <si>
    <r>
      <t>ГСМ</t>
    </r>
    <r>
      <rPr>
        <b/>
        <sz val="10"/>
        <rFont val="Times New Roman"/>
        <family val="1"/>
        <charset val="204"/>
      </rPr>
      <t xml:space="preserve"> (65+)</t>
    </r>
  </si>
  <si>
    <r>
      <t>Автозапчасти</t>
    </r>
    <r>
      <rPr>
        <b/>
        <sz val="10"/>
        <rFont val="Times New Roman"/>
        <family val="1"/>
        <charset val="204"/>
      </rPr>
      <t xml:space="preserve"> (65+)</t>
    </r>
  </si>
  <si>
    <t>Картридж</t>
  </si>
  <si>
    <t>Приобретение подъемника для преодоления лестниц любых конфигураций для инвалидных колясок</t>
  </si>
  <si>
    <t>Насос для автомобиля</t>
  </si>
  <si>
    <t>возврат денежной компенсации за 2023 г</t>
  </si>
  <si>
    <t>Бухгалтер</t>
  </si>
  <si>
    <t>ИТС программ 1С:МДЛП (кола дигеста)</t>
  </si>
  <si>
    <t>Исследования (пробы) воздуха и воды  ФБУЗ ЦГ и Э</t>
  </si>
  <si>
    <t>44</t>
  </si>
  <si>
    <t>45</t>
  </si>
  <si>
    <t>46</t>
  </si>
  <si>
    <t>Благоустройство территории</t>
  </si>
  <si>
    <t>47</t>
  </si>
  <si>
    <t>Установка поручней-отбойников</t>
  </si>
  <si>
    <t>Жалюзи</t>
  </si>
  <si>
    <t>Установка АПС</t>
  </si>
  <si>
    <t>Приобретение ультрафиолетовый бактерицидный облучатель-рециркулятор передвижной</t>
  </si>
  <si>
    <t>48</t>
  </si>
  <si>
    <t>Поверка средств измерения (счетчики)</t>
  </si>
  <si>
    <t>Испытание диэлектрических бот</t>
  </si>
  <si>
    <t>Инструментальный контроль электроустановки</t>
  </si>
  <si>
    <t>июля</t>
  </si>
  <si>
    <t>Ремонт помещений 1 этажа адресу: ул. Баштыркова, 5а</t>
  </si>
  <si>
    <t>Ремонт помещений 2 этажа адресу: ул. Баштыркова, 5а</t>
  </si>
  <si>
    <t>Приобретение брифинг-приставки</t>
  </si>
  <si>
    <t>Приобретение скамейки 1300 мм</t>
  </si>
  <si>
    <t>Приобретение кухонного шкафа с ящиком для посуды</t>
  </si>
  <si>
    <t>Приобретение стеллажа полуоткрытого</t>
  </si>
  <si>
    <t xml:space="preserve">Приобретение стола </t>
  </si>
  <si>
    <t>Приобретение стула</t>
  </si>
  <si>
    <t>Приобретение тумбы</t>
  </si>
  <si>
    <t>Приобретение тумбы мобильная</t>
  </si>
  <si>
    <t>Приобретение тумбы приставная</t>
  </si>
  <si>
    <t>Приобретение шкафа</t>
  </si>
  <si>
    <t>Приобретение шкафа двухстворчатого для документов</t>
  </si>
  <si>
    <t>Приобретение бактерицидный облучатель</t>
  </si>
  <si>
    <t>Приобретение установки обеззараживания воздуха</t>
  </si>
  <si>
    <t>Приобретение проектора</t>
  </si>
  <si>
    <t>Приобретение экрана</t>
  </si>
  <si>
    <t>Контроль качества мед. Организации</t>
  </si>
  <si>
    <t>Кадастровые работы по объединению участков</t>
  </si>
  <si>
    <t>Термопот</t>
  </si>
  <si>
    <t>Аудиосистема с микрофоном</t>
  </si>
  <si>
    <t>Дозаторы</t>
  </si>
  <si>
    <t>И.О. Директора ГОАУСОН "Ковдорский КЦСОН"</t>
  </si>
  <si>
    <t>Кузнецова Ю.В.</t>
  </si>
  <si>
    <t>24.07.2024</t>
  </si>
  <si>
    <r>
      <t xml:space="preserve">Раздел 3. Сведения и показатели об использования ресурсов
учреждения (подразделения) на </t>
    </r>
    <r>
      <rPr>
        <b/>
        <sz val="11"/>
        <rFont val="Times New Roman"/>
        <family val="1"/>
        <charset val="204"/>
      </rPr>
      <t>"24" июля 2024 г.</t>
    </r>
    <r>
      <rPr>
        <b/>
        <sz val="11"/>
        <color theme="1"/>
        <rFont val="Times New Roman"/>
        <family val="1"/>
        <charset val="204"/>
      </rPr>
      <t xml:space="preserve">
</t>
    </r>
  </si>
  <si>
    <r>
      <t>Раздел 4. Перечень мероприятий по повышению эффективности
деятельности учреждения (подразделения)
на</t>
    </r>
    <r>
      <rPr>
        <b/>
        <sz val="11"/>
        <color rgb="FFFF0000"/>
        <rFont val="Times New Roman"/>
        <family val="1"/>
        <charset val="204"/>
      </rPr>
      <t xml:space="preserve"> </t>
    </r>
    <r>
      <rPr>
        <b/>
        <sz val="11"/>
        <rFont val="Times New Roman"/>
        <family val="1"/>
        <charset val="204"/>
      </rPr>
      <t xml:space="preserve">"24" июля 2024 г.
</t>
    </r>
  </si>
  <si>
    <t>"24" июля 2024 г.</t>
  </si>
  <si>
    <t>И.О. руководителя финансово-экономического службы учреждения (подразделения)</t>
  </si>
  <si>
    <t>С.А.Коржанкова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</si>
</sst>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_₽"/>
    <numFmt numFmtId="166" formatCode="0.000"/>
    <numFmt numFmtId="167" formatCode="0.0000"/>
    <numFmt numFmtId="168" formatCode="0.0"/>
    <numFmt numFmtId="169" formatCode="#,##0.00_р_."/>
    <numFmt numFmtId="170" formatCode="#,##0\ _₽"/>
    <numFmt numFmtId="171" formatCode="0.0%"/>
  </numFmts>
  <fonts count="44"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FF00"/>
      <name val="Times New Roman"/>
      <family val="1"/>
      <charset val="204"/>
    </font>
    <font>
      <sz val="11"/>
      <color rgb="FF92D050"/>
      <name val="Times New Roman"/>
      <family val="1"/>
      <charset val="204"/>
    </font>
    <font>
      <sz val="11"/>
      <color theme="6" tint="0.39997558519241921"/>
      <name val="Times New Roman"/>
      <family val="1"/>
      <charset val="204"/>
    </font>
    <font>
      <sz val="11"/>
      <color theme="9" tint="0.59999389629810485"/>
      <name val="Times New Roman"/>
      <family val="1"/>
      <charset val="204"/>
    </font>
    <font>
      <sz val="11"/>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rgb="FF92D050"/>
      <name val="Times New Roman"/>
      <family val="1"/>
      <charset val="204"/>
    </font>
    <font>
      <sz val="10"/>
      <color rgb="FF92D050"/>
      <name val="Times New Roman"/>
      <family val="1"/>
      <charset val="204"/>
    </font>
    <font>
      <sz val="10"/>
      <color theme="1"/>
      <name val="Times New Roman"/>
      <family val="1"/>
      <charset val="204"/>
    </font>
    <font>
      <sz val="8"/>
      <color theme="1"/>
      <name val="Times New Roman"/>
      <family val="1"/>
      <charset val="204"/>
    </font>
    <font>
      <sz val="8"/>
      <color rgb="FFFF0000"/>
      <name val="Times New Roman"/>
      <family val="1"/>
      <charset val="204"/>
    </font>
    <font>
      <b/>
      <sz val="10"/>
      <color rgb="FFFF0000"/>
      <name val="Times New Roman"/>
      <family val="1"/>
      <charset val="204"/>
    </font>
    <font>
      <sz val="10"/>
      <color theme="6" tint="0.39997558519241921"/>
      <name val="Times New Roman"/>
      <family val="1"/>
      <charset val="204"/>
    </font>
    <font>
      <sz val="10"/>
      <color rgb="FFFFFF00"/>
      <name val="Times New Roman"/>
      <family val="1"/>
      <charset val="204"/>
    </font>
    <font>
      <b/>
      <sz val="11"/>
      <color rgb="FFFFFF00"/>
      <name val="Times New Roman"/>
      <family val="1"/>
      <charset val="204"/>
    </font>
    <font>
      <b/>
      <u/>
      <sz val="10"/>
      <name val="Times New Roman"/>
      <family val="1"/>
      <charset val="204"/>
    </font>
    <font>
      <sz val="10"/>
      <name val="Calibri"/>
      <family val="2"/>
      <charset val="204"/>
    </font>
    <font>
      <sz val="11.5"/>
      <name val="Times New Roman"/>
      <family val="1"/>
      <charset val="204"/>
    </font>
    <font>
      <b/>
      <sz val="11"/>
      <color rgb="FFFF0000"/>
      <name val="Times New Roman"/>
      <family val="1"/>
      <charset val="204"/>
    </font>
    <font>
      <sz val="8"/>
      <name val="Calibri"/>
      <family val="2"/>
      <charset val="204"/>
      <scheme val="minor"/>
    </font>
    <font>
      <b/>
      <sz val="10"/>
      <color rgb="FFFFFF00"/>
      <name val="Times New Roman"/>
      <family val="1"/>
      <charset val="204"/>
    </font>
    <font>
      <b/>
      <sz val="11"/>
      <color rgb="FF00B050"/>
      <name val="Times New Roman"/>
      <family val="1"/>
      <charset val="204"/>
    </font>
    <font>
      <b/>
      <sz val="10"/>
      <color theme="6" tint="0.59999389629810485"/>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81">
    <xf numFmtId="0" fontId="0" fillId="0" borderId="0" xfId="0"/>
    <xf numFmtId="0" fontId="3" fillId="0" borderId="0" xfId="1" applyFont="1"/>
    <xf numFmtId="0" fontId="3" fillId="0" borderId="0" xfId="1" applyFont="1" applyAlignment="1">
      <alignment vertical="center"/>
    </xf>
    <xf numFmtId="0" fontId="7" fillId="0" borderId="0" xfId="1" applyFont="1"/>
    <xf numFmtId="0" fontId="7" fillId="0" borderId="0" xfId="1" applyFont="1" applyAlignment="1">
      <alignment horizontal="right"/>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right" vertical="center"/>
    </xf>
    <xf numFmtId="49" fontId="3" fillId="0" borderId="0" xfId="1" applyNumberFormat="1" applyFont="1" applyAlignment="1">
      <alignment horizontal="center"/>
    </xf>
    <xf numFmtId="49" fontId="3" fillId="0" borderId="0" xfId="1" applyNumberFormat="1" applyFont="1" applyAlignment="1">
      <alignment horizontal="left"/>
    </xf>
    <xf numFmtId="49" fontId="7" fillId="0" borderId="0" xfId="1" applyNumberFormat="1" applyFont="1" applyAlignment="1">
      <alignment horizontal="center"/>
    </xf>
    <xf numFmtId="49" fontId="7" fillId="0" borderId="0" xfId="1" applyNumberFormat="1" applyFont="1" applyAlignment="1">
      <alignment horizontal="left"/>
    </xf>
    <xf numFmtId="0" fontId="9" fillId="0" borderId="0" xfId="0" applyFont="1" applyAlignment="1">
      <alignment horizontal="left"/>
    </xf>
    <xf numFmtId="49" fontId="8" fillId="0" borderId="0" xfId="0" applyNumberFormat="1" applyFont="1" applyAlignment="1">
      <alignment horizontal="left"/>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0" fontId="17" fillId="0" borderId="0" xfId="0" applyFont="1" applyAlignment="1">
      <alignment horizontal="left"/>
    </xf>
    <xf numFmtId="0" fontId="5" fillId="0" borderId="0" xfId="0" applyFont="1" applyAlignment="1">
      <alignment horizontal="center"/>
    </xf>
    <xf numFmtId="0" fontId="8" fillId="0" borderId="2" xfId="0" applyFont="1" applyBorder="1" applyAlignment="1">
      <alignment horizontal="center"/>
    </xf>
    <xf numFmtId="49" fontId="8"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left" vertical="center"/>
    </xf>
    <xf numFmtId="0" fontId="3" fillId="0" borderId="0" xfId="1" applyFont="1" applyAlignment="1">
      <alignment horizontal="left" vertical="top" wrapText="1"/>
    </xf>
    <xf numFmtId="0" fontId="5" fillId="0" borderId="0" xfId="0" applyFont="1" applyAlignment="1">
      <alignment horizontal="left"/>
    </xf>
    <xf numFmtId="0" fontId="8" fillId="0" borderId="0" xfId="0" applyFont="1"/>
    <xf numFmtId="0" fontId="8" fillId="0" borderId="0" xfId="0" applyFont="1" applyAlignment="1">
      <alignment horizontal="center" wrapText="1"/>
    </xf>
    <xf numFmtId="49" fontId="7" fillId="0" borderId="0" xfId="0" applyNumberFormat="1" applyFont="1" applyAlignment="1">
      <alignment horizontal="right" vertical="center"/>
    </xf>
    <xf numFmtId="0" fontId="7" fillId="0" borderId="0" xfId="0" applyFont="1" applyAlignment="1">
      <alignment horizontal="center" vertical="center"/>
    </xf>
    <xf numFmtId="49" fontId="5" fillId="0" borderId="0" xfId="0" applyNumberFormat="1" applyFont="1" applyAlignment="1">
      <alignment horizontal="left"/>
    </xf>
    <xf numFmtId="0" fontId="2" fillId="0" borderId="0" xfId="1" applyFont="1"/>
    <xf numFmtId="0" fontId="4" fillId="0" borderId="0" xfId="1" applyFont="1"/>
    <xf numFmtId="0" fontId="6" fillId="0" borderId="0" xfId="1" applyFont="1"/>
    <xf numFmtId="0" fontId="6" fillId="0" borderId="0" xfId="0" applyFont="1"/>
    <xf numFmtId="0" fontId="3" fillId="0" borderId="0" xfId="1" applyFont="1" applyAlignment="1">
      <alignment horizontal="right"/>
    </xf>
    <xf numFmtId="0" fontId="0" fillId="0" borderId="2" xfId="0" applyBorder="1" applyAlignment="1">
      <alignment vertical="top"/>
    </xf>
    <xf numFmtId="0" fontId="3" fillId="0" borderId="2" xfId="1" applyFont="1" applyBorder="1" applyAlignment="1">
      <alignment vertical="top" wrapText="1"/>
    </xf>
    <xf numFmtId="4" fontId="9" fillId="2" borderId="17" xfId="0" applyNumberFormat="1" applyFont="1" applyFill="1" applyBorder="1" applyAlignment="1">
      <alignment vertical="center" wrapText="1"/>
    </xf>
    <xf numFmtId="4" fontId="20" fillId="0" borderId="0" xfId="0" applyNumberFormat="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top"/>
    </xf>
    <xf numFmtId="4" fontId="20" fillId="0" borderId="0" xfId="0" applyNumberFormat="1" applyFont="1" applyAlignment="1">
      <alignment horizontal="center" vertical="center" wrapText="1"/>
    </xf>
    <xf numFmtId="4" fontId="20" fillId="0" borderId="0" xfId="0" applyNumberFormat="1" applyFont="1" applyAlignment="1">
      <alignment horizontal="left" vertical="top"/>
    </xf>
    <xf numFmtId="4" fontId="3" fillId="0" borderId="0" xfId="0" applyNumberFormat="1" applyFont="1" applyAlignment="1">
      <alignment horizontal="left" vertical="center"/>
    </xf>
    <xf numFmtId="0" fontId="9" fillId="2" borderId="0" xfId="0" applyFont="1" applyFill="1"/>
    <xf numFmtId="0" fontId="14" fillId="2" borderId="0" xfId="0" applyFont="1" applyFill="1"/>
    <xf numFmtId="0" fontId="20" fillId="2" borderId="0" xfId="0" applyFont="1" applyFill="1"/>
    <xf numFmtId="4" fontId="20" fillId="2" borderId="0" xfId="0" applyNumberFormat="1" applyFont="1" applyFill="1"/>
    <xf numFmtId="0" fontId="14" fillId="2" borderId="2" xfId="0" applyFont="1" applyFill="1" applyBorder="1"/>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29"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 fontId="9" fillId="2" borderId="1" xfId="0" applyNumberFormat="1" applyFont="1" applyFill="1" applyBorder="1" applyAlignment="1">
      <alignment vertical="center" wrapText="1"/>
    </xf>
    <xf numFmtId="0" fontId="14" fillId="2" borderId="2" xfId="0" applyFont="1" applyFill="1" applyBorder="1" applyAlignment="1">
      <alignment wrapText="1"/>
    </xf>
    <xf numFmtId="0" fontId="14" fillId="2" borderId="2" xfId="0" applyFont="1" applyFill="1" applyBorder="1" applyAlignment="1">
      <alignment horizontal="right"/>
    </xf>
    <xf numFmtId="0" fontId="30" fillId="2" borderId="11" xfId="0" applyFont="1" applyFill="1" applyBorder="1"/>
    <xf numFmtId="0" fontId="30" fillId="2" borderId="0" xfId="0" applyFont="1" applyFill="1"/>
    <xf numFmtId="4" fontId="9" fillId="0" borderId="17" xfId="0" applyNumberFormat="1" applyFont="1" applyBorder="1" applyAlignment="1">
      <alignment vertical="center" wrapText="1"/>
    </xf>
    <xf numFmtId="4" fontId="9" fillId="0" borderId="17" xfId="0" applyNumberFormat="1" applyFont="1" applyBorder="1" applyAlignment="1">
      <alignment horizontal="right" vertical="center" wrapText="1"/>
    </xf>
    <xf numFmtId="0" fontId="11" fillId="0" borderId="0" xfId="0" applyFont="1"/>
    <xf numFmtId="0" fontId="14" fillId="0" borderId="0" xfId="0" applyFont="1"/>
    <xf numFmtId="0" fontId="9" fillId="0" borderId="0" xfId="0" applyFont="1"/>
    <xf numFmtId="4" fontId="14" fillId="0" borderId="0" xfId="0" applyNumberFormat="1" applyFont="1"/>
    <xf numFmtId="0" fontId="20" fillId="0" borderId="0" xfId="0" applyFont="1"/>
    <xf numFmtId="4" fontId="21" fillId="0" borderId="0" xfId="0" applyNumberFormat="1" applyFont="1"/>
    <xf numFmtId="4" fontId="21" fillId="0" borderId="0" xfId="0" applyNumberFormat="1" applyFont="1" applyAlignment="1">
      <alignment horizontal="center"/>
    </xf>
    <xf numFmtId="0" fontId="21" fillId="0" borderId="0" xfId="0" applyFont="1"/>
    <xf numFmtId="0" fontId="14" fillId="0" borderId="17" xfId="0" applyFont="1" applyBorder="1" applyAlignment="1">
      <alignment horizontal="center" vertical="center" wrapText="1"/>
    </xf>
    <xf numFmtId="0" fontId="9" fillId="0" borderId="17" xfId="0" applyFont="1" applyBorder="1" applyAlignment="1">
      <alignment horizontal="center" vertical="center" wrapText="1"/>
    </xf>
    <xf numFmtId="4" fontId="20" fillId="0" borderId="0" xfId="0" applyNumberFormat="1" applyFont="1"/>
    <xf numFmtId="4" fontId="27" fillId="0" borderId="27" xfId="0" applyNumberFormat="1" applyFont="1" applyBorder="1" applyAlignment="1">
      <alignment horizontal="center" vertical="center" wrapText="1"/>
    </xf>
    <xf numFmtId="4" fontId="20" fillId="0" borderId="11" xfId="0" applyNumberFormat="1" applyFont="1" applyBorder="1"/>
    <xf numFmtId="4" fontId="20" fillId="0" borderId="10" xfId="0" applyNumberFormat="1" applyFont="1" applyBorder="1"/>
    <xf numFmtId="4" fontId="20" fillId="0" borderId="7" xfId="0" applyNumberFormat="1" applyFont="1" applyBorder="1"/>
    <xf numFmtId="0" fontId="20" fillId="0" borderId="2" xfId="0" applyFont="1" applyBorder="1"/>
    <xf numFmtId="0" fontId="20" fillId="0" borderId="8" xfId="0" applyFont="1" applyBorder="1"/>
    <xf numFmtId="2" fontId="14" fillId="0" borderId="0" xfId="0" applyNumberFormat="1" applyFont="1"/>
    <xf numFmtId="4" fontId="20" fillId="0" borderId="27" xfId="0" applyNumberFormat="1" applyFont="1" applyBorder="1"/>
    <xf numFmtId="166" fontId="20" fillId="0" borderId="27" xfId="0" applyNumberFormat="1" applyFont="1" applyBorder="1"/>
    <xf numFmtId="4" fontId="20" fillId="0" borderId="27" xfId="0" applyNumberFormat="1" applyFont="1" applyBorder="1" applyAlignment="1">
      <alignment horizontal="right"/>
    </xf>
    <xf numFmtId="4" fontId="20" fillId="0" borderId="28" xfId="0" applyNumberFormat="1" applyFont="1" applyBorder="1"/>
    <xf numFmtId="166" fontId="20" fillId="0" borderId="28" xfId="0" applyNumberFormat="1" applyFont="1" applyBorder="1"/>
    <xf numFmtId="4" fontId="28" fillId="0" borderId="28" xfId="0" applyNumberFormat="1" applyFont="1" applyBorder="1" applyAlignment="1">
      <alignment horizontal="right" vertical="center"/>
    </xf>
    <xf numFmtId="167" fontId="20" fillId="0" borderId="28" xfId="0" applyNumberFormat="1" applyFont="1" applyBorder="1"/>
    <xf numFmtId="166" fontId="20" fillId="0" borderId="28" xfId="0" applyNumberFormat="1" applyFont="1" applyBorder="1" applyAlignment="1">
      <alignment horizontal="right"/>
    </xf>
    <xf numFmtId="4" fontId="20" fillId="0" borderId="29" xfId="0" applyNumberFormat="1" applyFont="1" applyBorder="1"/>
    <xf numFmtId="166" fontId="20" fillId="0" borderId="29" xfId="0" applyNumberFormat="1" applyFont="1" applyBorder="1"/>
    <xf numFmtId="4" fontId="20" fillId="0" borderId="29" xfId="0" applyNumberFormat="1" applyFont="1" applyBorder="1" applyAlignment="1">
      <alignment horizontal="right"/>
    </xf>
    <xf numFmtId="166" fontId="14" fillId="0" borderId="0" xfId="0" applyNumberFormat="1" applyFont="1"/>
    <xf numFmtId="2" fontId="20" fillId="0" borderId="11" xfId="0" applyNumberFormat="1" applyFont="1" applyBorder="1"/>
    <xf numFmtId="2" fontId="20" fillId="0" borderId="10" xfId="0" applyNumberFormat="1" applyFont="1" applyBorder="1"/>
    <xf numFmtId="2" fontId="20" fillId="0" borderId="0" xfId="0" applyNumberFormat="1" applyFont="1"/>
    <xf numFmtId="2" fontId="20" fillId="0" borderId="9" xfId="0" applyNumberFormat="1" applyFont="1" applyBorder="1"/>
    <xf numFmtId="2" fontId="20" fillId="0" borderId="2" xfId="0" applyNumberFormat="1" applyFont="1" applyBorder="1"/>
    <xf numFmtId="2" fontId="20" fillId="0" borderId="8" xfId="0" applyNumberFormat="1" applyFont="1" applyBorder="1"/>
    <xf numFmtId="0" fontId="9" fillId="0" borderId="17" xfId="0" applyFont="1" applyBorder="1" applyAlignment="1">
      <alignment vertical="center" wrapText="1"/>
    </xf>
    <xf numFmtId="4" fontId="9" fillId="0" borderId="14" xfId="0" applyNumberFormat="1" applyFont="1" applyBorder="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justify" vertical="center"/>
    </xf>
    <xf numFmtId="0" fontId="8" fillId="0" borderId="0" xfId="0" applyFont="1" applyAlignment="1">
      <alignment horizontal="center" vertical="center" wrapText="1"/>
    </xf>
    <xf numFmtId="4" fontId="9" fillId="0" borderId="0" xfId="0" applyNumberFormat="1" applyFont="1"/>
    <xf numFmtId="0" fontId="8" fillId="0" borderId="17" xfId="0" applyFont="1" applyBorder="1" applyAlignment="1">
      <alignment horizontal="center" vertical="center" wrapText="1"/>
    </xf>
    <xf numFmtId="0" fontId="9" fillId="0" borderId="15" xfId="0" applyFont="1" applyBorder="1" applyAlignment="1">
      <alignment horizontal="center" vertical="center" wrapText="1"/>
    </xf>
    <xf numFmtId="4" fontId="2" fillId="0" borderId="0" xfId="0" applyNumberFormat="1" applyFont="1"/>
    <xf numFmtId="0" fontId="2" fillId="0" borderId="0" xfId="0" applyFont="1"/>
    <xf numFmtId="49" fontId="9" fillId="0" borderId="15" xfId="0" applyNumberFormat="1" applyFont="1" applyBorder="1" applyAlignment="1">
      <alignment horizontal="center" vertical="center" wrapText="1"/>
    </xf>
    <xf numFmtId="0" fontId="15" fillId="0" borderId="17"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4" fontId="11" fillId="0" borderId="17" xfId="0" applyNumberFormat="1" applyFont="1" applyBorder="1" applyAlignment="1">
      <alignment vertical="center" wrapText="1"/>
    </xf>
    <xf numFmtId="0" fontId="4" fillId="0" borderId="0" xfId="0" applyFont="1"/>
    <xf numFmtId="4" fontId="9" fillId="0" borderId="20" xfId="0" applyNumberFormat="1" applyFont="1" applyBorder="1" applyAlignment="1">
      <alignment vertical="center" wrapText="1"/>
    </xf>
    <xf numFmtId="0" fontId="9" fillId="0" borderId="0" xfId="0" applyFont="1" applyAlignment="1">
      <alignment horizontal="right" vertical="center" wrapText="1"/>
    </xf>
    <xf numFmtId="4" fontId="9" fillId="0" borderId="17" xfId="0" applyNumberFormat="1"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vertical="center" wrapText="1"/>
    </xf>
    <xf numFmtId="4" fontId="11" fillId="0" borderId="13" xfId="0" applyNumberFormat="1"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xf numFmtId="4" fontId="9" fillId="0" borderId="18" xfId="0" applyNumberFormat="1" applyFont="1" applyBorder="1"/>
    <xf numFmtId="4" fontId="11" fillId="0" borderId="18" xfId="0" applyNumberFormat="1" applyFont="1" applyBorder="1"/>
    <xf numFmtId="0" fontId="9" fillId="0" borderId="24" xfId="0" applyFont="1" applyBorder="1"/>
    <xf numFmtId="0" fontId="9" fillId="0" borderId="13" xfId="0" applyFont="1" applyBorder="1"/>
    <xf numFmtId="0" fontId="9" fillId="0" borderId="16" xfId="0" applyFont="1" applyBorder="1"/>
    <xf numFmtId="0" fontId="9" fillId="0" borderId="0" xfId="0" applyFont="1" applyAlignment="1">
      <alignment wrapText="1"/>
    </xf>
    <xf numFmtId="0" fontId="3" fillId="0" borderId="0" xfId="0" applyFont="1" applyAlignment="1">
      <alignment wrapText="1"/>
    </xf>
    <xf numFmtId="0" fontId="0" fillId="0" borderId="0" xfId="0" applyAlignment="1">
      <alignment wrapText="1"/>
    </xf>
    <xf numFmtId="165" fontId="3" fillId="0" borderId="0" xfId="0" applyNumberFormat="1" applyFont="1" applyAlignment="1">
      <alignment horizontal="left"/>
    </xf>
    <xf numFmtId="165" fontId="9" fillId="0" borderId="0" xfId="0" applyNumberFormat="1" applyFont="1" applyAlignment="1">
      <alignment horizontal="left"/>
    </xf>
    <xf numFmtId="165" fontId="8" fillId="0" borderId="0" xfId="0" applyNumberFormat="1" applyFont="1" applyAlignment="1">
      <alignment horizontal="left"/>
    </xf>
    <xf numFmtId="165" fontId="0" fillId="0" borderId="0" xfId="0" applyNumberFormat="1"/>
    <xf numFmtId="0" fontId="4" fillId="0" borderId="0" xfId="0" applyFont="1" applyAlignment="1">
      <alignment horizontal="left"/>
    </xf>
    <xf numFmtId="165" fontId="4" fillId="0" borderId="0" xfId="0" applyNumberFormat="1"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165" fontId="27" fillId="0" borderId="27" xfId="0" applyNumberFormat="1" applyFont="1" applyBorder="1" applyAlignment="1">
      <alignment horizontal="center" vertical="center" wrapText="1"/>
    </xf>
    <xf numFmtId="169" fontId="30"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165" fontId="27" fillId="0" borderId="29" xfId="0" applyNumberFormat="1" applyFont="1" applyBorder="1" applyAlignment="1">
      <alignment horizontal="center" vertical="center" wrapText="1"/>
    </xf>
    <xf numFmtId="0" fontId="4" fillId="0" borderId="0" xfId="0" applyFont="1" applyAlignment="1">
      <alignment horizontal="center" vertical="top"/>
    </xf>
    <xf numFmtId="165" fontId="4" fillId="0" borderId="0" xfId="0" applyNumberFormat="1" applyFont="1" applyAlignment="1">
      <alignment horizontal="center" vertical="top"/>
    </xf>
    <xf numFmtId="169" fontId="4" fillId="0" borderId="0" xfId="0" applyNumberFormat="1" applyFont="1" applyAlignment="1">
      <alignment horizontal="center" vertical="top"/>
    </xf>
    <xf numFmtId="0" fontId="4" fillId="0" borderId="0" xfId="0" applyFont="1" applyAlignment="1">
      <alignment horizontal="left" vertical="center"/>
    </xf>
    <xf numFmtId="165" fontId="31" fillId="0" borderId="0" xfId="0" applyNumberFormat="1" applyFont="1" applyAlignment="1">
      <alignment horizontal="left" vertical="center"/>
    </xf>
    <xf numFmtId="4" fontId="4" fillId="0" borderId="0" xfId="0" applyNumberFormat="1" applyFont="1" applyAlignment="1">
      <alignment horizontal="center" vertical="center" wrapText="1"/>
    </xf>
    <xf numFmtId="165" fontId="3" fillId="0" borderId="0" xfId="0" applyNumberFormat="1" applyFont="1" applyAlignment="1">
      <alignment horizontal="left" vertical="center"/>
    </xf>
    <xf numFmtId="169" fontId="31" fillId="0" borderId="0" xfId="0" applyNumberFormat="1" applyFont="1" applyAlignment="1">
      <alignment horizontal="center" vertical="center" wrapText="1"/>
    </xf>
    <xf numFmtId="169" fontId="31" fillId="0" borderId="0" xfId="0" applyNumberFormat="1"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wrapText="1"/>
    </xf>
    <xf numFmtId="165" fontId="32" fillId="0" borderId="0" xfId="0" applyNumberFormat="1" applyFont="1" applyAlignment="1">
      <alignment horizontal="left"/>
    </xf>
    <xf numFmtId="0" fontId="32" fillId="0" borderId="0" xfId="0" applyFont="1" applyAlignment="1">
      <alignment horizontal="left"/>
    </xf>
    <xf numFmtId="165" fontId="3" fillId="0" borderId="0" xfId="0" applyNumberFormat="1" applyFont="1" applyAlignment="1">
      <alignment horizontal="center" vertical="center" wrapText="1"/>
    </xf>
    <xf numFmtId="165" fontId="3" fillId="0" borderId="0" xfId="0" applyNumberFormat="1" applyFont="1" applyAlignment="1">
      <alignment horizontal="center" vertical="top"/>
    </xf>
    <xf numFmtId="165" fontId="3" fillId="0" borderId="12" xfId="0" applyNumberFormat="1" applyFont="1" applyBorder="1" applyAlignment="1">
      <alignment horizontal="left" vertical="center" wrapText="1"/>
    </xf>
    <xf numFmtId="165" fontId="7" fillId="0" borderId="0" xfId="0" applyNumberFormat="1" applyFont="1" applyAlignment="1">
      <alignment horizontal="center" vertical="center"/>
    </xf>
    <xf numFmtId="165" fontId="12" fillId="0" borderId="0" xfId="0" applyNumberFormat="1" applyFont="1" applyAlignment="1">
      <alignment horizontal="left"/>
    </xf>
    <xf numFmtId="10" fontId="3" fillId="0" borderId="1" xfId="0" applyNumberFormat="1" applyFont="1" applyBorder="1" applyAlignment="1">
      <alignment horizontal="left"/>
    </xf>
    <xf numFmtId="4" fontId="33" fillId="0" borderId="0" xfId="0" applyNumberFormat="1" applyFont="1" applyAlignment="1">
      <alignment horizontal="left"/>
    </xf>
    <xf numFmtId="0" fontId="33" fillId="0" borderId="0" xfId="0" applyFont="1" applyAlignment="1">
      <alignment horizontal="left"/>
    </xf>
    <xf numFmtId="4" fontId="28" fillId="0" borderId="0" xfId="0" applyNumberFormat="1" applyFont="1" applyAlignment="1">
      <alignment horizontal="left"/>
    </xf>
    <xf numFmtId="0" fontId="28" fillId="0" borderId="0" xfId="0" applyFont="1" applyAlignment="1">
      <alignment horizontal="left"/>
    </xf>
    <xf numFmtId="0" fontId="8"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vertical="center" wrapText="1"/>
    </xf>
    <xf numFmtId="165" fontId="9" fillId="0" borderId="17" xfId="0" applyNumberFormat="1" applyFont="1" applyBorder="1" applyAlignment="1">
      <alignment vertical="center" wrapText="1"/>
    </xf>
    <xf numFmtId="165" fontId="14" fillId="0" borderId="17" xfId="0" applyNumberFormat="1" applyFont="1" applyBorder="1" applyAlignment="1">
      <alignment vertical="center" wrapText="1"/>
    </xf>
    <xf numFmtId="0" fontId="14" fillId="0" borderId="17" xfId="0" applyFont="1" applyBorder="1" applyAlignment="1">
      <alignment vertical="center" wrapText="1"/>
    </xf>
    <xf numFmtId="165" fontId="11" fillId="0" borderId="17" xfId="0" applyNumberFormat="1" applyFont="1" applyBorder="1" applyAlignment="1">
      <alignment vertical="center" wrapText="1"/>
    </xf>
    <xf numFmtId="165" fontId="9" fillId="0" borderId="17"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168" fontId="9" fillId="0" borderId="17" xfId="0" applyNumberFormat="1" applyFont="1" applyBorder="1" applyAlignment="1">
      <alignment vertical="center" wrapText="1"/>
    </xf>
    <xf numFmtId="168" fontId="14" fillId="0" borderId="17" xfId="0" applyNumberFormat="1" applyFont="1" applyBorder="1" applyAlignment="1">
      <alignment vertical="center" wrapText="1"/>
    </xf>
    <xf numFmtId="0" fontId="11" fillId="0" borderId="17" xfId="0" applyFont="1" applyBorder="1" applyAlignment="1">
      <alignment vertical="center" wrapText="1"/>
    </xf>
    <xf numFmtId="164" fontId="9" fillId="0" borderId="17" xfId="0" applyNumberFormat="1" applyFont="1" applyBorder="1" applyAlignment="1">
      <alignment vertical="center" wrapText="1"/>
    </xf>
    <xf numFmtId="0" fontId="11" fillId="0" borderId="17" xfId="0" applyFont="1" applyBorder="1" applyAlignment="1">
      <alignment horizontal="center" vertical="center" wrapText="1"/>
    </xf>
    <xf numFmtId="2" fontId="14" fillId="0" borderId="17" xfId="0" applyNumberFormat="1" applyFont="1" applyBorder="1" applyAlignment="1">
      <alignment vertical="center" wrapText="1"/>
    </xf>
    <xf numFmtId="4" fontId="20" fillId="0" borderId="0" xfId="0" applyNumberFormat="1" applyFont="1" applyAlignment="1">
      <alignment horizontal="left" vertical="center" wrapText="1"/>
    </xf>
    <xf numFmtId="0" fontId="20" fillId="0" borderId="0" xfId="0" applyFont="1" applyAlignment="1">
      <alignment horizontal="left" vertical="top"/>
    </xf>
    <xf numFmtId="4" fontId="8" fillId="0" borderId="0" xfId="0" applyNumberFormat="1" applyFont="1" applyAlignment="1">
      <alignment horizontal="center" vertical="center"/>
    </xf>
    <xf numFmtId="165" fontId="9" fillId="0" borderId="13" xfId="0" applyNumberFormat="1" applyFont="1" applyBorder="1" applyAlignment="1">
      <alignment vertical="center" wrapText="1"/>
    </xf>
    <xf numFmtId="165" fontId="9" fillId="0" borderId="15" xfId="0" applyNumberFormat="1" applyFont="1" applyBorder="1" applyAlignment="1">
      <alignment vertical="center" wrapText="1"/>
    </xf>
    <xf numFmtId="2" fontId="9" fillId="0" borderId="17" xfId="0" applyNumberFormat="1" applyFont="1" applyBorder="1" applyAlignment="1">
      <alignment vertical="center" wrapText="1"/>
    </xf>
    <xf numFmtId="0" fontId="8" fillId="0" borderId="0" xfId="0" applyFont="1" applyAlignment="1">
      <alignment horizontal="left" wrapText="1"/>
    </xf>
    <xf numFmtId="0" fontId="3" fillId="0" borderId="3" xfId="0" applyFont="1" applyBorder="1" applyAlignment="1">
      <alignment horizontal="left" vertical="center" wrapText="1"/>
    </xf>
    <xf numFmtId="0" fontId="7" fillId="0" borderId="0" xfId="0" applyFont="1" applyAlignment="1">
      <alignment horizontal="left" vertical="center"/>
    </xf>
    <xf numFmtId="4" fontId="7" fillId="0" borderId="1" xfId="0" applyNumberFormat="1" applyFont="1" applyBorder="1" applyAlignment="1">
      <alignment horizontal="left" vertical="center"/>
    </xf>
    <xf numFmtId="0" fontId="3" fillId="0" borderId="1" xfId="0" applyFont="1" applyBorder="1" applyAlignment="1">
      <alignment horizontal="left" vertical="center"/>
    </xf>
    <xf numFmtId="4" fontId="41" fillId="0" borderId="0" xfId="0" applyNumberFormat="1"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xf>
    <xf numFmtId="4" fontId="7"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11" xfId="0" applyNumberFormat="1" applyFont="1" applyBorder="1" applyAlignment="1">
      <alignment horizontal="center" vertical="center"/>
    </xf>
    <xf numFmtId="49" fontId="3" fillId="0" borderId="11" xfId="0" applyNumberFormat="1" applyFont="1" applyBorder="1" applyAlignment="1">
      <alignment horizontal="right" vertical="center"/>
    </xf>
    <xf numFmtId="0" fontId="3" fillId="0" borderId="11" xfId="0" applyFont="1" applyBorder="1" applyAlignment="1">
      <alignment horizontal="center" vertical="center"/>
    </xf>
    <xf numFmtId="0" fontId="41" fillId="0" borderId="0" xfId="0" applyFont="1" applyAlignment="1">
      <alignment horizontal="left" vertical="center"/>
    </xf>
    <xf numFmtId="0" fontId="34" fillId="0" borderId="0" xfId="0" applyFont="1" applyAlignment="1">
      <alignment horizontal="left" vertical="center"/>
    </xf>
    <xf numFmtId="4" fontId="7" fillId="0" borderId="0" xfId="0" applyNumberFormat="1" applyFont="1" applyAlignment="1">
      <alignment horizontal="center" vertical="center"/>
    </xf>
    <xf numFmtId="0" fontId="35" fillId="0" borderId="0" xfId="0" applyFont="1" applyAlignment="1">
      <alignment horizontal="left"/>
    </xf>
    <xf numFmtId="4" fontId="35" fillId="0" borderId="0" xfId="0" applyNumberFormat="1" applyFont="1" applyAlignment="1">
      <alignment horizontal="left"/>
    </xf>
    <xf numFmtId="0" fontId="7"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7" fillId="0" borderId="0" xfId="0" applyNumberFormat="1" applyFont="1" applyAlignment="1">
      <alignment horizontal="left"/>
    </xf>
    <xf numFmtId="4" fontId="12" fillId="0" borderId="0" xfId="0" applyNumberFormat="1" applyFont="1" applyAlignment="1">
      <alignment horizontal="left"/>
    </xf>
    <xf numFmtId="4" fontId="32" fillId="0" borderId="0" xfId="0" applyNumberFormat="1" applyFont="1" applyAlignment="1">
      <alignment horizontal="left" vertical="center"/>
    </xf>
    <xf numFmtId="0" fontId="32" fillId="0" borderId="0" xfId="0" applyFont="1" applyAlignment="1">
      <alignment horizontal="left" vertical="center"/>
    </xf>
    <xf numFmtId="0" fontId="41" fillId="0" borderId="0" xfId="0" applyFont="1" applyAlignment="1">
      <alignment horizontal="left"/>
    </xf>
    <xf numFmtId="2" fontId="7" fillId="0" borderId="0" xfId="0" applyNumberFormat="1" applyFont="1" applyAlignment="1">
      <alignment horizontal="left" vertical="center"/>
    </xf>
    <xf numFmtId="4" fontId="3" fillId="0" borderId="11" xfId="0" applyNumberFormat="1" applyFont="1" applyBorder="1" applyAlignment="1">
      <alignment vertical="center"/>
    </xf>
    <xf numFmtId="0" fontId="3" fillId="0" borderId="11" xfId="0" applyFont="1" applyBorder="1" applyAlignment="1">
      <alignment vertical="center"/>
    </xf>
    <xf numFmtId="4" fontId="8" fillId="0" borderId="0" xfId="0" applyNumberFormat="1" applyFont="1" applyAlignment="1">
      <alignment horizontal="left"/>
    </xf>
    <xf numFmtId="0" fontId="12" fillId="0" borderId="0" xfId="0" applyFont="1" applyAlignment="1">
      <alignment horizontal="left" vertical="center"/>
    </xf>
    <xf numFmtId="3" fontId="12" fillId="0" borderId="0" xfId="0" applyNumberFormat="1" applyFont="1" applyAlignment="1">
      <alignment horizontal="left" vertical="center"/>
    </xf>
    <xf numFmtId="0" fontId="19" fillId="0" borderId="0" xfId="0" applyFont="1" applyAlignment="1">
      <alignment horizontal="left"/>
    </xf>
    <xf numFmtId="49" fontId="8" fillId="0" borderId="2" xfId="0" applyNumberFormat="1" applyFont="1" applyBorder="1"/>
    <xf numFmtId="0" fontId="8" fillId="0" borderId="3" xfId="0" applyFont="1" applyBorder="1"/>
    <xf numFmtId="0" fontId="9" fillId="0" borderId="5" xfId="0" applyFont="1" applyBorder="1"/>
    <xf numFmtId="4" fontId="9" fillId="0" borderId="0" xfId="0" applyNumberFormat="1" applyFont="1" applyAlignment="1">
      <alignment horizontal="left"/>
    </xf>
    <xf numFmtId="2" fontId="3" fillId="0" borderId="0" xfId="0" applyNumberFormat="1" applyFont="1" applyAlignment="1">
      <alignment horizontal="left" vertical="center"/>
    </xf>
    <xf numFmtId="4" fontId="9" fillId="0" borderId="15" xfId="0" applyNumberFormat="1"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3" fillId="0" borderId="17" xfId="0" applyFont="1" applyBorder="1" applyAlignment="1">
      <alignment horizontal="center" vertical="top" wrapText="1"/>
    </xf>
    <xf numFmtId="0" fontId="13" fillId="0" borderId="0" xfId="0" applyFont="1"/>
    <xf numFmtId="0" fontId="15" fillId="0" borderId="15" xfId="0" applyFont="1" applyBorder="1" applyAlignment="1">
      <alignment vertical="center" wrapText="1"/>
    </xf>
    <xf numFmtId="49" fontId="9" fillId="0" borderId="17" xfId="0" applyNumberFormat="1" applyFont="1" applyBorder="1" applyAlignment="1">
      <alignment horizontal="center" vertical="center" wrapText="1"/>
    </xf>
    <xf numFmtId="4" fontId="14" fillId="0" borderId="17" xfId="0" applyNumberFormat="1" applyFont="1" applyBorder="1" applyAlignment="1">
      <alignment vertical="center" wrapText="1"/>
    </xf>
    <xf numFmtId="4" fontId="14" fillId="0" borderId="1" xfId="0" applyNumberFormat="1" applyFont="1" applyBorder="1" applyAlignment="1">
      <alignment horizontal="center" vertical="center"/>
    </xf>
    <xf numFmtId="4" fontId="14" fillId="0" borderId="15"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4" fillId="0" borderId="13" xfId="0" applyFont="1" applyBorder="1" applyAlignment="1">
      <alignment vertical="center" wrapText="1"/>
    </xf>
    <xf numFmtId="0" fontId="20" fillId="0" borderId="4" xfId="0" applyFont="1" applyBorder="1"/>
    <xf numFmtId="0" fontId="20" fillId="0" borderId="11" xfId="0" applyFont="1" applyBorder="1"/>
    <xf numFmtId="0" fontId="20" fillId="0" borderId="10" xfId="0" applyFont="1" applyBorder="1"/>
    <xf numFmtId="0" fontId="21" fillId="0" borderId="9" xfId="0" applyFont="1" applyBorder="1"/>
    <xf numFmtId="0" fontId="8" fillId="0" borderId="15" xfId="0" applyFont="1" applyBorder="1" applyAlignment="1">
      <alignment vertical="center" wrapText="1"/>
    </xf>
    <xf numFmtId="0" fontId="13" fillId="0" borderId="17" xfId="0" applyFont="1" applyBorder="1" applyAlignment="1">
      <alignment vertical="center" wrapText="1"/>
    </xf>
    <xf numFmtId="4" fontId="13" fillId="0" borderId="17" xfId="0" applyNumberFormat="1" applyFont="1" applyBorder="1" applyAlignment="1">
      <alignment vertical="center" wrapText="1"/>
    </xf>
    <xf numFmtId="4" fontId="8" fillId="0" borderId="17" xfId="0" quotePrefix="1" applyNumberFormat="1" applyFont="1" applyBorder="1" applyAlignment="1">
      <alignment vertical="center" wrapText="1"/>
    </xf>
    <xf numFmtId="4" fontId="22" fillId="0" borderId="0" xfId="0" applyNumberFormat="1" applyFont="1"/>
    <xf numFmtId="4" fontId="13" fillId="0" borderId="0" xfId="0" applyNumberFormat="1" applyFont="1"/>
    <xf numFmtId="164" fontId="13" fillId="0" borderId="0" xfId="0" applyNumberFormat="1" applyFont="1"/>
    <xf numFmtId="3" fontId="13" fillId="0" borderId="0" xfId="0" applyNumberFormat="1" applyFont="1"/>
    <xf numFmtId="4" fontId="13" fillId="0" borderId="1" xfId="0" applyNumberFormat="1" applyFont="1" applyBorder="1" applyAlignment="1">
      <alignment horizontal="center" vertical="center"/>
    </xf>
    <xf numFmtId="4" fontId="8" fillId="0" borderId="17" xfId="0" applyNumberFormat="1"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xf numFmtId="0" fontId="14" fillId="0" borderId="11" xfId="0" applyFont="1" applyBorder="1"/>
    <xf numFmtId="0" fontId="14" fillId="0" borderId="10" xfId="0" applyFont="1" applyBorder="1"/>
    <xf numFmtId="4" fontId="11" fillId="0" borderId="0" xfId="0" applyNumberFormat="1" applyFont="1"/>
    <xf numFmtId="0" fontId="14" fillId="0" borderId="9" xfId="0" applyFont="1" applyBorder="1"/>
    <xf numFmtId="3" fontId="14" fillId="0" borderId="0" xfId="0" applyNumberFormat="1" applyFont="1"/>
    <xf numFmtId="0" fontId="14" fillId="0" borderId="2" xfId="0" applyFont="1" applyBorder="1"/>
    <xf numFmtId="0" fontId="14" fillId="0" borderId="8" xfId="0" applyFont="1" applyBorder="1"/>
    <xf numFmtId="0" fontId="9" fillId="0" borderId="17" xfId="0" applyFont="1" applyBorder="1" applyAlignment="1">
      <alignment vertical="top" wrapText="1"/>
    </xf>
    <xf numFmtId="0" fontId="9" fillId="0" borderId="22" xfId="0" applyFont="1" applyBorder="1" applyAlignment="1">
      <alignment vertical="center" wrapText="1"/>
    </xf>
    <xf numFmtId="0" fontId="14" fillId="0" borderId="14" xfId="0" applyFont="1" applyBorder="1"/>
    <xf numFmtId="4" fontId="14" fillId="0" borderId="14" xfId="0" applyNumberFormat="1" applyFont="1" applyBorder="1"/>
    <xf numFmtId="4" fontId="9" fillId="0" borderId="14" xfId="0" applyNumberFormat="1" applyFont="1" applyBorder="1"/>
    <xf numFmtId="4" fontId="14" fillId="0" borderId="13" xfId="0" applyNumberFormat="1" applyFont="1" applyBorder="1" applyAlignment="1">
      <alignment horizontal="center" vertical="center" wrapText="1"/>
    </xf>
    <xf numFmtId="4" fontId="9" fillId="0" borderId="13" xfId="0" applyNumberFormat="1" applyFont="1" applyBorder="1" applyAlignment="1">
      <alignment horizontal="right" vertical="center" wrapText="1"/>
    </xf>
    <xf numFmtId="0" fontId="13" fillId="0" borderId="17" xfId="0" applyFont="1" applyBorder="1" applyAlignment="1">
      <alignment horizontal="center" vertical="center" wrapText="1"/>
    </xf>
    <xf numFmtId="4" fontId="14" fillId="0" borderId="13" xfId="0" applyNumberFormat="1" applyFont="1" applyBorder="1" applyAlignment="1">
      <alignment horizontal="right" vertical="center"/>
    </xf>
    <xf numFmtId="4" fontId="14" fillId="0" borderId="13" xfId="0" applyNumberFormat="1" applyFont="1" applyBorder="1"/>
    <xf numFmtId="4" fontId="14" fillId="0" borderId="29" xfId="0" applyNumberFormat="1" applyFont="1" applyBorder="1" applyAlignment="1">
      <alignment horizontal="center" vertical="center"/>
    </xf>
    <xf numFmtId="4" fontId="42" fillId="0" borderId="0" xfId="0" applyNumberFormat="1" applyFont="1"/>
    <xf numFmtId="0" fontId="16" fillId="0" borderId="15" xfId="0" applyFont="1" applyBorder="1" applyAlignment="1">
      <alignment vertical="center" wrapText="1"/>
    </xf>
    <xf numFmtId="4" fontId="23" fillId="0" borderId="0" xfId="0" applyNumberFormat="1" applyFont="1" applyAlignment="1">
      <alignment vertical="center" wrapText="1"/>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4" fontId="14" fillId="0" borderId="25" xfId="0" applyNumberFormat="1" applyFont="1" applyBorder="1" applyAlignment="1">
      <alignment vertical="center" wrapText="1"/>
    </xf>
    <xf numFmtId="4" fontId="11" fillId="0" borderId="6" xfId="0" applyNumberFormat="1" applyFont="1" applyBorder="1"/>
    <xf numFmtId="4" fontId="11" fillId="0" borderId="11" xfId="0" applyNumberFormat="1" applyFont="1" applyBorder="1"/>
    <xf numFmtId="4" fontId="11" fillId="0" borderId="10" xfId="0" applyNumberFormat="1" applyFont="1" applyBorder="1"/>
    <xf numFmtId="0" fontId="11" fillId="0" borderId="12" xfId="0" applyFont="1" applyBorder="1"/>
    <xf numFmtId="0" fontId="11" fillId="0" borderId="9" xfId="0" applyFont="1" applyBorder="1"/>
    <xf numFmtId="4" fontId="11" fillId="0" borderId="7" xfId="0" applyNumberFormat="1" applyFont="1" applyBorder="1"/>
    <xf numFmtId="0" fontId="11" fillId="0" borderId="2" xfId="0" applyFont="1" applyBorder="1"/>
    <xf numFmtId="0" fontId="11" fillId="0" borderId="8" xfId="0" applyFont="1" applyBorder="1"/>
    <xf numFmtId="4" fontId="4" fillId="0" borderId="0" xfId="0" applyNumberFormat="1" applyFont="1"/>
    <xf numFmtId="4" fontId="24" fillId="0" borderId="0" xfId="0" applyNumberFormat="1" applyFont="1"/>
    <xf numFmtId="0" fontId="20" fillId="0" borderId="6" xfId="0" applyFont="1" applyBorder="1"/>
    <xf numFmtId="0" fontId="20" fillId="0" borderId="12" xfId="0" applyFont="1" applyBorder="1"/>
    <xf numFmtId="0" fontId="20" fillId="0" borderId="9" xfId="0" applyFont="1" applyBorder="1"/>
    <xf numFmtId="0" fontId="20" fillId="0" borderId="7" xfId="0" applyFont="1" applyBorder="1"/>
    <xf numFmtId="4" fontId="20" fillId="0" borderId="2" xfId="0" applyNumberFormat="1" applyFont="1" applyBorder="1"/>
    <xf numFmtId="4" fontId="43" fillId="5" borderId="0" xfId="0" applyNumberFormat="1" applyFont="1" applyFill="1" applyAlignment="1">
      <alignment horizontal="left" vertical="center"/>
    </xf>
    <xf numFmtId="165" fontId="32" fillId="4" borderId="0" xfId="0" applyNumberFormat="1" applyFont="1" applyFill="1" applyAlignment="1">
      <alignment horizontal="left" vertical="center"/>
    </xf>
    <xf numFmtId="165" fontId="32" fillId="0" borderId="0" xfId="0" applyNumberFormat="1" applyFont="1" applyAlignment="1">
      <alignment horizontal="left" vertical="center"/>
    </xf>
    <xf numFmtId="4" fontId="39" fillId="0" borderId="0" xfId="0" applyNumberFormat="1" applyFont="1" applyAlignment="1">
      <alignment horizontal="left"/>
    </xf>
    <xf numFmtId="171" fontId="3" fillId="0" borderId="3" xfId="0" applyNumberFormat="1" applyFont="1" applyBorder="1" applyAlignment="1">
      <alignment vertical="center"/>
    </xf>
    <xf numFmtId="171" fontId="3" fillId="0" borderId="5" xfId="0" applyNumberFormat="1" applyFont="1" applyBorder="1" applyAlignment="1">
      <alignment vertical="center"/>
    </xf>
    <xf numFmtId="171" fontId="3" fillId="0" borderId="0" xfId="0" applyNumberFormat="1" applyFont="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171" fontId="3" fillId="0" borderId="11" xfId="0" applyNumberFormat="1" applyFont="1" applyBorder="1" applyAlignment="1">
      <alignment vertical="center"/>
    </xf>
    <xf numFmtId="171" fontId="3" fillId="2" borderId="5" xfId="0" applyNumberFormat="1" applyFont="1" applyFill="1" applyBorder="1" applyAlignment="1">
      <alignment vertical="center"/>
    </xf>
    <xf numFmtId="0" fontId="3" fillId="2" borderId="5" xfId="0" applyFont="1" applyFill="1" applyBorder="1" applyAlignment="1">
      <alignment vertical="center"/>
    </xf>
    <xf numFmtId="0" fontId="3" fillId="6" borderId="5" xfId="0" applyFont="1" applyFill="1" applyBorder="1" applyAlignment="1">
      <alignment vertical="center"/>
    </xf>
    <xf numFmtId="0" fontId="3" fillId="6" borderId="4" xfId="0" applyFont="1" applyFill="1" applyBorder="1" applyAlignment="1">
      <alignment vertical="center"/>
    </xf>
    <xf numFmtId="49" fontId="3" fillId="2" borderId="2" xfId="1" applyNumberFormat="1" applyFont="1" applyFill="1" applyBorder="1" applyAlignment="1">
      <alignment horizontal="center"/>
    </xf>
    <xf numFmtId="49" fontId="3" fillId="0" borderId="2" xfId="1" applyNumberFormat="1" applyFont="1" applyBorder="1" applyAlignment="1">
      <alignment horizontal="center"/>
    </xf>
    <xf numFmtId="0" fontId="3" fillId="0" borderId="0" xfId="1" applyFont="1" applyAlignment="1">
      <alignment horizontal="right"/>
    </xf>
    <xf numFmtId="49" fontId="3" fillId="0" borderId="2" xfId="1" applyNumberFormat="1" applyFont="1" applyBorder="1" applyAlignment="1">
      <alignment horizontal="left"/>
    </xf>
    <xf numFmtId="0" fontId="5" fillId="0" borderId="0" xfId="1" applyFont="1" applyAlignment="1">
      <alignment horizontal="center"/>
    </xf>
    <xf numFmtId="0" fontId="3" fillId="0" borderId="3" xfId="1" applyFont="1" applyBorder="1" applyAlignment="1">
      <alignment horizontal="center" vertical="top"/>
    </xf>
    <xf numFmtId="0" fontId="3" fillId="0" borderId="5" xfId="1" applyFont="1" applyBorder="1" applyAlignment="1">
      <alignment horizontal="center" vertical="top"/>
    </xf>
    <xf numFmtId="0" fontId="3" fillId="0" borderId="4" xfId="1" applyFont="1" applyBorder="1" applyAlignment="1">
      <alignment horizontal="center" vertical="top"/>
    </xf>
    <xf numFmtId="0" fontId="5" fillId="0" borderId="0" xfId="0" applyFont="1" applyAlignment="1">
      <alignment horizontal="center"/>
    </xf>
    <xf numFmtId="49" fontId="3" fillId="2" borderId="3" xfId="1" applyNumberFormat="1" applyFont="1" applyFill="1" applyBorder="1" applyAlignment="1">
      <alignment horizontal="center"/>
    </xf>
    <xf numFmtId="49" fontId="3" fillId="2"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7" fillId="2" borderId="2" xfId="1" applyNumberFormat="1" applyFont="1" applyFill="1" applyBorder="1" applyAlignment="1">
      <alignment horizontal="center"/>
    </xf>
    <xf numFmtId="0" fontId="7" fillId="0" borderId="0" xfId="1" applyFont="1" applyAlignment="1">
      <alignment horizontal="right"/>
    </xf>
    <xf numFmtId="49" fontId="7" fillId="0" borderId="2" xfId="1" applyNumberFormat="1" applyFont="1" applyBorder="1" applyAlignment="1">
      <alignment horizontal="left"/>
    </xf>
    <xf numFmtId="0" fontId="3" fillId="0" borderId="0" xfId="1" applyFont="1" applyAlignment="1">
      <alignment horizontal="right" vertical="top"/>
    </xf>
    <xf numFmtId="0" fontId="0" fillId="0" borderId="0" xfId="0" applyAlignment="1">
      <alignment vertical="top"/>
    </xf>
    <xf numFmtId="0" fontId="0" fillId="0" borderId="9" xfId="0" applyBorder="1" applyAlignment="1">
      <alignment vertical="top"/>
    </xf>
    <xf numFmtId="0" fontId="3" fillId="0" borderId="2" xfId="1" applyFont="1" applyBorder="1" applyAlignment="1">
      <alignment horizontal="center" vertical="top" wrapText="1"/>
    </xf>
    <xf numFmtId="49" fontId="14" fillId="0" borderId="0" xfId="0" applyNumberFormat="1" applyFont="1" applyAlignment="1">
      <alignment horizontal="center" vertical="top" wrapText="1"/>
    </xf>
    <xf numFmtId="49" fontId="3" fillId="0" borderId="3" xfId="1" applyNumberFormat="1" applyFont="1" applyBorder="1" applyAlignment="1">
      <alignment horizontal="center"/>
    </xf>
    <xf numFmtId="49" fontId="3" fillId="0" borderId="5" xfId="1" applyNumberFormat="1" applyFont="1" applyBorder="1" applyAlignment="1">
      <alignment horizontal="center"/>
    </xf>
    <xf numFmtId="49" fontId="3" fillId="0" borderId="4" xfId="1" applyNumberFormat="1" applyFont="1" applyBorder="1" applyAlignment="1">
      <alignment horizontal="center"/>
    </xf>
    <xf numFmtId="0" fontId="3" fillId="0" borderId="0" xfId="1" applyFont="1" applyAlignment="1">
      <alignment horizontal="right" vertical="top" wrapText="1"/>
    </xf>
    <xf numFmtId="0" fontId="3" fillId="0" borderId="9" xfId="1" applyFont="1" applyBorder="1" applyAlignment="1">
      <alignment horizontal="right" vertical="top"/>
    </xf>
    <xf numFmtId="49" fontId="3" fillId="0" borderId="3" xfId="1" applyNumberFormat="1" applyFont="1" applyBorder="1" applyAlignment="1">
      <alignment horizontal="center" vertical="top"/>
    </xf>
    <xf numFmtId="49" fontId="3" fillId="0" borderId="5" xfId="1" applyNumberFormat="1" applyFont="1" applyBorder="1" applyAlignment="1">
      <alignment horizontal="center" vertical="top"/>
    </xf>
    <xf numFmtId="49" fontId="3" fillId="0" borderId="4" xfId="1" applyNumberFormat="1" applyFont="1" applyBorder="1" applyAlignment="1">
      <alignment horizontal="center" vertical="top"/>
    </xf>
    <xf numFmtId="0" fontId="14" fillId="0" borderId="0" xfId="0" applyFont="1" applyAlignment="1">
      <alignment horizontal="center" vertical="top" wrapText="1"/>
    </xf>
    <xf numFmtId="0" fontId="3" fillId="0" borderId="0" xfId="1" applyFont="1" applyAlignment="1">
      <alignment wrapText="1"/>
    </xf>
    <xf numFmtId="0" fontId="3" fillId="0" borderId="0" xfId="1" applyFont="1" applyAlignment="1">
      <alignment horizontal="left" vertical="top" wrapText="1"/>
    </xf>
    <xf numFmtId="0" fontId="0" fillId="0" borderId="0" xfId="0"/>
    <xf numFmtId="0" fontId="4" fillId="0" borderId="0" xfId="1" applyFont="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0" fontId="4" fillId="0" borderId="0" xfId="1" applyFont="1" applyAlignment="1">
      <alignment horizontal="center" vertical="top" wrapText="1"/>
    </xf>
    <xf numFmtId="4" fontId="14" fillId="0" borderId="27" xfId="0" applyNumberFormat="1" applyFont="1" applyBorder="1" applyAlignment="1">
      <alignment horizontal="center" vertical="center"/>
    </xf>
    <xf numFmtId="4"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4" fontId="14" fillId="0" borderId="1" xfId="0" applyNumberFormat="1" applyFont="1" applyBorder="1" applyAlignment="1">
      <alignment horizontal="center" vertical="center"/>
    </xf>
    <xf numFmtId="0" fontId="14" fillId="0" borderId="28" xfId="0" applyFont="1" applyBorder="1" applyAlignment="1">
      <alignment horizontal="center" vertical="center"/>
    </xf>
    <xf numFmtId="4" fontId="9" fillId="0" borderId="1" xfId="0" applyNumberFormat="1" applyFont="1" applyBorder="1" applyAlignment="1">
      <alignment horizontal="center" vertical="center" wrapText="1"/>
    </xf>
    <xf numFmtId="0" fontId="14" fillId="0" borderId="0" xfId="0" applyFont="1" applyAlignment="1">
      <alignment wrapText="1"/>
    </xf>
    <xf numFmtId="4" fontId="14" fillId="0" borderId="14" xfId="0" applyNumberFormat="1" applyFont="1" applyBorder="1" applyAlignment="1">
      <alignment vertical="center" wrapText="1"/>
    </xf>
    <xf numFmtId="4" fontId="14" fillId="0" borderId="15" xfId="0" applyNumberFormat="1"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4" fontId="9" fillId="0" borderId="14" xfId="0" applyNumberFormat="1" applyFont="1" applyBorder="1" applyAlignment="1">
      <alignment vertical="center" wrapText="1"/>
    </xf>
    <xf numFmtId="4" fontId="9" fillId="0" borderId="15" xfId="0" applyNumberFormat="1"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14" fillId="0" borderId="14" xfId="0" applyNumberFormat="1" applyFont="1" applyBorder="1" applyAlignment="1">
      <alignment horizontal="right" vertical="center" wrapText="1"/>
    </xf>
    <xf numFmtId="4" fontId="14" fillId="0" borderId="15" xfId="0" applyNumberFormat="1" applyFont="1" applyBorder="1" applyAlignment="1">
      <alignment horizontal="right" vertical="center" wrapText="1"/>
    </xf>
    <xf numFmtId="4" fontId="9" fillId="0" borderId="14" xfId="0" applyNumberFormat="1" applyFont="1" applyBorder="1" applyAlignment="1">
      <alignment horizontal="right" vertical="center" wrapText="1"/>
    </xf>
    <xf numFmtId="4" fontId="9" fillId="0" borderId="15" xfId="0" applyNumberFormat="1" applyFont="1" applyBorder="1" applyAlignment="1">
      <alignment horizontal="right" vertical="center" wrapText="1"/>
    </xf>
    <xf numFmtId="4" fontId="14" fillId="0" borderId="14"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2" borderId="14"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8" fillId="0" borderId="14" xfId="0" applyNumberFormat="1" applyFont="1" applyBorder="1" applyAlignment="1">
      <alignment vertical="center" wrapText="1"/>
    </xf>
    <xf numFmtId="4" fontId="8" fillId="0" borderId="15" xfId="0" applyNumberFormat="1" applyFont="1" applyBorder="1" applyAlignment="1">
      <alignment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0" xfId="0" applyFont="1" applyAlignment="1">
      <alignment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0" fontId="9" fillId="0" borderId="0" xfId="0" applyFont="1" applyAlignment="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4" xfId="0" applyNumberFormat="1" applyFont="1" applyBorder="1" applyAlignment="1">
      <alignment horizontal="right" vertical="center" wrapText="1"/>
    </xf>
    <xf numFmtId="4" fontId="11" fillId="0" borderId="15"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8" fillId="2" borderId="0" xfId="0" applyFont="1" applyFill="1" applyAlignment="1">
      <alignment horizontal="center" vertical="top" wrapText="1"/>
    </xf>
    <xf numFmtId="0" fontId="9" fillId="2" borderId="0" xfId="0" applyFont="1" applyFill="1" applyAlignment="1">
      <alignment horizontal="left"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4" fontId="9" fillId="0" borderId="3"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xf>
    <xf numFmtId="4" fontId="8" fillId="0" borderId="1" xfId="0" applyNumberFormat="1" applyFont="1" applyBorder="1" applyAlignment="1">
      <alignment horizontal="center"/>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49" fontId="9" fillId="0" borderId="3" xfId="0" applyNumberFormat="1" applyFont="1" applyBorder="1" applyAlignment="1">
      <alignment horizontal="right" vertical="center"/>
    </xf>
    <xf numFmtId="0" fontId="5" fillId="0" borderId="0" xfId="0" applyFont="1" applyAlignment="1">
      <alignment horizontal="left"/>
    </xf>
    <xf numFmtId="49" fontId="5" fillId="0" borderId="2" xfId="0" applyNumberFormat="1" applyFont="1" applyBorder="1" applyAlignment="1">
      <alignment horizont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2" xfId="0" applyNumberFormat="1" applyFont="1" applyBorder="1" applyAlignment="1">
      <alignment horizontal="center"/>
    </xf>
    <xf numFmtId="4" fontId="8"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 xfId="0" applyNumberFormat="1" applyFont="1" applyBorder="1" applyAlignment="1">
      <alignment horizontal="center" vertical="center"/>
    </xf>
    <xf numFmtId="0" fontId="8" fillId="0" borderId="1" xfId="0" applyFont="1" applyBorder="1" applyAlignment="1">
      <alignment horizontal="center" vertical="center"/>
    </xf>
    <xf numFmtId="4" fontId="9" fillId="0" borderId="6"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right" vertical="top"/>
    </xf>
    <xf numFmtId="0" fontId="8" fillId="0" borderId="1" xfId="0" applyFont="1" applyBorder="1" applyAlignment="1">
      <alignment horizontal="right" vertical="top"/>
    </xf>
    <xf numFmtId="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2" fontId="9" fillId="0" borderId="7" xfId="0" applyNumberFormat="1" applyFont="1" applyBorder="1" applyAlignment="1">
      <alignment horizontal="center" vertical="top"/>
    </xf>
    <xf numFmtId="2" fontId="9" fillId="0" borderId="2" xfId="0" applyNumberFormat="1" applyFont="1" applyBorder="1" applyAlignment="1">
      <alignment horizontal="center" vertical="top"/>
    </xf>
    <xf numFmtId="2" fontId="9" fillId="0" borderId="8" xfId="0" applyNumberFormat="1" applyFont="1" applyBorder="1" applyAlignment="1">
      <alignment horizontal="center" vertical="top"/>
    </xf>
    <xf numFmtId="4" fontId="9" fillId="0" borderId="7" xfId="0" applyNumberFormat="1" applyFont="1" applyBorder="1" applyAlignment="1">
      <alignment horizontal="center" vertical="top"/>
    </xf>
    <xf numFmtId="4" fontId="9" fillId="0" borderId="2" xfId="0" applyNumberFormat="1" applyFont="1" applyBorder="1" applyAlignment="1">
      <alignment horizontal="center" vertical="top"/>
    </xf>
    <xf numFmtId="4" fontId="9" fillId="0" borderId="8" xfId="0" applyNumberFormat="1" applyFont="1" applyBorder="1" applyAlignment="1">
      <alignment horizontal="center" vertical="top"/>
    </xf>
    <xf numFmtId="2" fontId="9" fillId="0" borderId="3" xfId="0" applyNumberFormat="1" applyFont="1" applyBorder="1" applyAlignment="1">
      <alignment horizontal="center" vertical="top"/>
    </xf>
    <xf numFmtId="2" fontId="9" fillId="0" borderId="5" xfId="0" applyNumberFormat="1" applyFont="1" applyBorder="1" applyAlignment="1">
      <alignment horizontal="center" vertical="top"/>
    </xf>
    <xf numFmtId="2" fontId="9" fillId="0" borderId="4" xfId="0" applyNumberFormat="1" applyFont="1" applyBorder="1" applyAlignment="1">
      <alignment horizontal="center" vertical="top"/>
    </xf>
    <xf numFmtId="4" fontId="9" fillId="0" borderId="3" xfId="0" applyNumberFormat="1" applyFont="1" applyBorder="1" applyAlignment="1">
      <alignment horizontal="center" vertical="top"/>
    </xf>
    <xf numFmtId="4" fontId="9" fillId="0" borderId="5" xfId="0" applyNumberFormat="1" applyFont="1" applyBorder="1" applyAlignment="1">
      <alignment horizontal="center" vertical="top"/>
    </xf>
    <xf numFmtId="4" fontId="9" fillId="0" borderId="4" xfId="0" applyNumberFormat="1" applyFont="1" applyBorder="1" applyAlignment="1">
      <alignment horizontal="center" vertical="top"/>
    </xf>
    <xf numFmtId="0" fontId="8" fillId="0" borderId="0" xfId="0" applyFont="1" applyAlignment="1">
      <alignment horizontal="left" wrapText="1"/>
    </xf>
    <xf numFmtId="0" fontId="5" fillId="0" borderId="0" xfId="0" applyFont="1" applyAlignment="1">
      <alignment horizontal="center" wrapText="1"/>
    </xf>
    <xf numFmtId="0" fontId="3" fillId="0" borderId="11" xfId="0" applyFont="1" applyBorder="1" applyAlignment="1">
      <alignment horizontal="left" wrapText="1"/>
    </xf>
    <xf numFmtId="0" fontId="0" fillId="0" borderId="11" xfId="0" applyBorder="1" applyAlignment="1">
      <alignment horizontal="left" wrapText="1"/>
    </xf>
    <xf numFmtId="0" fontId="3" fillId="0" borderId="1" xfId="0" applyFont="1" applyBorder="1" applyAlignment="1">
      <alignment horizontal="left"/>
    </xf>
    <xf numFmtId="0" fontId="0" fillId="0" borderId="1" xfId="0" applyBorder="1" applyAlignment="1">
      <alignment horizontal="left"/>
    </xf>
    <xf numFmtId="0" fontId="3" fillId="0" borderId="3"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4" fontId="3" fillId="0" borderId="1" xfId="0" applyNumberFormat="1" applyFont="1" applyBorder="1" applyAlignment="1">
      <alignment horizontal="left"/>
    </xf>
    <xf numFmtId="165" fontId="3" fillId="0" borderId="11" xfId="0" applyNumberFormat="1" applyFont="1" applyBorder="1" applyAlignment="1">
      <alignment horizontal="center" vertical="center"/>
    </xf>
    <xf numFmtId="165" fontId="33" fillId="0" borderId="0" xfId="0" applyNumberFormat="1" applyFont="1" applyAlignment="1">
      <alignment horizontal="center"/>
    </xf>
    <xf numFmtId="165"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65" fontId="3" fillId="0" borderId="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4" xfId="0" applyNumberFormat="1" applyFont="1" applyBorder="1" applyAlignment="1">
      <alignment horizontal="center" vertical="center"/>
    </xf>
    <xf numFmtId="170" fontId="3" fillId="0" borderId="3" xfId="0" applyNumberFormat="1" applyFont="1" applyBorder="1" applyAlignment="1">
      <alignment horizontal="center" vertical="center"/>
    </xf>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3" fillId="0" borderId="3"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1" xfId="0" applyFont="1" applyBorder="1" applyAlignment="1">
      <alignment horizontal="lef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170" fontId="7"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165" fontId="3" fillId="0" borderId="1" xfId="0" applyNumberFormat="1" applyFont="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horizontal="left" vertical="center" wrapText="1"/>
    </xf>
    <xf numFmtId="0" fontId="7" fillId="3" borderId="3"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4" xfId="0" applyFont="1" applyFill="1" applyBorder="1" applyAlignment="1">
      <alignment horizontal="right" vertical="center" wrapText="1"/>
    </xf>
    <xf numFmtId="49" fontId="3" fillId="0" borderId="1" xfId="0" applyNumberFormat="1" applyFont="1" applyBorder="1" applyAlignment="1">
      <alignment horizontal="right" vertical="center"/>
    </xf>
    <xf numFmtId="0" fontId="3" fillId="0" borderId="1" xfId="0" applyFont="1" applyBorder="1" applyAlignment="1">
      <alignment horizontal="center" vertical="center"/>
    </xf>
    <xf numFmtId="170" fontId="3" fillId="0" borderId="1"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165" fontId="29" fillId="2" borderId="1" xfId="0" applyNumberFormat="1" applyFont="1" applyFill="1" applyBorder="1" applyAlignment="1">
      <alignment horizontal="center" vertical="center"/>
    </xf>
    <xf numFmtId="0" fontId="3" fillId="0" borderId="1" xfId="0" applyFont="1" applyBorder="1" applyAlignment="1">
      <alignment horizontal="center" vertical="top"/>
    </xf>
    <xf numFmtId="169" fontId="3" fillId="2" borderId="1"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2" xfId="0" applyNumberFormat="1" applyFont="1" applyBorder="1" applyAlignment="1">
      <alignment horizontal="left"/>
    </xf>
    <xf numFmtId="0" fontId="8" fillId="0" borderId="2" xfId="0" applyFont="1" applyBorder="1" applyAlignment="1">
      <alignment horizontal="left"/>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49" fontId="7" fillId="0" borderId="3"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4" fontId="7"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0" borderId="5" xfId="0" applyFont="1" applyBorder="1" applyAlignment="1">
      <alignment horizontal="center"/>
    </xf>
    <xf numFmtId="49" fontId="3" fillId="2" borderId="3"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49" fontId="7" fillId="3" borderId="3" xfId="0" applyNumberFormat="1" applyFont="1" applyFill="1" applyBorder="1" applyAlignment="1">
      <alignment horizontal="right" vertical="center"/>
    </xf>
    <xf numFmtId="49" fontId="7" fillId="3" borderId="5"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165" fontId="29"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vertical="center" wrapText="1"/>
    </xf>
    <xf numFmtId="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2" fontId="3" fillId="0" borderId="3"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4" xfId="0" applyNumberFormat="1" applyFont="1" applyBorder="1" applyAlignment="1">
      <alignment horizontal="center" vertical="center"/>
    </xf>
    <xf numFmtId="0" fontId="3" fillId="0" borderId="1" xfId="0" applyFont="1" applyBorder="1" applyAlignment="1">
      <alignment horizontal="right" vertical="center" wrapText="1"/>
    </xf>
    <xf numFmtId="49" fontId="7" fillId="0" borderId="1" xfId="0" applyNumberFormat="1" applyFont="1" applyBorder="1" applyAlignment="1">
      <alignment horizontal="left" vertical="center"/>
    </xf>
    <xf numFmtId="2" fontId="7" fillId="0" borderId="3"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4" xfId="0" applyNumberFormat="1" applyFont="1" applyBorder="1" applyAlignment="1">
      <alignment horizontal="center"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4" fontId="3" fillId="0" borderId="1" xfId="0" applyNumberFormat="1" applyFont="1" applyBorder="1" applyAlignment="1">
      <alignment horizontal="center" vertical="center"/>
    </xf>
    <xf numFmtId="4" fontId="9" fillId="0" borderId="3" xfId="0" applyNumberFormat="1" applyFont="1" applyBorder="1" applyAlignment="1">
      <alignment horizontal="center"/>
    </xf>
    <xf numFmtId="4" fontId="9" fillId="0" borderId="5" xfId="0" applyNumberFormat="1" applyFont="1" applyBorder="1" applyAlignment="1">
      <alignment horizontal="center"/>
    </xf>
    <xf numFmtId="4" fontId="9" fillId="0" borderId="4" xfId="0" applyNumberFormat="1" applyFont="1" applyBorder="1" applyAlignment="1">
      <alignment horizontal="center"/>
    </xf>
    <xf numFmtId="4" fontId="9" fillId="0" borderId="1" xfId="0" applyNumberFormat="1" applyFont="1" applyBorder="1" applyAlignment="1">
      <alignment horizontal="center"/>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2" fontId="3" fillId="0" borderId="3"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4" xfId="0" applyNumberFormat="1" applyFont="1" applyBorder="1" applyAlignment="1">
      <alignment horizontal="center" vertical="center"/>
    </xf>
    <xf numFmtId="2" fontId="3" fillId="0" borderId="1" xfId="0" applyNumberFormat="1" applyFont="1" applyBorder="1" applyAlignment="1">
      <alignment horizontal="center" vertical="center"/>
    </xf>
    <xf numFmtId="4" fontId="7" fillId="2" borderId="3"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3" fillId="0" borderId="29" xfId="0" applyFont="1" applyBorder="1" applyAlignment="1">
      <alignment horizontal="left"/>
    </xf>
    <xf numFmtId="0" fontId="9" fillId="0" borderId="29" xfId="0" applyFont="1" applyBorder="1" applyAlignment="1">
      <alignment horizontal="center"/>
    </xf>
    <xf numFmtId="4" fontId="9" fillId="0" borderId="7" xfId="0" applyNumberFormat="1" applyFont="1" applyBorder="1" applyAlignment="1">
      <alignment horizontal="center"/>
    </xf>
    <xf numFmtId="4" fontId="9" fillId="0" borderId="2" xfId="0" applyNumberFormat="1" applyFont="1" applyBorder="1" applyAlignment="1">
      <alignment horizontal="center"/>
    </xf>
    <xf numFmtId="0" fontId="9" fillId="0" borderId="1" xfId="0" applyFont="1" applyBorder="1" applyAlignment="1">
      <alignment horizontal="left"/>
    </xf>
    <xf numFmtId="49" fontId="7" fillId="0" borderId="11" xfId="0" applyNumberFormat="1" applyFont="1" applyBorder="1" applyAlignment="1">
      <alignment horizontal="left" vertical="center"/>
    </xf>
    <xf numFmtId="4" fontId="3" fillId="2" borderId="3"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71" fontId="3" fillId="0" borderId="3" xfId="0" applyNumberFormat="1" applyFont="1" applyBorder="1" applyAlignment="1">
      <alignment horizontal="center" vertical="center"/>
    </xf>
    <xf numFmtId="171" fontId="3" fillId="0" borderId="5" xfId="0" applyNumberFormat="1" applyFont="1" applyBorder="1" applyAlignment="1">
      <alignment horizontal="center" vertical="center"/>
    </xf>
    <xf numFmtId="171" fontId="3" fillId="0" borderId="4" xfId="0" applyNumberFormat="1" applyFont="1" applyBorder="1" applyAlignment="1">
      <alignment horizontal="center" vertical="center"/>
    </xf>
    <xf numFmtId="168" fontId="3" fillId="0" borderId="3"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3" fillId="0" borderId="5" xfId="0" applyFont="1" applyBorder="1" applyAlignment="1">
      <alignment horizontal="left" vertical="center" wrapText="1" indent="2"/>
    </xf>
    <xf numFmtId="0" fontId="3" fillId="0" borderId="4" xfId="0" applyFont="1" applyBorder="1" applyAlignment="1">
      <alignment horizontal="left" vertical="center" wrapText="1" indent="2"/>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165" fontId="3" fillId="0" borderId="6" xfId="0" applyNumberFormat="1" applyFont="1" applyBorder="1" applyAlignment="1">
      <alignment horizontal="center"/>
    </xf>
    <xf numFmtId="165" fontId="3" fillId="0" borderId="11" xfId="0" applyNumberFormat="1" applyFont="1" applyBorder="1" applyAlignment="1">
      <alignment horizontal="center"/>
    </xf>
    <xf numFmtId="165" fontId="3" fillId="0" borderId="10" xfId="0" applyNumberFormat="1" applyFont="1" applyBorder="1" applyAlignment="1">
      <alignment horizontal="center"/>
    </xf>
    <xf numFmtId="165" fontId="3" fillId="0" borderId="7"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8" fillId="0" borderId="11" xfId="0" applyNumberFormat="1" applyFont="1" applyBorder="1" applyAlignment="1">
      <alignment horizontal="left" vertical="center" wrapText="1"/>
    </xf>
    <xf numFmtId="0" fontId="8" fillId="0" borderId="0" xfId="0" applyFont="1"/>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8" fillId="0" borderId="0" xfId="0" applyFont="1" applyAlignment="1">
      <alignment horizontal="left" vertical="top" wrapText="1"/>
    </xf>
    <xf numFmtId="49" fontId="7" fillId="0" borderId="0" xfId="0" applyNumberFormat="1" applyFont="1" applyAlignment="1">
      <alignment horizontal="left" vertical="center"/>
    </xf>
    <xf numFmtId="49" fontId="7" fillId="0" borderId="2" xfId="0" applyNumberFormat="1" applyFont="1" applyBorder="1" applyAlignment="1">
      <alignment horizontal="left" vertical="center"/>
    </xf>
    <xf numFmtId="49" fontId="7" fillId="0" borderId="8" xfId="0" applyNumberFormat="1" applyFont="1" applyBorder="1" applyAlignment="1">
      <alignment horizontal="left" vertical="center"/>
    </xf>
    <xf numFmtId="4" fontId="3" fillId="4" borderId="0" xfId="0" applyNumberFormat="1" applyFont="1" applyFill="1" applyAlignment="1">
      <alignment horizontal="center" vertical="center"/>
    </xf>
    <xf numFmtId="4" fontId="12" fillId="0" borderId="1" xfId="0" applyNumberFormat="1" applyFont="1" applyBorder="1" applyAlignment="1">
      <alignment horizontal="center" vertical="center"/>
    </xf>
    <xf numFmtId="49" fontId="7" fillId="2" borderId="3"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171" fontId="3" fillId="2" borderId="3" xfId="0" applyNumberFormat="1" applyFont="1" applyFill="1" applyBorder="1" applyAlignment="1">
      <alignment horizontal="center" vertical="center"/>
    </xf>
    <xf numFmtId="171" fontId="3" fillId="2" borderId="5" xfId="0" applyNumberFormat="1" applyFont="1" applyFill="1" applyBorder="1" applyAlignment="1">
      <alignment horizontal="center" vertical="center"/>
    </xf>
    <xf numFmtId="171" fontId="3" fillId="2" borderId="4"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168" fontId="3" fillId="2" borderId="3"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168" fontId="3" fillId="2" borderId="4"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165" fontId="7" fillId="0" borderId="3"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4" xfId="0" applyNumberFormat="1" applyFont="1" applyBorder="1" applyAlignment="1">
      <alignment horizontal="center" vertical="center"/>
    </xf>
    <xf numFmtId="49"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171" fontId="3" fillId="2" borderId="0" xfId="0" applyNumberFormat="1" applyFont="1" applyFill="1" applyAlignment="1">
      <alignment horizontal="center" vertical="center"/>
    </xf>
    <xf numFmtId="4" fontId="7" fillId="4" borderId="3" xfId="0" applyNumberFormat="1" applyFont="1" applyFill="1" applyBorder="1" applyAlignment="1">
      <alignment horizontal="center" vertical="center"/>
    </xf>
    <xf numFmtId="4" fontId="7" fillId="4" borderId="5"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 fontId="3" fillId="0" borderId="0" xfId="0" applyNumberFormat="1" applyFont="1" applyAlignment="1">
      <alignment horizontal="center" vertical="center"/>
    </xf>
    <xf numFmtId="171" fontId="3" fillId="0" borderId="0" xfId="0" applyNumberFormat="1" applyFont="1" applyAlignment="1">
      <alignment horizontal="center" vertical="center"/>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xr:uid="{00000000-0005-0000-0000-000005000000}"/>
  </cellStyles>
  <dxfs count="0"/>
  <tableStyles count="0" defaultTableStyle="TableStyleMedium9" defaultPivotStyle="PivotStyleLight16"/>
  <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069;&#1050;&#1054;&#1053;&#1054;&#1052;&#1048;&#1057;&#1058;\1.%20&#1055;&#1060;&#1061;&#1044;\2023\9.&#1055;&#1060;&#1061;&#1044;%20&#1086;&#1090;%2029.12.2023\&#1055;&#1060;&#1061;&#1044;%20%20&#1086;&#1090;%2029.12.2023%20%20&#1050;&#1086;&#1074;&#1076;&#1086;&#1088;&#1089;&#1082;&#1080;&#1081;%20&#1050;&#1062;&#1057;&#1054;&#1053;%20&#1085;&#1072;%202023.xlsx" TargetMode="External"/><Relationship Id="rId1" Type="http://schemas.openxmlformats.org/officeDocument/2006/relationships/externalLinkPath" Target="/&#1069;&#1050;&#1054;&#1053;&#1054;&#1052;&#1048;&#1057;&#1058;/1.%20&#1055;&#1060;&#1061;&#1044;/2023/9.&#1055;&#1060;&#1061;&#1044;%20&#1086;&#1090;%2029.12.2023/&#1055;&#1060;&#1061;&#1044;%20%20&#1086;&#1090;%2029.12.2023%20%20&#1050;&#1086;&#1074;&#1076;&#1086;&#1088;&#1089;&#1082;&#1080;&#1081;%20&#1050;&#1062;&#1057;&#1054;&#1053;%20&#1085;&#1072;%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 Id="rId1" Type="http://schemas.openxmlformats.org/officeDocument/2006/relationships/externalLinkPath" Target="/&#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sheetData sheetId="2"/>
      <sheetData sheetId="3"/>
      <sheetData sheetId="4"/>
      <sheetData sheetId="5">
        <row r="24">
          <cell r="AU24"/>
          <cell r="AV24">
            <v>107258400</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row>
        <row r="25">
          <cell r="AU25"/>
          <cell r="AV25">
            <v>382500</v>
          </cell>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row>
        <row r="26">
          <cell r="AU26"/>
          <cell r="AV26">
            <v>107640900</v>
          </cell>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row>
        <row r="35">
          <cell r="BV35"/>
          <cell r="BW35">
            <v>14785035.43</v>
          </cell>
          <cell r="BX35"/>
          <cell r="BY35"/>
          <cell r="BZ35"/>
          <cell r="CA35"/>
          <cell r="CB35"/>
          <cell r="CC35"/>
          <cell r="CD35"/>
          <cell r="CE35"/>
          <cell r="CF35"/>
          <cell r="CG35"/>
          <cell r="CH35"/>
          <cell r="CI35"/>
          <cell r="CJ35"/>
          <cell r="CK35"/>
          <cell r="CL35"/>
          <cell r="CM35"/>
          <cell r="CN35"/>
          <cell r="CO35"/>
          <cell r="CP35"/>
          <cell r="CQ35"/>
          <cell r="CR35"/>
        </row>
        <row r="43">
          <cell r="CC43"/>
          <cell r="CD43">
            <v>229733</v>
          </cell>
          <cell r="CE43"/>
          <cell r="CF43"/>
          <cell r="CG43"/>
          <cell r="CH43"/>
          <cell r="CI43"/>
          <cell r="CJ43"/>
          <cell r="CK43"/>
          <cell r="CL43"/>
          <cell r="CM43"/>
          <cell r="CN43"/>
          <cell r="CO43"/>
          <cell r="CP43"/>
          <cell r="CQ43"/>
          <cell r="CR43"/>
        </row>
        <row r="59">
          <cell r="CC59"/>
          <cell r="CD59">
            <v>305733.78999999998</v>
          </cell>
          <cell r="CE59"/>
          <cell r="CF59"/>
          <cell r="CG59"/>
          <cell r="CH59"/>
          <cell r="CI59"/>
          <cell r="CJ59"/>
          <cell r="CK59"/>
          <cell r="CL59"/>
          <cell r="CM59"/>
          <cell r="CN59"/>
          <cell r="CO59"/>
          <cell r="CP59"/>
          <cell r="CQ59"/>
          <cell r="CR59"/>
        </row>
        <row r="61">
          <cell r="CC61"/>
          <cell r="CD61">
            <v>305733.78999999998</v>
          </cell>
          <cell r="CE61"/>
          <cell r="CF61"/>
          <cell r="CG61"/>
          <cell r="CH61"/>
          <cell r="CI61"/>
          <cell r="CJ61"/>
          <cell r="CK61"/>
          <cell r="CL61"/>
          <cell r="CM61"/>
          <cell r="CN61"/>
          <cell r="CO61"/>
          <cell r="CP61"/>
          <cell r="CQ61"/>
          <cell r="CR61"/>
        </row>
        <row r="72">
          <cell r="CC72"/>
          <cell r="CD72">
            <v>101650</v>
          </cell>
          <cell r="CE72"/>
          <cell r="CF72"/>
          <cell r="CG72"/>
          <cell r="CH72"/>
          <cell r="CI72"/>
          <cell r="CJ72"/>
          <cell r="CK72"/>
          <cell r="CL72"/>
          <cell r="CM72"/>
          <cell r="CN72"/>
          <cell r="CO72"/>
          <cell r="CP72"/>
          <cell r="CQ72"/>
          <cell r="CR72"/>
        </row>
        <row r="90">
          <cell r="AU90"/>
          <cell r="AV90">
            <v>20631012</v>
          </cell>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row>
        <row r="122">
          <cell r="AU122"/>
          <cell r="AV122">
            <v>15358.68</v>
          </cell>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row>
        <row r="123">
          <cell r="AU123"/>
          <cell r="AV123">
            <v>15358.68</v>
          </cell>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row>
        <row r="140">
          <cell r="CC140"/>
          <cell r="CD140">
            <v>143694064.22</v>
          </cell>
          <cell r="CE140"/>
          <cell r="CF140"/>
          <cell r="CG140"/>
          <cell r="CH140"/>
          <cell r="CI140"/>
          <cell r="CJ140"/>
          <cell r="CK140"/>
          <cell r="CL140"/>
          <cell r="CM140"/>
          <cell r="CN140"/>
          <cell r="CO140"/>
          <cell r="CP140"/>
          <cell r="CQ140"/>
          <cell r="CR140"/>
        </row>
      </sheetData>
      <sheetData sheetId="6"/>
      <sheetData sheetId="7"/>
      <sheetData sheetId="8">
        <row r="61">
          <cell r="ES61"/>
          <cell r="ET61">
            <v>78055303.096550405</v>
          </cell>
          <cell r="EU61"/>
          <cell r="EV61"/>
          <cell r="EW61"/>
          <cell r="EX61"/>
          <cell r="EY61"/>
          <cell r="EZ61"/>
          <cell r="FA61"/>
          <cell r="FB61"/>
          <cell r="FC61"/>
          <cell r="FD61"/>
          <cell r="FE61"/>
          <cell r="FF61"/>
          <cell r="FG61"/>
          <cell r="FH61"/>
          <cell r="FI61"/>
        </row>
        <row r="62">
          <cell r="ET62">
            <v>78055303.099999994</v>
          </cell>
          <cell r="EU62"/>
          <cell r="EV62"/>
          <cell r="EW62"/>
          <cell r="EX62"/>
          <cell r="EY62"/>
          <cell r="EZ62"/>
          <cell r="FA62"/>
          <cell r="FB62"/>
          <cell r="FC62"/>
          <cell r="FD62"/>
          <cell r="FE62"/>
          <cell r="FF62"/>
          <cell r="FG62"/>
          <cell r="FH62"/>
          <cell r="FI62"/>
        </row>
        <row r="83">
          <cell r="ES83"/>
          <cell r="ET83">
            <v>1810443.8095200001</v>
          </cell>
          <cell r="EU83"/>
          <cell r="EV83"/>
          <cell r="EW83"/>
          <cell r="EX83"/>
          <cell r="EY83"/>
          <cell r="EZ83"/>
          <cell r="FA83"/>
          <cell r="FB83"/>
          <cell r="FC83"/>
          <cell r="FD83"/>
          <cell r="FE83"/>
          <cell r="FF83"/>
          <cell r="FG83"/>
          <cell r="FH83"/>
          <cell r="FI83"/>
        </row>
      </sheetData>
      <sheetData sheetId="9"/>
      <sheetData sheetId="10"/>
      <sheetData sheetId="11">
        <row r="12">
          <cell r="CH12"/>
          <cell r="CI12">
            <v>47996.0049</v>
          </cell>
          <cell r="CJ12"/>
          <cell r="CK12"/>
          <cell r="CL12"/>
          <cell r="CM12"/>
          <cell r="CN12"/>
          <cell r="CO12"/>
          <cell r="CP12"/>
          <cell r="CQ12"/>
          <cell r="CR12"/>
          <cell r="CS12"/>
          <cell r="CT12"/>
          <cell r="CU12"/>
          <cell r="CV12"/>
          <cell r="CW12"/>
          <cell r="CX12"/>
          <cell r="CY12"/>
        </row>
        <row r="16">
          <cell r="CH16"/>
          <cell r="CI16">
            <v>23870.998000000003</v>
          </cell>
          <cell r="CJ16"/>
          <cell r="CK16"/>
          <cell r="CL16"/>
          <cell r="CM16"/>
          <cell r="CN16"/>
          <cell r="CO16"/>
          <cell r="CP16"/>
          <cell r="CQ16"/>
          <cell r="CR16"/>
          <cell r="CS16"/>
          <cell r="CT16"/>
          <cell r="CU16"/>
          <cell r="CV16"/>
          <cell r="CW16"/>
          <cell r="CX16"/>
          <cell r="CY16"/>
        </row>
        <row r="17">
          <cell r="CH17"/>
          <cell r="CI17">
            <v>71867.002900000007</v>
          </cell>
          <cell r="CJ17"/>
          <cell r="CK17"/>
          <cell r="CL17"/>
          <cell r="CM17"/>
          <cell r="CN17"/>
          <cell r="CO17"/>
          <cell r="CP17"/>
          <cell r="CQ17"/>
          <cell r="CR17"/>
          <cell r="CS17"/>
          <cell r="CT17"/>
          <cell r="CU17"/>
          <cell r="CV17"/>
          <cell r="CW17"/>
          <cell r="CX17"/>
          <cell r="CY17"/>
        </row>
        <row r="67">
          <cell r="CH67"/>
          <cell r="CI67">
            <v>22866</v>
          </cell>
          <cell r="CJ67"/>
          <cell r="CK67"/>
          <cell r="CL67"/>
          <cell r="CM67"/>
          <cell r="CN67"/>
          <cell r="CO67"/>
          <cell r="CP67"/>
          <cell r="CQ67"/>
          <cell r="CR67"/>
          <cell r="CS67"/>
          <cell r="CT67"/>
          <cell r="CU67"/>
          <cell r="CV67"/>
          <cell r="CW67"/>
          <cell r="CX67"/>
          <cell r="CY67"/>
        </row>
        <row r="73">
          <cell r="CH73"/>
          <cell r="CI73">
            <v>1962100</v>
          </cell>
          <cell r="CJ73"/>
          <cell r="CK73"/>
          <cell r="CL73"/>
          <cell r="CM73"/>
          <cell r="CN73"/>
          <cell r="CO73"/>
          <cell r="CP73"/>
          <cell r="CQ73"/>
          <cell r="CR73"/>
          <cell r="CS73"/>
          <cell r="CT73"/>
          <cell r="CU73"/>
          <cell r="CV73"/>
          <cell r="CW73"/>
          <cell r="CX73"/>
          <cell r="CY73"/>
        </row>
        <row r="74">
          <cell r="CH74"/>
          <cell r="CI74">
            <v>1984966</v>
          </cell>
          <cell r="CJ74"/>
          <cell r="CK74"/>
          <cell r="CL74"/>
          <cell r="CM74"/>
          <cell r="CN74"/>
          <cell r="CO74"/>
          <cell r="CP74"/>
          <cell r="CQ74"/>
          <cell r="CR74"/>
          <cell r="CS74"/>
          <cell r="CT74"/>
          <cell r="CU74"/>
          <cell r="CV74"/>
          <cell r="CW74"/>
          <cell r="CX74"/>
          <cell r="CY74"/>
        </row>
        <row r="95">
          <cell r="CH95"/>
          <cell r="CI95">
            <v>6905.53</v>
          </cell>
          <cell r="CJ95"/>
          <cell r="CK95"/>
          <cell r="CL95"/>
          <cell r="CM95"/>
          <cell r="CN95"/>
          <cell r="CO95"/>
          <cell r="CP95"/>
          <cell r="CQ95"/>
          <cell r="CR95"/>
          <cell r="CS95"/>
          <cell r="CT95"/>
          <cell r="CU95"/>
          <cell r="CV95"/>
          <cell r="CW95"/>
          <cell r="CX95"/>
          <cell r="CY95"/>
        </row>
        <row r="96">
          <cell r="CH96"/>
          <cell r="CI96">
            <v>6905.53</v>
          </cell>
          <cell r="CJ96"/>
          <cell r="CK96"/>
          <cell r="CL96"/>
          <cell r="CM96"/>
          <cell r="CN96"/>
          <cell r="CO96"/>
          <cell r="CP96"/>
          <cell r="CQ96"/>
          <cell r="CR96"/>
          <cell r="CS96"/>
          <cell r="CT96"/>
          <cell r="CU96"/>
          <cell r="CV96"/>
          <cell r="CW96"/>
          <cell r="CX96"/>
          <cell r="CY96"/>
        </row>
        <row r="115">
          <cell r="CK115"/>
          <cell r="CL115">
            <v>21531596.766200002</v>
          </cell>
          <cell r="CM115"/>
          <cell r="CN115"/>
          <cell r="CO115"/>
          <cell r="CP115"/>
          <cell r="CQ115"/>
          <cell r="CR115"/>
          <cell r="CS115"/>
          <cell r="CT115"/>
          <cell r="CU115"/>
          <cell r="CV115"/>
          <cell r="CW115"/>
          <cell r="CX115"/>
          <cell r="CY115"/>
        </row>
        <row r="127">
          <cell r="CK127"/>
          <cell r="CL127">
            <v>546754.01062000007</v>
          </cell>
          <cell r="CM127"/>
          <cell r="CN127"/>
          <cell r="CO127"/>
          <cell r="CP127"/>
          <cell r="CQ127"/>
          <cell r="CR127"/>
          <cell r="CS127"/>
          <cell r="CT127"/>
          <cell r="CU127"/>
          <cell r="CV127"/>
          <cell r="CW127"/>
          <cell r="CX127"/>
          <cell r="CY127"/>
        </row>
        <row r="143">
          <cell r="CK143"/>
          <cell r="CL143">
            <v>22078350.776820004</v>
          </cell>
          <cell r="CM143"/>
          <cell r="CN143"/>
          <cell r="CO143"/>
          <cell r="CP143"/>
          <cell r="CQ143"/>
          <cell r="CR143"/>
          <cell r="CS143"/>
          <cell r="CT143"/>
          <cell r="CU143"/>
          <cell r="CV143"/>
          <cell r="CW143"/>
          <cell r="CX143"/>
          <cell r="CY143"/>
        </row>
        <row r="162">
          <cell r="CK162"/>
          <cell r="CL162">
            <v>11483.57</v>
          </cell>
          <cell r="CM162"/>
          <cell r="CN162"/>
          <cell r="CO162"/>
          <cell r="CP162"/>
          <cell r="CQ162"/>
          <cell r="CR162"/>
          <cell r="CS162"/>
          <cell r="CT162"/>
          <cell r="CU162"/>
          <cell r="CV162"/>
          <cell r="CW162"/>
          <cell r="CX162"/>
          <cell r="CY162"/>
        </row>
        <row r="202">
          <cell r="CH202"/>
          <cell r="CI202">
            <v>292317.16000000003</v>
          </cell>
          <cell r="CJ202"/>
          <cell r="CK202"/>
          <cell r="CL202"/>
          <cell r="CM202"/>
          <cell r="CN202"/>
          <cell r="CO202"/>
          <cell r="CP202"/>
          <cell r="CQ202"/>
          <cell r="CR202"/>
          <cell r="CS202"/>
          <cell r="CT202"/>
          <cell r="CU202"/>
          <cell r="CV202"/>
          <cell r="CW202"/>
          <cell r="CX202"/>
          <cell r="CY202"/>
        </row>
        <row r="203">
          <cell r="CH203"/>
          <cell r="CI203">
            <v>292317.16000000003</v>
          </cell>
          <cell r="CJ203"/>
          <cell r="CK203"/>
          <cell r="CL203"/>
          <cell r="CM203"/>
          <cell r="CN203"/>
          <cell r="CO203"/>
          <cell r="CP203"/>
          <cell r="CQ203"/>
          <cell r="CR203"/>
          <cell r="CS203"/>
          <cell r="CT203"/>
          <cell r="CU203"/>
          <cell r="CV203"/>
          <cell r="CW203"/>
          <cell r="CX203"/>
          <cell r="CY203"/>
        </row>
        <row r="212">
          <cell r="CH212"/>
          <cell r="CI212">
            <v>64000</v>
          </cell>
          <cell r="CJ212"/>
          <cell r="CK212"/>
          <cell r="CL212"/>
          <cell r="CM212"/>
          <cell r="CN212"/>
          <cell r="CO212"/>
          <cell r="CP212"/>
          <cell r="CQ212"/>
          <cell r="CR212"/>
          <cell r="CS212"/>
          <cell r="CT212"/>
          <cell r="CU212"/>
          <cell r="CV212"/>
          <cell r="CW212"/>
          <cell r="CX212"/>
          <cell r="CY212"/>
        </row>
        <row r="213">
          <cell r="CH213"/>
          <cell r="CI213">
            <v>64000</v>
          </cell>
          <cell r="CJ213"/>
          <cell r="CK213"/>
          <cell r="CL213"/>
          <cell r="CM213"/>
          <cell r="CN213"/>
          <cell r="CO213"/>
          <cell r="CP213"/>
          <cell r="CQ213"/>
          <cell r="CR213"/>
          <cell r="CS213"/>
          <cell r="CT213"/>
          <cell r="CU213"/>
          <cell r="CV213"/>
          <cell r="CW213"/>
          <cell r="CX213"/>
          <cell r="CY213"/>
        </row>
        <row r="230">
          <cell r="CH230"/>
          <cell r="CI230">
            <v>315720</v>
          </cell>
          <cell r="CJ230"/>
          <cell r="CK230"/>
          <cell r="CL230"/>
          <cell r="CM230"/>
          <cell r="CN230"/>
          <cell r="CO230"/>
          <cell r="CP230"/>
          <cell r="CQ230"/>
          <cell r="CR230"/>
          <cell r="CS230"/>
          <cell r="CT230"/>
          <cell r="CU230"/>
          <cell r="CV230"/>
          <cell r="CW230"/>
          <cell r="CX230"/>
          <cell r="CY230"/>
        </row>
        <row r="234">
          <cell r="CH234"/>
          <cell r="CI234">
            <v>315720</v>
          </cell>
          <cell r="CJ234"/>
          <cell r="CK234"/>
          <cell r="CL234"/>
          <cell r="CM234"/>
          <cell r="CN234"/>
          <cell r="CO234"/>
          <cell r="CP234"/>
          <cell r="CQ234"/>
          <cell r="CR234"/>
          <cell r="CS234"/>
          <cell r="CT234"/>
          <cell r="CU234"/>
          <cell r="CV234"/>
          <cell r="CW234"/>
          <cell r="CX234"/>
          <cell r="CY234"/>
        </row>
        <row r="250">
          <cell r="CH250"/>
          <cell r="CI250">
            <v>10940</v>
          </cell>
          <cell r="CJ250"/>
          <cell r="CK250"/>
          <cell r="CL250"/>
          <cell r="CM250"/>
          <cell r="CN250"/>
          <cell r="CO250"/>
          <cell r="CP250"/>
          <cell r="CQ250"/>
          <cell r="CR250"/>
          <cell r="CS250"/>
          <cell r="CT250"/>
          <cell r="CU250"/>
          <cell r="CV250"/>
          <cell r="CW250"/>
          <cell r="CX250"/>
          <cell r="CY250"/>
        </row>
        <row r="254">
          <cell r="CH254"/>
          <cell r="CI254">
            <v>1300</v>
          </cell>
          <cell r="CJ254"/>
          <cell r="CK254"/>
          <cell r="CL254"/>
          <cell r="CM254"/>
          <cell r="CN254"/>
          <cell r="CO254"/>
          <cell r="CP254"/>
          <cell r="CQ254"/>
          <cell r="CR254"/>
          <cell r="CS254"/>
          <cell r="CT254"/>
          <cell r="CU254"/>
          <cell r="CV254"/>
          <cell r="CW254"/>
          <cell r="CX254"/>
          <cell r="CY254"/>
        </row>
        <row r="255">
          <cell r="CH255"/>
          <cell r="CI255">
            <v>12240</v>
          </cell>
          <cell r="CJ255"/>
          <cell r="CK255"/>
          <cell r="CL255"/>
          <cell r="CM255"/>
          <cell r="CN255"/>
          <cell r="CO255"/>
          <cell r="CP255"/>
          <cell r="CQ255"/>
          <cell r="CR255"/>
          <cell r="CS255"/>
          <cell r="CT255"/>
          <cell r="CU255"/>
          <cell r="CV255"/>
          <cell r="CW255"/>
          <cell r="CX255"/>
          <cell r="CY255"/>
        </row>
        <row r="265">
          <cell r="CH265"/>
          <cell r="CI265">
            <v>546.91999999999996</v>
          </cell>
          <cell r="CJ265"/>
          <cell r="CK265"/>
          <cell r="CL265"/>
          <cell r="CM265"/>
          <cell r="CN265"/>
          <cell r="CO265"/>
          <cell r="CP265"/>
          <cell r="CQ265"/>
          <cell r="CR265"/>
          <cell r="CS265"/>
          <cell r="CT265"/>
          <cell r="CU265"/>
          <cell r="CV265"/>
          <cell r="CW265"/>
          <cell r="CX265"/>
          <cell r="CY265"/>
        </row>
        <row r="269">
          <cell r="CH269"/>
          <cell r="CI269">
            <v>546.91999999999996</v>
          </cell>
          <cell r="CJ269"/>
          <cell r="CK269"/>
          <cell r="CL269"/>
          <cell r="CM269"/>
          <cell r="CN269"/>
          <cell r="CO269"/>
          <cell r="CP269"/>
          <cell r="CQ269"/>
          <cell r="CR269"/>
          <cell r="CS269"/>
          <cell r="CT269"/>
          <cell r="CU269"/>
          <cell r="CV269"/>
          <cell r="CW269"/>
          <cell r="CX269"/>
          <cell r="CY269"/>
        </row>
        <row r="295">
          <cell r="CH295"/>
          <cell r="CI295">
            <v>8914</v>
          </cell>
          <cell r="CJ295"/>
          <cell r="CK295"/>
          <cell r="CL295"/>
          <cell r="CM295"/>
          <cell r="CN295"/>
          <cell r="CO295"/>
          <cell r="CP295"/>
          <cell r="CQ295"/>
          <cell r="CR295"/>
          <cell r="CS295"/>
          <cell r="CT295"/>
          <cell r="CU295"/>
          <cell r="CV295"/>
          <cell r="CW295"/>
          <cell r="CX295"/>
          <cell r="CY295"/>
        </row>
        <row r="296">
          <cell r="CH296"/>
          <cell r="CI296">
            <v>8914</v>
          </cell>
          <cell r="CJ296"/>
          <cell r="CK296"/>
          <cell r="CL296"/>
          <cell r="CM296"/>
          <cell r="CN296"/>
          <cell r="CO296"/>
          <cell r="CP296"/>
          <cell r="CQ296"/>
          <cell r="CR296"/>
          <cell r="CS296"/>
          <cell r="CT296"/>
          <cell r="CU296"/>
          <cell r="CV296"/>
          <cell r="CW296"/>
          <cell r="CX296"/>
          <cell r="CY296"/>
        </row>
        <row r="297">
          <cell r="CH297"/>
          <cell r="CI297">
            <v>8914</v>
          </cell>
          <cell r="CJ297"/>
          <cell r="CK297"/>
          <cell r="CL297"/>
          <cell r="CM297"/>
          <cell r="CN297"/>
          <cell r="CO297"/>
          <cell r="CP297"/>
          <cell r="CQ297"/>
          <cell r="CR297"/>
          <cell r="CS297"/>
          <cell r="CT297"/>
          <cell r="CU297"/>
          <cell r="CV297"/>
          <cell r="CW297"/>
          <cell r="CX297"/>
          <cell r="CY297"/>
        </row>
        <row r="313">
          <cell r="CJ313"/>
          <cell r="CK313">
            <v>285127.93</v>
          </cell>
          <cell r="CL313"/>
          <cell r="CM313"/>
          <cell r="CN313"/>
          <cell r="CO313"/>
          <cell r="CP313"/>
          <cell r="CQ313"/>
          <cell r="CR313"/>
          <cell r="CS313"/>
          <cell r="CT313"/>
          <cell r="CU313"/>
          <cell r="CV313"/>
          <cell r="CW313"/>
          <cell r="CX313"/>
          <cell r="CY313"/>
        </row>
        <row r="317">
          <cell r="CJ317"/>
          <cell r="CK317">
            <v>63378.49</v>
          </cell>
          <cell r="CL317"/>
          <cell r="CM317"/>
          <cell r="CN317"/>
          <cell r="CO317"/>
          <cell r="CP317"/>
          <cell r="CQ317"/>
          <cell r="CR317"/>
          <cell r="CS317"/>
          <cell r="CT317"/>
          <cell r="CU317"/>
          <cell r="CV317"/>
          <cell r="CW317"/>
          <cell r="CX317"/>
          <cell r="CY317"/>
        </row>
        <row r="318">
          <cell r="CJ318"/>
          <cell r="CK318">
            <v>348506.42</v>
          </cell>
          <cell r="CL318"/>
          <cell r="CM318"/>
          <cell r="CN318"/>
          <cell r="CO318"/>
          <cell r="CP318"/>
          <cell r="CQ318"/>
          <cell r="CR318"/>
          <cell r="CS318"/>
          <cell r="CT318"/>
          <cell r="CU318"/>
          <cell r="CV318"/>
          <cell r="CW318"/>
          <cell r="CX318"/>
          <cell r="CY318"/>
        </row>
        <row r="342">
          <cell r="CH342"/>
          <cell r="CI342">
            <v>0</v>
          </cell>
          <cell r="CJ342"/>
          <cell r="CK342"/>
          <cell r="CL342"/>
          <cell r="CM342"/>
          <cell r="CN342"/>
          <cell r="CO342"/>
          <cell r="CP342"/>
          <cell r="CQ342"/>
          <cell r="CR342"/>
          <cell r="CS342"/>
          <cell r="CT342"/>
          <cell r="CU342"/>
          <cell r="CV342"/>
          <cell r="CW342"/>
          <cell r="CX342"/>
          <cell r="CY342"/>
        </row>
        <row r="343">
          <cell r="CH343"/>
          <cell r="CI343">
            <v>0</v>
          </cell>
          <cell r="CJ343"/>
          <cell r="CK343"/>
          <cell r="CL343"/>
          <cell r="CM343"/>
          <cell r="CN343"/>
          <cell r="CO343"/>
          <cell r="CP343"/>
          <cell r="CQ343"/>
          <cell r="CR343"/>
          <cell r="CS343"/>
          <cell r="CT343"/>
          <cell r="CU343"/>
          <cell r="CV343"/>
          <cell r="CW343"/>
          <cell r="CX343"/>
          <cell r="CY343"/>
        </row>
        <row r="360">
          <cell r="CJ360"/>
          <cell r="CK360">
            <v>465474.62</v>
          </cell>
          <cell r="CL360"/>
          <cell r="CM360"/>
          <cell r="CN360"/>
          <cell r="CO360"/>
          <cell r="CP360"/>
          <cell r="CQ360"/>
          <cell r="CR360"/>
          <cell r="CS360"/>
          <cell r="CT360"/>
          <cell r="CU360"/>
          <cell r="CV360"/>
          <cell r="CW360"/>
          <cell r="CX360"/>
          <cell r="CY360"/>
        </row>
        <row r="369">
          <cell r="CJ369"/>
          <cell r="CK369">
            <v>1099512.18</v>
          </cell>
          <cell r="CL369"/>
          <cell r="CM369"/>
          <cell r="CN369"/>
          <cell r="CO369"/>
          <cell r="CP369"/>
          <cell r="CQ369"/>
          <cell r="CR369"/>
          <cell r="CS369"/>
          <cell r="CT369"/>
          <cell r="CU369"/>
          <cell r="CV369"/>
          <cell r="CW369"/>
          <cell r="CX369"/>
          <cell r="CY369"/>
        </row>
        <row r="370">
          <cell r="CJ370"/>
          <cell r="CK370">
            <v>1564986.7999999998</v>
          </cell>
          <cell r="CL370"/>
          <cell r="CM370"/>
          <cell r="CN370"/>
          <cell r="CO370"/>
          <cell r="CP370"/>
          <cell r="CQ370"/>
          <cell r="CR370"/>
          <cell r="CS370"/>
          <cell r="CT370"/>
          <cell r="CU370"/>
          <cell r="CV370"/>
          <cell r="CW370"/>
          <cell r="CX370"/>
          <cell r="CY370"/>
        </row>
        <row r="406">
          <cell r="CJ406"/>
          <cell r="CK406">
            <v>2372738.65</v>
          </cell>
          <cell r="CL406"/>
          <cell r="CM406"/>
          <cell r="CN406"/>
          <cell r="CO406"/>
          <cell r="CP406"/>
          <cell r="CQ406"/>
          <cell r="CR406"/>
          <cell r="CS406"/>
          <cell r="CT406"/>
          <cell r="CU406"/>
          <cell r="CV406"/>
          <cell r="CW406"/>
          <cell r="CX406"/>
          <cell r="CY406"/>
        </row>
        <row r="411">
          <cell r="CJ411"/>
          <cell r="CK411">
            <v>3613423.4309999999</v>
          </cell>
          <cell r="CL411"/>
          <cell r="CM411"/>
          <cell r="CN411"/>
          <cell r="CO411"/>
          <cell r="CP411"/>
          <cell r="CQ411"/>
          <cell r="CR411"/>
          <cell r="CS411"/>
          <cell r="CT411"/>
          <cell r="CU411"/>
          <cell r="CV411"/>
          <cell r="CW411"/>
          <cell r="CX411"/>
          <cell r="CY411"/>
        </row>
        <row r="412">
          <cell r="CJ412"/>
          <cell r="CK412">
            <v>5986162.0810000002</v>
          </cell>
          <cell r="CL412"/>
          <cell r="CM412"/>
          <cell r="CN412"/>
          <cell r="CO412"/>
          <cell r="CP412"/>
          <cell r="CQ412"/>
          <cell r="CR412"/>
          <cell r="CS412"/>
          <cell r="CT412"/>
          <cell r="CU412"/>
          <cell r="CV412"/>
          <cell r="CW412"/>
          <cell r="CX412"/>
          <cell r="CY412"/>
        </row>
        <row r="425">
          <cell r="CJ425"/>
          <cell r="CK425">
            <v>108254.63</v>
          </cell>
          <cell r="CL425"/>
          <cell r="CM425"/>
          <cell r="CN425"/>
          <cell r="CO425"/>
          <cell r="CP425"/>
          <cell r="CQ425"/>
          <cell r="CR425"/>
          <cell r="CS425"/>
          <cell r="CT425"/>
          <cell r="CU425"/>
          <cell r="CV425"/>
          <cell r="CW425"/>
          <cell r="CX425"/>
          <cell r="CY425"/>
        </row>
        <row r="430">
          <cell r="CJ430"/>
          <cell r="CK430">
            <v>50013.15</v>
          </cell>
          <cell r="CL430"/>
          <cell r="CM430"/>
          <cell r="CN430"/>
          <cell r="CO430"/>
          <cell r="CP430"/>
          <cell r="CQ430"/>
          <cell r="CR430"/>
          <cell r="CS430"/>
          <cell r="CT430"/>
          <cell r="CU430"/>
          <cell r="CV430"/>
          <cell r="CW430"/>
          <cell r="CX430"/>
          <cell r="CY430"/>
        </row>
        <row r="431">
          <cell r="CJ431"/>
          <cell r="CK431">
            <v>158267.78</v>
          </cell>
          <cell r="CL431"/>
          <cell r="CM431"/>
          <cell r="CN431"/>
          <cell r="CO431"/>
          <cell r="CP431"/>
          <cell r="CQ431"/>
          <cell r="CR431"/>
          <cell r="CS431"/>
          <cell r="CT431"/>
          <cell r="CU431"/>
          <cell r="CV431"/>
          <cell r="CW431"/>
          <cell r="CX431"/>
          <cell r="CY431"/>
        </row>
        <row r="440">
          <cell r="CH440"/>
          <cell r="CI440">
            <v>17422.02</v>
          </cell>
          <cell r="CJ440"/>
          <cell r="CK440"/>
          <cell r="CL440"/>
          <cell r="CM440"/>
          <cell r="CN440"/>
          <cell r="CO440"/>
          <cell r="CP440"/>
          <cell r="CQ440"/>
          <cell r="CR440"/>
          <cell r="CS440"/>
          <cell r="CT440"/>
          <cell r="CU440"/>
          <cell r="CV440"/>
          <cell r="CW440"/>
          <cell r="CX440"/>
          <cell r="CY440"/>
        </row>
        <row r="441">
          <cell r="CH441"/>
          <cell r="CI441">
            <v>0</v>
          </cell>
          <cell r="CJ441"/>
          <cell r="CK441"/>
          <cell r="CL441"/>
          <cell r="CM441"/>
          <cell r="CN441"/>
          <cell r="CO441"/>
          <cell r="CP441"/>
          <cell r="CQ441"/>
          <cell r="CR441"/>
          <cell r="CS441"/>
          <cell r="CT441"/>
          <cell r="CU441"/>
          <cell r="CV441"/>
          <cell r="CW441"/>
          <cell r="CX441"/>
          <cell r="CY441"/>
        </row>
        <row r="442">
          <cell r="CH442"/>
          <cell r="CI442">
            <v>0</v>
          </cell>
          <cell r="CJ442"/>
          <cell r="CK442"/>
          <cell r="CL442"/>
          <cell r="CM442"/>
          <cell r="CN442"/>
          <cell r="CO442"/>
          <cell r="CP442"/>
          <cell r="CQ442"/>
          <cell r="CR442"/>
          <cell r="CS442"/>
          <cell r="CT442"/>
          <cell r="CU442"/>
          <cell r="CV442"/>
          <cell r="CW442"/>
          <cell r="CX442"/>
          <cell r="CY442"/>
        </row>
        <row r="443">
          <cell r="CH443"/>
          <cell r="CI443">
            <v>0</v>
          </cell>
          <cell r="CJ443"/>
          <cell r="CK443"/>
          <cell r="CL443"/>
          <cell r="CM443"/>
          <cell r="CN443"/>
          <cell r="CO443"/>
          <cell r="CP443"/>
          <cell r="CQ443"/>
          <cell r="CR443"/>
          <cell r="CS443"/>
          <cell r="CT443"/>
          <cell r="CU443"/>
          <cell r="CV443"/>
          <cell r="CW443"/>
          <cell r="CX443"/>
          <cell r="CY443"/>
        </row>
        <row r="480">
          <cell r="CH480"/>
          <cell r="CI480">
            <v>896354.18</v>
          </cell>
          <cell r="CJ480"/>
          <cell r="CK480"/>
          <cell r="CL480"/>
          <cell r="CM480"/>
          <cell r="CN480"/>
          <cell r="CO480"/>
          <cell r="CP480"/>
          <cell r="CQ480"/>
          <cell r="CR480"/>
          <cell r="CS480"/>
          <cell r="CT480"/>
          <cell r="CU480"/>
          <cell r="CV480"/>
          <cell r="CW480"/>
          <cell r="CX480"/>
          <cell r="CY480"/>
        </row>
        <row r="484">
          <cell r="CH484"/>
          <cell r="CI484">
            <v>1122937.23</v>
          </cell>
          <cell r="CJ484"/>
          <cell r="CK484"/>
          <cell r="CL484"/>
          <cell r="CM484"/>
          <cell r="CN484"/>
          <cell r="CO484"/>
          <cell r="CP484"/>
          <cell r="CQ484"/>
          <cell r="CR484"/>
          <cell r="CS484"/>
          <cell r="CT484"/>
          <cell r="CU484"/>
          <cell r="CV484"/>
          <cell r="CW484"/>
          <cell r="CX484"/>
          <cell r="CY484"/>
        </row>
        <row r="487">
          <cell r="CH487"/>
          <cell r="CI487">
            <v>3084869.94</v>
          </cell>
          <cell r="CJ487"/>
          <cell r="CK487"/>
          <cell r="CL487"/>
          <cell r="CM487"/>
          <cell r="CN487"/>
          <cell r="CO487"/>
          <cell r="CP487"/>
          <cell r="CQ487"/>
          <cell r="CR487"/>
          <cell r="CS487"/>
          <cell r="CT487"/>
          <cell r="CU487"/>
          <cell r="CV487"/>
          <cell r="CW487"/>
          <cell r="CX487"/>
          <cell r="CY487"/>
        </row>
        <row r="489">
          <cell r="CH489"/>
          <cell r="CI489">
            <v>6996272</v>
          </cell>
          <cell r="CJ489"/>
          <cell r="CK489"/>
          <cell r="CL489"/>
          <cell r="CM489"/>
          <cell r="CN489"/>
          <cell r="CO489"/>
          <cell r="CP489"/>
          <cell r="CQ489"/>
          <cell r="CR489"/>
          <cell r="CS489"/>
          <cell r="CT489"/>
          <cell r="CU489"/>
          <cell r="CV489"/>
          <cell r="CW489"/>
          <cell r="CX489"/>
          <cell r="CY489"/>
        </row>
        <row r="490">
          <cell r="CH490"/>
          <cell r="CI490"/>
          <cell r="CJ490"/>
          <cell r="CK490"/>
          <cell r="CL490"/>
          <cell r="CM490"/>
          <cell r="CN490"/>
          <cell r="CO490"/>
          <cell r="CP490"/>
          <cell r="CQ490"/>
          <cell r="CR490"/>
          <cell r="CS490"/>
          <cell r="CT490"/>
          <cell r="CU490"/>
          <cell r="CV490"/>
          <cell r="CW490"/>
          <cell r="CX490"/>
          <cell r="CY490"/>
        </row>
        <row r="491">
          <cell r="CH491"/>
          <cell r="CI491">
            <v>2168187</v>
          </cell>
          <cell r="CJ491"/>
          <cell r="CK491"/>
          <cell r="CL491"/>
          <cell r="CM491"/>
          <cell r="CN491"/>
          <cell r="CO491"/>
          <cell r="CP491"/>
          <cell r="CQ491"/>
          <cell r="CR491"/>
          <cell r="CS491"/>
          <cell r="CT491"/>
          <cell r="CU491"/>
          <cell r="CV491"/>
          <cell r="CW491"/>
          <cell r="CX491"/>
          <cell r="CY491"/>
        </row>
        <row r="492">
          <cell r="CH492"/>
          <cell r="CI492">
            <v>142268</v>
          </cell>
          <cell r="CJ492"/>
          <cell r="CK492"/>
          <cell r="CL492"/>
          <cell r="CM492"/>
          <cell r="CN492"/>
          <cell r="CO492"/>
          <cell r="CP492"/>
          <cell r="CQ492"/>
          <cell r="CR492"/>
          <cell r="CS492"/>
          <cell r="CT492"/>
          <cell r="CU492"/>
          <cell r="CV492"/>
          <cell r="CW492"/>
          <cell r="CX492"/>
          <cell r="CY492"/>
        </row>
        <row r="493">
          <cell r="CH493"/>
          <cell r="CI493">
            <v>227000</v>
          </cell>
          <cell r="CJ493"/>
          <cell r="CK493"/>
          <cell r="CL493"/>
          <cell r="CM493"/>
          <cell r="CN493"/>
          <cell r="CO493"/>
          <cell r="CP493"/>
          <cell r="CQ493"/>
          <cell r="CR493"/>
          <cell r="CS493"/>
          <cell r="CT493"/>
          <cell r="CU493"/>
          <cell r="CV493"/>
          <cell r="CW493"/>
          <cell r="CX493"/>
          <cell r="CY493"/>
        </row>
        <row r="494">
          <cell r="CH494"/>
          <cell r="CI494">
            <v>385320</v>
          </cell>
          <cell r="CJ494"/>
          <cell r="CK494"/>
          <cell r="CL494"/>
          <cell r="CM494"/>
          <cell r="CN494"/>
          <cell r="CO494"/>
          <cell r="CP494"/>
          <cell r="CQ494"/>
          <cell r="CR494"/>
          <cell r="CS494"/>
          <cell r="CT494"/>
          <cell r="CU494"/>
          <cell r="CV494"/>
          <cell r="CW494"/>
          <cell r="CX494"/>
          <cell r="CY494"/>
        </row>
        <row r="495">
          <cell r="CH495"/>
          <cell r="CI495">
            <v>119525</v>
          </cell>
          <cell r="CJ495"/>
          <cell r="CK495"/>
          <cell r="CL495"/>
          <cell r="CM495"/>
          <cell r="CN495"/>
          <cell r="CO495"/>
          <cell r="CP495"/>
          <cell r="CQ495"/>
          <cell r="CR495"/>
          <cell r="CS495"/>
          <cell r="CT495"/>
          <cell r="CU495"/>
          <cell r="CV495"/>
          <cell r="CW495"/>
          <cell r="CX495"/>
          <cell r="CY495"/>
        </row>
        <row r="496">
          <cell r="CH496"/>
          <cell r="CI496">
            <v>32370</v>
          </cell>
          <cell r="CJ496"/>
          <cell r="CK496"/>
          <cell r="CL496"/>
          <cell r="CM496"/>
          <cell r="CN496"/>
          <cell r="CO496"/>
          <cell r="CP496"/>
          <cell r="CQ496"/>
          <cell r="CR496"/>
          <cell r="CS496"/>
          <cell r="CT496"/>
          <cell r="CU496"/>
          <cell r="CV496"/>
          <cell r="CW496"/>
          <cell r="CX496"/>
          <cell r="CY496"/>
        </row>
        <row r="497">
          <cell r="CH497"/>
          <cell r="CI497">
            <v>134732.5</v>
          </cell>
          <cell r="CJ497"/>
          <cell r="CK497"/>
          <cell r="CL497"/>
          <cell r="CM497"/>
          <cell r="CN497"/>
          <cell r="CO497"/>
          <cell r="CP497"/>
          <cell r="CQ497"/>
          <cell r="CR497"/>
          <cell r="CS497"/>
          <cell r="CT497"/>
          <cell r="CU497"/>
          <cell r="CV497"/>
          <cell r="CW497"/>
          <cell r="CX497"/>
          <cell r="CY497"/>
        </row>
        <row r="500">
          <cell r="CH500"/>
          <cell r="CI500">
            <v>10205674.5</v>
          </cell>
          <cell r="CJ500"/>
          <cell r="CK500"/>
          <cell r="CL500"/>
          <cell r="CM500"/>
          <cell r="CN500"/>
          <cell r="CO500"/>
          <cell r="CP500"/>
          <cell r="CQ500"/>
          <cell r="CR500"/>
          <cell r="CS500"/>
          <cell r="CT500"/>
          <cell r="CU500"/>
          <cell r="CV500"/>
          <cell r="CW500"/>
          <cell r="CX500"/>
          <cell r="CY500"/>
        </row>
        <row r="501">
          <cell r="CH501"/>
          <cell r="CI501">
            <v>14186898.620000001</v>
          </cell>
          <cell r="CJ501"/>
          <cell r="CK501"/>
          <cell r="CL501"/>
          <cell r="CM501"/>
          <cell r="CN501"/>
          <cell r="CO501"/>
          <cell r="CP501"/>
          <cell r="CQ501"/>
          <cell r="CR501"/>
          <cell r="CS501"/>
          <cell r="CT501"/>
          <cell r="CU501"/>
          <cell r="CV501"/>
          <cell r="CW501"/>
          <cell r="CX501"/>
          <cell r="CY501"/>
        </row>
        <row r="527">
          <cell r="CH527"/>
          <cell r="CI527">
            <v>3786080</v>
          </cell>
          <cell r="CJ527"/>
          <cell r="CK527"/>
          <cell r="CL527"/>
          <cell r="CM527"/>
          <cell r="CN527"/>
          <cell r="CO527"/>
          <cell r="CP527"/>
          <cell r="CQ527"/>
          <cell r="CR527"/>
          <cell r="CS527"/>
          <cell r="CT527"/>
          <cell r="CU527"/>
          <cell r="CV527"/>
          <cell r="CW527"/>
          <cell r="CX527"/>
          <cell r="CY527"/>
        </row>
        <row r="549">
          <cell r="CH549"/>
          <cell r="CI549">
            <v>7011433.9499999993</v>
          </cell>
          <cell r="CJ549"/>
          <cell r="CK549"/>
          <cell r="CL549"/>
          <cell r="CM549"/>
          <cell r="CN549"/>
          <cell r="CO549"/>
          <cell r="CP549"/>
          <cell r="CQ549"/>
          <cell r="CR549"/>
          <cell r="CS549"/>
          <cell r="CT549"/>
          <cell r="CU549"/>
          <cell r="CV549"/>
          <cell r="CW549"/>
          <cell r="CX549"/>
          <cell r="CY549"/>
        </row>
        <row r="553">
          <cell r="CH553"/>
          <cell r="CI553">
            <v>7566550</v>
          </cell>
          <cell r="CJ553"/>
          <cell r="CK553"/>
          <cell r="CL553"/>
          <cell r="CM553"/>
          <cell r="CN553"/>
          <cell r="CO553"/>
          <cell r="CP553"/>
          <cell r="CQ553"/>
          <cell r="CR553"/>
          <cell r="CS553"/>
          <cell r="CT553"/>
          <cell r="CU553"/>
          <cell r="CV553"/>
          <cell r="CW553"/>
          <cell r="CX553"/>
          <cell r="CY553"/>
        </row>
        <row r="555">
          <cell r="CH555"/>
          <cell r="CI555">
            <v>7677993.5999999996</v>
          </cell>
          <cell r="CJ555"/>
          <cell r="CK555"/>
          <cell r="CL555"/>
          <cell r="CM555"/>
          <cell r="CN555"/>
          <cell r="CO555"/>
          <cell r="CP555"/>
          <cell r="CQ555"/>
          <cell r="CR555"/>
          <cell r="CS555"/>
          <cell r="CT555"/>
          <cell r="CU555"/>
          <cell r="CV555"/>
          <cell r="CW555"/>
          <cell r="CX555"/>
          <cell r="CY555"/>
        </row>
        <row r="570">
          <cell r="CH570"/>
          <cell r="CI570">
            <v>3922228</v>
          </cell>
          <cell r="CJ570"/>
          <cell r="CK570"/>
          <cell r="CL570"/>
          <cell r="CM570"/>
          <cell r="CN570"/>
          <cell r="CO570"/>
          <cell r="CP570"/>
          <cell r="CQ570"/>
          <cell r="CR570"/>
          <cell r="CS570"/>
          <cell r="CT570"/>
          <cell r="CU570"/>
          <cell r="CV570"/>
          <cell r="CW570"/>
          <cell r="CX570"/>
          <cell r="CY570"/>
        </row>
        <row r="571">
          <cell r="CH571"/>
          <cell r="CI571">
            <v>18611655.549999997</v>
          </cell>
          <cell r="CJ571"/>
          <cell r="CK571"/>
          <cell r="CL571"/>
          <cell r="CM571"/>
          <cell r="CN571"/>
          <cell r="CO571"/>
          <cell r="CP571"/>
          <cell r="CQ571"/>
          <cell r="CR571"/>
          <cell r="CS571"/>
          <cell r="CT571"/>
          <cell r="CU571"/>
          <cell r="CV571"/>
          <cell r="CW571"/>
          <cell r="CX571"/>
          <cell r="CY571"/>
        </row>
        <row r="591">
          <cell r="CH591"/>
          <cell r="CI591">
            <v>369269</v>
          </cell>
          <cell r="CJ591"/>
          <cell r="CK591"/>
          <cell r="CL591"/>
          <cell r="CM591"/>
          <cell r="CN591"/>
          <cell r="CO591"/>
          <cell r="CP591"/>
          <cell r="CQ591"/>
          <cell r="CR591"/>
          <cell r="CS591"/>
          <cell r="CT591"/>
          <cell r="CU591"/>
          <cell r="CV591"/>
          <cell r="CW591"/>
          <cell r="CX591"/>
          <cell r="CY591"/>
        </row>
        <row r="616">
          <cell r="CH616"/>
          <cell r="CI616">
            <v>3907008</v>
          </cell>
          <cell r="CJ616"/>
          <cell r="CK616"/>
          <cell r="CL616"/>
          <cell r="CM616"/>
          <cell r="CN616"/>
          <cell r="CO616"/>
          <cell r="CP616"/>
          <cell r="CQ616"/>
          <cell r="CR616"/>
          <cell r="CS616"/>
          <cell r="CT616"/>
          <cell r="CU616"/>
          <cell r="CV616"/>
          <cell r="CW616"/>
          <cell r="CX616"/>
          <cell r="CY616"/>
        </row>
        <row r="624">
          <cell r="CH624"/>
          <cell r="CI624">
            <v>4276277</v>
          </cell>
          <cell r="CJ624"/>
          <cell r="CK624"/>
          <cell r="CL624"/>
          <cell r="CM624"/>
          <cell r="CN624"/>
          <cell r="CO624"/>
          <cell r="CP624"/>
          <cell r="CQ624"/>
          <cell r="CR624"/>
          <cell r="CS624"/>
          <cell r="CT624"/>
          <cell r="CU624"/>
          <cell r="CV624"/>
          <cell r="CW624"/>
          <cell r="CX624"/>
          <cell r="CY624"/>
        </row>
        <row r="633">
          <cell r="CH633"/>
          <cell r="CI633">
            <v>0</v>
          </cell>
          <cell r="CJ633"/>
          <cell r="CK633"/>
          <cell r="CL633"/>
          <cell r="CM633"/>
          <cell r="CN633"/>
          <cell r="CO633"/>
          <cell r="CP633"/>
          <cell r="CQ633"/>
          <cell r="CR633"/>
          <cell r="CS633"/>
          <cell r="CT633"/>
          <cell r="CU633"/>
          <cell r="CV633"/>
          <cell r="CW633"/>
          <cell r="CX633"/>
          <cell r="CY633"/>
        </row>
        <row r="654">
          <cell r="CH654"/>
          <cell r="CI654">
            <v>285175.51</v>
          </cell>
          <cell r="CJ654"/>
          <cell r="CK654"/>
          <cell r="CL654"/>
          <cell r="CM654"/>
          <cell r="CN654"/>
          <cell r="CO654"/>
          <cell r="CP654"/>
          <cell r="CQ654"/>
          <cell r="CR654"/>
          <cell r="CS654"/>
          <cell r="CT654"/>
          <cell r="CU654"/>
          <cell r="CV654"/>
          <cell r="CW654"/>
          <cell r="CX654"/>
          <cell r="CY654"/>
        </row>
        <row r="656">
          <cell r="CH656"/>
          <cell r="CI656">
            <v>132590</v>
          </cell>
          <cell r="CJ656"/>
          <cell r="CK656"/>
          <cell r="CL656"/>
          <cell r="CM656"/>
          <cell r="CN656"/>
          <cell r="CO656"/>
          <cell r="CP656"/>
          <cell r="CQ656"/>
          <cell r="CR656"/>
          <cell r="CS656"/>
          <cell r="CT656"/>
          <cell r="CU656"/>
          <cell r="CV656"/>
          <cell r="CW656"/>
          <cell r="CX656"/>
          <cell r="CY656"/>
        </row>
        <row r="666">
          <cell r="CH666"/>
          <cell r="CI666">
            <v>78700</v>
          </cell>
          <cell r="CJ666"/>
          <cell r="CK666"/>
          <cell r="CL666"/>
          <cell r="CM666"/>
          <cell r="CN666"/>
          <cell r="CO666"/>
          <cell r="CP666"/>
          <cell r="CQ666"/>
          <cell r="CR666"/>
          <cell r="CS666"/>
          <cell r="CT666"/>
          <cell r="CU666"/>
          <cell r="CV666"/>
          <cell r="CW666"/>
          <cell r="CX666"/>
          <cell r="CY666"/>
        </row>
        <row r="705">
          <cell r="CH705"/>
          <cell r="CI705">
            <v>1337312.9400000002</v>
          </cell>
          <cell r="CJ705"/>
          <cell r="CK705"/>
          <cell r="CL705"/>
          <cell r="CM705"/>
          <cell r="CN705"/>
          <cell r="CO705"/>
          <cell r="CP705"/>
          <cell r="CQ705"/>
          <cell r="CR705"/>
          <cell r="CS705"/>
          <cell r="CT705"/>
          <cell r="CU705"/>
          <cell r="CV705"/>
          <cell r="CW705"/>
          <cell r="CX705"/>
          <cell r="CY705"/>
        </row>
        <row r="708">
          <cell r="CH708"/>
          <cell r="CI708">
            <v>46165</v>
          </cell>
          <cell r="CJ708"/>
          <cell r="CK708"/>
          <cell r="CL708"/>
          <cell r="CM708"/>
          <cell r="CN708"/>
          <cell r="CO708"/>
          <cell r="CP708"/>
          <cell r="CQ708"/>
          <cell r="CR708"/>
          <cell r="CS708"/>
          <cell r="CT708"/>
          <cell r="CU708"/>
          <cell r="CV708"/>
          <cell r="CW708"/>
          <cell r="CX708"/>
          <cell r="CY708"/>
        </row>
        <row r="756">
          <cell r="CH756"/>
          <cell r="CI756">
            <v>17261.589999999997</v>
          </cell>
          <cell r="CJ756"/>
          <cell r="CK756"/>
          <cell r="CL756"/>
          <cell r="CM756"/>
          <cell r="CN756"/>
          <cell r="CO756"/>
          <cell r="CP756"/>
          <cell r="CQ756"/>
          <cell r="CR756"/>
          <cell r="CS756"/>
          <cell r="CT756"/>
          <cell r="CU756"/>
          <cell r="CV756"/>
          <cell r="CW756"/>
          <cell r="CX756"/>
          <cell r="CY756"/>
        </row>
        <row r="774">
          <cell r="CH774"/>
          <cell r="CI774">
            <v>3281.4</v>
          </cell>
          <cell r="CJ774"/>
          <cell r="CK774"/>
          <cell r="CL774"/>
          <cell r="CM774"/>
          <cell r="CN774"/>
          <cell r="CO774"/>
          <cell r="CP774"/>
          <cell r="CQ774"/>
          <cell r="CR774"/>
          <cell r="CS774"/>
          <cell r="CT774"/>
          <cell r="CU774"/>
          <cell r="CV774"/>
          <cell r="CW774"/>
          <cell r="CX774"/>
          <cell r="CY774"/>
        </row>
        <row r="776">
          <cell r="CH776"/>
          <cell r="CI776">
            <v>329012</v>
          </cell>
          <cell r="CJ776"/>
          <cell r="CK776"/>
          <cell r="CL776"/>
          <cell r="CM776"/>
          <cell r="CN776"/>
          <cell r="CO776"/>
          <cell r="CP776"/>
          <cell r="CQ776"/>
          <cell r="CR776"/>
          <cell r="CS776"/>
          <cell r="CT776"/>
          <cell r="CU776"/>
          <cell r="CV776"/>
          <cell r="CW776"/>
          <cell r="CX776"/>
          <cell r="CY776"/>
        </row>
        <row r="799">
          <cell r="CH799"/>
          <cell r="CI799">
            <v>37500</v>
          </cell>
          <cell r="CJ799"/>
          <cell r="CK799"/>
          <cell r="CL799"/>
          <cell r="CM799"/>
          <cell r="CN799"/>
          <cell r="CO799"/>
          <cell r="CP799"/>
          <cell r="CQ799"/>
          <cell r="CR799"/>
          <cell r="CS799"/>
          <cell r="CT799"/>
          <cell r="CU799"/>
          <cell r="CV799"/>
          <cell r="CW799"/>
          <cell r="CX799"/>
          <cell r="CY799"/>
        </row>
        <row r="811">
          <cell r="CH811"/>
          <cell r="CI811">
            <v>805719.19</v>
          </cell>
          <cell r="CJ811"/>
          <cell r="CK811"/>
          <cell r="CL811"/>
          <cell r="CM811"/>
          <cell r="CN811"/>
          <cell r="CO811"/>
          <cell r="CP811"/>
          <cell r="CQ811"/>
          <cell r="CR811"/>
          <cell r="CS811"/>
          <cell r="CT811"/>
          <cell r="CU811"/>
          <cell r="CV811"/>
          <cell r="CW811"/>
          <cell r="CX811"/>
          <cell r="CY811"/>
        </row>
        <row r="813">
          <cell r="CH813"/>
          <cell r="CI813">
            <v>238155.29</v>
          </cell>
          <cell r="CJ813"/>
          <cell r="CK813"/>
          <cell r="CL813"/>
          <cell r="CM813"/>
          <cell r="CN813"/>
          <cell r="CO813"/>
          <cell r="CP813"/>
          <cell r="CQ813"/>
          <cell r="CR813"/>
          <cell r="CS813"/>
          <cell r="CT813"/>
          <cell r="CU813"/>
          <cell r="CV813"/>
          <cell r="CW813"/>
          <cell r="CX813"/>
          <cell r="CY813"/>
        </row>
        <row r="826">
          <cell r="CH826"/>
          <cell r="CI826">
            <v>565609.29</v>
          </cell>
          <cell r="CJ826"/>
          <cell r="CK826"/>
          <cell r="CL826"/>
          <cell r="CM826"/>
          <cell r="CN826"/>
          <cell r="CO826"/>
          <cell r="CP826"/>
          <cell r="CQ826"/>
          <cell r="CR826"/>
          <cell r="CS826"/>
          <cell r="CT826"/>
          <cell r="CU826"/>
          <cell r="CV826"/>
          <cell r="CW826"/>
          <cell r="CX826"/>
          <cell r="CY826"/>
        </row>
        <row r="830">
          <cell r="CH830"/>
          <cell r="CI830">
            <v>2708641.42</v>
          </cell>
          <cell r="CJ830"/>
          <cell r="CK830"/>
          <cell r="CL830"/>
          <cell r="CM830"/>
          <cell r="CN830"/>
          <cell r="CO830"/>
          <cell r="CP830"/>
          <cell r="CQ830"/>
          <cell r="CR830"/>
          <cell r="CS830"/>
          <cell r="CT830"/>
          <cell r="CU830"/>
          <cell r="CV830"/>
          <cell r="CW830"/>
          <cell r="CX830"/>
          <cell r="CY830"/>
        </row>
        <row r="840">
          <cell r="CH840"/>
          <cell r="CI840">
            <v>11610.3</v>
          </cell>
          <cell r="CJ840"/>
          <cell r="CK840"/>
          <cell r="CL840"/>
          <cell r="CM840"/>
          <cell r="CN840"/>
          <cell r="CO840"/>
          <cell r="CP840"/>
          <cell r="CQ840"/>
          <cell r="CR840"/>
          <cell r="CS840"/>
          <cell r="CT840"/>
          <cell r="CU840"/>
          <cell r="CV840"/>
          <cell r="CW840"/>
          <cell r="CX840"/>
          <cell r="CY840"/>
        </row>
        <row r="846">
          <cell r="CH846"/>
          <cell r="CI846">
            <v>4392.21</v>
          </cell>
          <cell r="CJ846"/>
          <cell r="CK846"/>
          <cell r="CL846"/>
          <cell r="CM846"/>
          <cell r="CN846"/>
          <cell r="CO846"/>
          <cell r="CP846"/>
          <cell r="CQ846"/>
          <cell r="CR846"/>
          <cell r="CS846"/>
          <cell r="CT846"/>
          <cell r="CU846"/>
          <cell r="CV846"/>
          <cell r="CW846"/>
          <cell r="CX846"/>
          <cell r="CY846"/>
        </row>
        <row r="850">
          <cell r="CH850"/>
          <cell r="CI850">
            <v>16002.509999999998</v>
          </cell>
          <cell r="CJ850"/>
          <cell r="CK850"/>
          <cell r="CL850"/>
          <cell r="CM850"/>
          <cell r="CN850"/>
          <cell r="CO850"/>
          <cell r="CP850"/>
          <cell r="CQ850"/>
          <cell r="CR850"/>
          <cell r="CS850"/>
          <cell r="CT850"/>
          <cell r="CU850"/>
          <cell r="CV850"/>
          <cell r="CW850"/>
          <cell r="CX850"/>
          <cell r="CY850"/>
        </row>
        <row r="881">
          <cell r="CH881"/>
          <cell r="CI881">
            <v>152570456.05072001</v>
          </cell>
          <cell r="CJ881"/>
          <cell r="CK881"/>
          <cell r="CL881"/>
          <cell r="CM881"/>
          <cell r="CN881"/>
          <cell r="CO881"/>
          <cell r="CP881"/>
          <cell r="CQ881"/>
          <cell r="CR881"/>
          <cell r="CS881"/>
          <cell r="CT881"/>
          <cell r="CU881"/>
          <cell r="CV881"/>
          <cell r="CW881"/>
          <cell r="CX881"/>
          <cell r="CY881"/>
        </row>
        <row r="883">
          <cell r="BB883"/>
          <cell r="BC883">
            <v>5131051.76</v>
          </cell>
          <cell r="BD883"/>
          <cell r="BE883"/>
          <cell r="BF883"/>
          <cell r="BG883"/>
          <cell r="BH883"/>
          <cell r="BI883"/>
          <cell r="BJ883"/>
          <cell r="BK883"/>
          <cell r="BL883"/>
          <cell r="BM883"/>
          <cell r="BN883"/>
          <cell r="BO883"/>
          <cell r="BP883"/>
          <cell r="BQ883"/>
          <cell r="BR883"/>
          <cell r="BS883">
            <v>3745340.07</v>
          </cell>
          <cell r="BT883"/>
          <cell r="BU883"/>
          <cell r="BV883"/>
          <cell r="BW883"/>
          <cell r="BX883"/>
          <cell r="BY883"/>
          <cell r="BZ883"/>
          <cell r="CA883"/>
          <cell r="CB883"/>
          <cell r="CC883"/>
          <cell r="CD883"/>
          <cell r="CE883"/>
          <cell r="CF883"/>
          <cell r="CG883"/>
          <cell r="CH883"/>
          <cell r="CI883">
            <v>8876391.8300000001</v>
          </cell>
          <cell r="CJ883"/>
          <cell r="CK883"/>
          <cell r="CL883"/>
          <cell r="CM883"/>
          <cell r="CN883"/>
          <cell r="CO883"/>
          <cell r="CP883"/>
          <cell r="CQ883"/>
          <cell r="CR883"/>
          <cell r="CS883"/>
          <cell r="CT883"/>
          <cell r="CU883"/>
          <cell r="CV883"/>
          <cell r="CW883"/>
          <cell r="CX883"/>
          <cell r="CY883"/>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Лист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row r="82">
          <cell r="G82">
            <v>145799591.82999998</v>
          </cell>
        </row>
        <row r="92">
          <cell r="D92">
            <v>55692321.229999997</v>
          </cell>
          <cell r="E92">
            <v>56646037.990000002</v>
          </cell>
          <cell r="F92">
            <v>69830840.359999999</v>
          </cell>
          <cell r="G92">
            <v>74242803.269999996</v>
          </cell>
          <cell r="H92">
            <v>76872738.439999998</v>
          </cell>
          <cell r="I92">
            <v>79485481.399999991</v>
          </cell>
        </row>
        <row r="142">
          <cell r="D142">
            <v>17505323.579999998</v>
          </cell>
          <cell r="E142">
            <v>23632860.100000001</v>
          </cell>
          <cell r="F142">
            <v>31293968</v>
          </cell>
        </row>
        <row r="156">
          <cell r="D156">
            <v>2411667.71</v>
          </cell>
          <cell r="E156">
            <v>3310519.5599999996</v>
          </cell>
          <cell r="F156">
            <v>6596594.709999999</v>
          </cell>
        </row>
      </sheetData>
      <sheetData sheetId="2"/>
      <sheetData sheetId="3"/>
      <sheetData sheetId="4"/>
      <sheetData sheetId="5"/>
      <sheetData sheetId="6"/>
      <sheetData sheetId="7"/>
      <sheetData sheetId="8"/>
      <sheetData sheetId="9">
        <row r="14">
          <cell r="FN14">
            <v>4554584.8716000002</v>
          </cell>
        </row>
        <row r="15">
          <cell r="FN15">
            <v>766970.29200000013</v>
          </cell>
        </row>
        <row r="43">
          <cell r="ET43">
            <v>5337133.42344</v>
          </cell>
        </row>
      </sheetData>
      <sheetData sheetId="10">
        <row r="14">
          <cell r="FO14"/>
        </row>
        <row r="15">
          <cell r="FO15"/>
        </row>
        <row r="42">
          <cell r="ET42">
            <v>376200.00048000005</v>
          </cell>
        </row>
      </sheetData>
      <sheetData sheetId="11">
        <row r="14">
          <cell r="FO14"/>
        </row>
        <row r="15">
          <cell r="FO15"/>
        </row>
        <row r="42">
          <cell r="ET42">
            <v>403560.00302400003</v>
          </cell>
        </row>
      </sheetData>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2"/>
  <sheetViews>
    <sheetView view="pageBreakPreview" zoomScale="110" zoomScaleNormal="100" zoomScaleSheetLayoutView="110" workbookViewId="0">
      <selection activeCell="DW17" sqref="DW17"/>
    </sheetView>
  </sheetViews>
  <sheetFormatPr defaultColWidth="0.88671875" defaultRowHeight="13.2" x14ac:dyDescent="0.25"/>
  <cols>
    <col min="1" max="100" width="0.88671875" style="1"/>
    <col min="101" max="101" width="0.88671875" style="1" customWidth="1"/>
    <col min="102" max="107" width="0.88671875" style="1"/>
    <col min="108" max="108" width="1.109375" style="1" customWidth="1"/>
    <col min="109" max="126" width="0.88671875" style="1"/>
    <col min="127" max="127" width="36.88671875" style="1" customWidth="1"/>
    <col min="128" max="16384" width="0.88671875" style="1"/>
  </cols>
  <sheetData>
    <row r="1" spans="1:127" x14ac:dyDescent="0.25">
      <c r="DW1" s="47"/>
    </row>
    <row r="2" spans="1:127" x14ac:dyDescent="0.25">
      <c r="BE2" s="372" t="s">
        <v>7</v>
      </c>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W2" s="47"/>
    </row>
    <row r="3" spans="1:127" x14ac:dyDescent="0.25">
      <c r="BE3" s="373" t="s">
        <v>1092</v>
      </c>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W3" s="47"/>
    </row>
    <row r="4" spans="1:127" s="48" customFormat="1" ht="12.75" customHeight="1" x14ac:dyDescent="0.25">
      <c r="BE4" s="374" t="s">
        <v>12</v>
      </c>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W4" s="47"/>
    </row>
    <row r="5" spans="1:127" x14ac:dyDescent="0.25">
      <c r="BE5" s="373"/>
      <c r="BF5" s="373"/>
      <c r="BG5" s="373"/>
      <c r="BH5" s="373"/>
      <c r="BI5" s="373"/>
      <c r="BJ5" s="373"/>
      <c r="BK5" s="373"/>
      <c r="BL5" s="373"/>
      <c r="BM5" s="373"/>
      <c r="BN5" s="373"/>
      <c r="BO5" s="373"/>
      <c r="BP5" s="373"/>
      <c r="BQ5" s="373"/>
      <c r="BR5" s="373"/>
      <c r="BS5" s="373"/>
      <c r="BT5" s="373"/>
      <c r="BU5" s="373"/>
      <c r="BV5" s="373"/>
      <c r="BW5" s="373"/>
      <c r="BX5" s="373"/>
      <c r="BZ5" s="373" t="s">
        <v>1093</v>
      </c>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W5" s="47"/>
    </row>
    <row r="6" spans="1:127" s="48" customFormat="1" ht="12.75" customHeight="1" x14ac:dyDescent="0.2">
      <c r="BE6" s="371" t="s">
        <v>8</v>
      </c>
      <c r="BF6" s="371"/>
      <c r="BG6" s="371"/>
      <c r="BH6" s="371"/>
      <c r="BI6" s="371"/>
      <c r="BJ6" s="371"/>
      <c r="BK6" s="371"/>
      <c r="BL6" s="371"/>
      <c r="BM6" s="371"/>
      <c r="BN6" s="371"/>
      <c r="BO6" s="371"/>
      <c r="BP6" s="371"/>
      <c r="BQ6" s="371"/>
      <c r="BR6" s="371"/>
      <c r="BS6" s="371"/>
      <c r="BT6" s="371"/>
      <c r="BU6" s="371"/>
      <c r="BV6" s="371"/>
      <c r="BW6" s="371"/>
      <c r="BX6" s="371"/>
      <c r="BZ6" s="371" t="s">
        <v>10</v>
      </c>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row>
    <row r="7" spans="1:127" x14ac:dyDescent="0.25">
      <c r="BG7" s="51" t="s">
        <v>13</v>
      </c>
      <c r="BH7" s="339" t="s">
        <v>624</v>
      </c>
      <c r="BI7" s="339"/>
      <c r="BJ7" s="339"/>
      <c r="BK7" s="339"/>
      <c r="BL7" s="1" t="s">
        <v>13</v>
      </c>
      <c r="BO7" s="340" t="s">
        <v>1069</v>
      </c>
      <c r="BP7" s="340"/>
      <c r="BQ7" s="340"/>
      <c r="BR7" s="340"/>
      <c r="BS7" s="340"/>
      <c r="BT7" s="340"/>
      <c r="BU7" s="340"/>
      <c r="BV7" s="340"/>
      <c r="BW7" s="340"/>
      <c r="BX7" s="340"/>
      <c r="BY7" s="340"/>
      <c r="BZ7" s="340"/>
      <c r="CA7" s="340"/>
      <c r="CB7" s="340"/>
      <c r="CC7" s="340"/>
      <c r="CD7" s="341">
        <v>20</v>
      </c>
      <c r="CE7" s="341"/>
      <c r="CF7" s="341"/>
      <c r="CG7" s="341"/>
      <c r="CH7" s="342" t="s">
        <v>624</v>
      </c>
      <c r="CI7" s="342"/>
      <c r="CJ7" s="342"/>
      <c r="CK7" s="1" t="s">
        <v>14</v>
      </c>
      <c r="CN7" s="10"/>
      <c r="CO7" s="10"/>
      <c r="CP7" s="10"/>
      <c r="CQ7" s="10"/>
    </row>
    <row r="8" spans="1:127" x14ac:dyDescent="0.25">
      <c r="BF8" s="3"/>
      <c r="BG8" s="4"/>
      <c r="BH8" s="11"/>
      <c r="BI8" s="11"/>
      <c r="BJ8" s="11"/>
      <c r="BK8" s="11"/>
      <c r="BL8" s="3"/>
      <c r="BM8" s="3"/>
      <c r="BO8" s="11"/>
      <c r="BP8" s="11"/>
      <c r="BQ8" s="11"/>
      <c r="BR8" s="11"/>
      <c r="BS8" s="11"/>
      <c r="BT8" s="11"/>
      <c r="BU8" s="11"/>
      <c r="BV8" s="11"/>
      <c r="BW8" s="11"/>
      <c r="BX8" s="11"/>
      <c r="BY8" s="11"/>
      <c r="BZ8" s="11"/>
      <c r="CA8" s="11"/>
      <c r="CB8" s="11"/>
      <c r="CC8" s="11"/>
      <c r="CD8" s="4"/>
      <c r="CE8" s="4"/>
      <c r="CF8" s="4"/>
      <c r="CG8" s="4"/>
      <c r="CH8" s="12"/>
      <c r="CI8" s="12"/>
      <c r="CJ8" s="12"/>
      <c r="CK8" s="3"/>
      <c r="CL8" s="3"/>
      <c r="CM8" s="3"/>
      <c r="CN8" s="10"/>
      <c r="CO8" s="10"/>
      <c r="CP8" s="10"/>
      <c r="CQ8" s="10"/>
    </row>
    <row r="9" spans="1:127" ht="12.75" customHeight="1" x14ac:dyDescent="0.3">
      <c r="A9" s="343" t="s">
        <v>242</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43"/>
      <c r="DC9" s="343"/>
      <c r="DD9" s="343"/>
    </row>
    <row r="10" spans="1:127" s="49" customFormat="1" ht="13.5" customHeight="1" x14ac:dyDescent="0.3">
      <c r="A10" s="343" t="s">
        <v>389</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c r="CT10" s="343"/>
      <c r="CU10" s="343"/>
      <c r="CV10" s="343"/>
      <c r="CW10" s="343"/>
      <c r="CX10" s="343"/>
      <c r="CY10" s="343"/>
      <c r="CZ10" s="343"/>
      <c r="DA10" s="343"/>
      <c r="DB10" s="343"/>
      <c r="DC10" s="343"/>
      <c r="DD10" s="343"/>
    </row>
    <row r="11" spans="1:127" s="50" customFormat="1" ht="15.6" x14ac:dyDescent="0.3">
      <c r="A11" s="347" t="s">
        <v>946</v>
      </c>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row>
    <row r="12" spans="1:127" ht="17.25" customHeight="1" x14ac:dyDescent="0.25"/>
    <row r="13" spans="1:127" ht="13.5" customHeight="1" x14ac:dyDescent="0.25">
      <c r="AL13" s="3"/>
      <c r="AM13" s="4" t="s">
        <v>13</v>
      </c>
      <c r="AN13" s="351" t="s">
        <v>624</v>
      </c>
      <c r="AO13" s="351"/>
      <c r="AP13" s="351"/>
      <c r="AQ13" s="351"/>
      <c r="AR13" s="3" t="s">
        <v>13</v>
      </c>
      <c r="AS13" s="3"/>
      <c r="AU13" s="351" t="s">
        <v>1069</v>
      </c>
      <c r="AV13" s="351"/>
      <c r="AW13" s="351"/>
      <c r="AX13" s="351"/>
      <c r="AY13" s="351"/>
      <c r="AZ13" s="351"/>
      <c r="BA13" s="351"/>
      <c r="BB13" s="351"/>
      <c r="BC13" s="351"/>
      <c r="BD13" s="351"/>
      <c r="BE13" s="351"/>
      <c r="BF13" s="351"/>
      <c r="BG13" s="351"/>
      <c r="BH13" s="351"/>
      <c r="BI13" s="351"/>
      <c r="BJ13" s="352">
        <v>20</v>
      </c>
      <c r="BK13" s="352"/>
      <c r="BL13" s="352"/>
      <c r="BM13" s="352"/>
      <c r="BN13" s="353" t="s">
        <v>624</v>
      </c>
      <c r="BO13" s="353"/>
      <c r="BP13" s="353"/>
      <c r="BQ13" s="3" t="s">
        <v>14</v>
      </c>
      <c r="BR13" s="3"/>
      <c r="BS13" s="3"/>
      <c r="CD13" s="2"/>
      <c r="CE13" s="2"/>
      <c r="CF13" s="2"/>
      <c r="CG13" s="2"/>
      <c r="CH13" s="2"/>
      <c r="CI13" s="2"/>
      <c r="CJ13" s="2"/>
      <c r="CK13" s="2"/>
      <c r="CL13" s="2"/>
      <c r="CM13" s="8"/>
      <c r="CN13" s="2"/>
    </row>
    <row r="14" spans="1:127" ht="13.5" customHeight="1" x14ac:dyDescent="0.25">
      <c r="AL14" s="3"/>
      <c r="AM14" s="4"/>
      <c r="AN14" s="11"/>
      <c r="AO14" s="11"/>
      <c r="AP14" s="11"/>
      <c r="AQ14" s="11"/>
      <c r="AR14" s="3"/>
      <c r="AS14" s="3"/>
      <c r="AU14" s="11"/>
      <c r="AV14" s="11"/>
      <c r="AW14" s="11"/>
      <c r="AX14" s="11"/>
      <c r="AY14" s="11"/>
      <c r="AZ14" s="11"/>
      <c r="BA14" s="11"/>
      <c r="BB14" s="11"/>
      <c r="BC14" s="11"/>
      <c r="BD14" s="11"/>
      <c r="BE14" s="11"/>
      <c r="BF14" s="11"/>
      <c r="BG14" s="11"/>
      <c r="BH14" s="11"/>
      <c r="BI14" s="11"/>
      <c r="BJ14" s="4"/>
      <c r="BK14" s="4"/>
      <c r="BL14" s="4"/>
      <c r="BM14" s="4"/>
      <c r="BN14" s="12"/>
      <c r="BO14" s="12"/>
      <c r="BP14" s="12"/>
      <c r="BQ14" s="3"/>
      <c r="BR14" s="3"/>
      <c r="BS14" s="3"/>
      <c r="CD14" s="2"/>
      <c r="CE14" s="2"/>
      <c r="CF14" s="2"/>
      <c r="CG14" s="2"/>
      <c r="CH14" s="2"/>
      <c r="CI14" s="2"/>
      <c r="CJ14" s="2"/>
      <c r="CK14" s="2"/>
      <c r="CL14" s="2"/>
      <c r="CM14" s="8"/>
      <c r="CN14" s="2"/>
    </row>
    <row r="16" spans="1:127" ht="13.5" customHeight="1" x14ac:dyDescent="0.25">
      <c r="BY16" s="5"/>
      <c r="CO16" s="9"/>
      <c r="CP16" s="9"/>
      <c r="CQ16" s="9"/>
      <c r="CR16" s="9"/>
      <c r="CS16" s="9"/>
      <c r="CT16" s="9"/>
      <c r="CU16" s="9"/>
      <c r="CV16" s="9"/>
      <c r="CW16" s="9"/>
      <c r="CX16" s="9"/>
      <c r="CY16" s="9"/>
      <c r="CZ16" s="9"/>
      <c r="DA16" s="9"/>
      <c r="DB16" s="9"/>
      <c r="DC16" s="9"/>
      <c r="DD16" s="9"/>
    </row>
    <row r="17" spans="1:108" ht="33" customHeight="1" x14ac:dyDescent="0.25">
      <c r="BY17" s="5"/>
      <c r="BZ17" s="5"/>
      <c r="CD17" s="2"/>
      <c r="CE17" s="2"/>
      <c r="CF17" s="2"/>
      <c r="CG17" s="2"/>
      <c r="CH17" s="2"/>
      <c r="CI17" s="2"/>
      <c r="CJ17" s="2"/>
      <c r="CK17" s="2"/>
      <c r="CL17" s="2"/>
      <c r="CM17" s="8"/>
      <c r="CN17" s="2"/>
      <c r="CO17" s="344" t="s">
        <v>11</v>
      </c>
      <c r="CP17" s="345"/>
      <c r="CQ17" s="345"/>
      <c r="CR17" s="345"/>
      <c r="CS17" s="345"/>
      <c r="CT17" s="345"/>
      <c r="CU17" s="345"/>
      <c r="CV17" s="345"/>
      <c r="CW17" s="345"/>
      <c r="CX17" s="345"/>
      <c r="CY17" s="345"/>
      <c r="CZ17" s="345"/>
      <c r="DA17" s="345"/>
      <c r="DB17" s="345"/>
      <c r="DC17" s="345"/>
      <c r="DD17" s="346"/>
    </row>
    <row r="18" spans="1:108" ht="3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354" t="s">
        <v>9</v>
      </c>
      <c r="CC18" s="355"/>
      <c r="CD18" s="355"/>
      <c r="CE18" s="355"/>
      <c r="CF18" s="355"/>
      <c r="CG18" s="355"/>
      <c r="CH18" s="355"/>
      <c r="CI18" s="355"/>
      <c r="CJ18" s="355"/>
      <c r="CK18" s="355"/>
      <c r="CL18" s="355"/>
      <c r="CM18" s="355"/>
      <c r="CN18" s="356"/>
      <c r="CO18" s="348" t="s">
        <v>1094</v>
      </c>
      <c r="CP18" s="349"/>
      <c r="CQ18" s="349"/>
      <c r="CR18" s="349"/>
      <c r="CS18" s="349"/>
      <c r="CT18" s="349"/>
      <c r="CU18" s="349"/>
      <c r="CV18" s="349"/>
      <c r="CW18" s="349"/>
      <c r="CX18" s="349"/>
      <c r="CY18" s="349"/>
      <c r="CZ18" s="349"/>
      <c r="DA18" s="349"/>
      <c r="DB18" s="349"/>
      <c r="DC18" s="349"/>
      <c r="DD18" s="350"/>
    </row>
    <row r="19" spans="1:108" ht="60.75" customHeight="1" x14ac:dyDescent="0.25">
      <c r="A19" s="357" t="s">
        <v>103</v>
      </c>
      <c r="B19" s="357"/>
      <c r="C19" s="357"/>
      <c r="D19" s="357"/>
      <c r="E19" s="357"/>
      <c r="F19" s="357"/>
      <c r="G19" s="357"/>
      <c r="H19" s="357"/>
      <c r="I19" s="357"/>
      <c r="J19" s="357"/>
      <c r="K19" s="357"/>
      <c r="L19" s="357"/>
      <c r="M19" s="357"/>
      <c r="N19" s="357"/>
      <c r="O19" s="357"/>
      <c r="P19" s="357"/>
      <c r="Q19" s="357"/>
      <c r="R19" s="357"/>
      <c r="S19" s="357"/>
      <c r="T19" s="357"/>
      <c r="U19" s="357"/>
      <c r="V19" s="357"/>
      <c r="W19" s="357"/>
      <c r="X19" s="53"/>
      <c r="Y19" s="358" t="s">
        <v>386</v>
      </c>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40"/>
      <c r="BT19" s="362" t="s">
        <v>102</v>
      </c>
      <c r="BU19" s="355"/>
      <c r="BV19" s="355"/>
      <c r="BW19" s="355"/>
      <c r="BX19" s="355"/>
      <c r="BY19" s="355"/>
      <c r="BZ19" s="355"/>
      <c r="CA19" s="355"/>
      <c r="CB19" s="355"/>
      <c r="CC19" s="355"/>
      <c r="CD19" s="355"/>
      <c r="CE19" s="355"/>
      <c r="CF19" s="355"/>
      <c r="CG19" s="355"/>
      <c r="CH19" s="355"/>
      <c r="CI19" s="355"/>
      <c r="CJ19" s="355"/>
      <c r="CK19" s="355"/>
      <c r="CL19" s="355"/>
      <c r="CM19" s="355"/>
      <c r="CN19" s="356"/>
      <c r="CO19" s="359" t="s">
        <v>385</v>
      </c>
      <c r="CP19" s="360"/>
      <c r="CQ19" s="360"/>
      <c r="CR19" s="360"/>
      <c r="CS19" s="360"/>
      <c r="CT19" s="360"/>
      <c r="CU19" s="360"/>
      <c r="CV19" s="360"/>
      <c r="CW19" s="360"/>
      <c r="CX19" s="360"/>
      <c r="CY19" s="360"/>
      <c r="CZ19" s="360"/>
      <c r="DA19" s="360"/>
      <c r="DB19" s="360"/>
      <c r="DC19" s="360"/>
      <c r="DD19" s="361"/>
    </row>
    <row r="20" spans="1:108" ht="2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5"/>
      <c r="CA20" s="5"/>
      <c r="CB20" s="362" t="s">
        <v>104</v>
      </c>
      <c r="CC20" s="354"/>
      <c r="CD20" s="354"/>
      <c r="CE20" s="354"/>
      <c r="CF20" s="354"/>
      <c r="CG20" s="354"/>
      <c r="CH20" s="354"/>
      <c r="CI20" s="354"/>
      <c r="CJ20" s="354"/>
      <c r="CK20" s="354"/>
      <c r="CL20" s="354"/>
      <c r="CM20" s="354"/>
      <c r="CN20" s="363"/>
      <c r="CO20" s="359" t="s">
        <v>384</v>
      </c>
      <c r="CP20" s="360"/>
      <c r="CQ20" s="360"/>
      <c r="CR20" s="360"/>
      <c r="CS20" s="360"/>
      <c r="CT20" s="360"/>
      <c r="CU20" s="360"/>
      <c r="CV20" s="360"/>
      <c r="CW20" s="360"/>
      <c r="CX20" s="360"/>
      <c r="CY20" s="360"/>
      <c r="CZ20" s="360"/>
      <c r="DA20" s="360"/>
      <c r="DB20" s="360"/>
      <c r="DC20" s="360"/>
      <c r="DD20" s="361"/>
    </row>
    <row r="21" spans="1:108" ht="41.25" customHeight="1" x14ac:dyDescent="0.25">
      <c r="A21" s="357" t="s">
        <v>105</v>
      </c>
      <c r="B21" s="357"/>
      <c r="C21" s="357"/>
      <c r="D21" s="357"/>
      <c r="E21" s="357"/>
      <c r="F21" s="357"/>
      <c r="G21" s="357"/>
      <c r="H21" s="357"/>
      <c r="I21" s="357"/>
      <c r="J21" s="357"/>
      <c r="K21" s="357"/>
      <c r="L21" s="357"/>
      <c r="M21" s="357"/>
      <c r="N21" s="357"/>
      <c r="O21" s="357"/>
      <c r="P21" s="357"/>
      <c r="Q21" s="357"/>
      <c r="R21" s="357"/>
      <c r="S21" s="357"/>
      <c r="T21" s="357"/>
      <c r="U21" s="357"/>
      <c r="V21" s="357"/>
      <c r="W21" s="357"/>
      <c r="X21" s="52"/>
      <c r="Y21" s="367" t="s">
        <v>383</v>
      </c>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5"/>
      <c r="BT21" s="362" t="s">
        <v>102</v>
      </c>
      <c r="BU21" s="355"/>
      <c r="BV21" s="355"/>
      <c r="BW21" s="355"/>
      <c r="BX21" s="355"/>
      <c r="BY21" s="355"/>
      <c r="BZ21" s="355"/>
      <c r="CA21" s="355"/>
      <c r="CB21" s="355"/>
      <c r="CC21" s="355"/>
      <c r="CD21" s="355"/>
      <c r="CE21" s="355"/>
      <c r="CF21" s="355"/>
      <c r="CG21" s="355"/>
      <c r="CH21" s="355"/>
      <c r="CI21" s="355"/>
      <c r="CJ21" s="355"/>
      <c r="CK21" s="355"/>
      <c r="CL21" s="355"/>
      <c r="CM21" s="355"/>
      <c r="CN21" s="356"/>
      <c r="CO21" s="359" t="s">
        <v>382</v>
      </c>
      <c r="CP21" s="360"/>
      <c r="CQ21" s="360"/>
      <c r="CR21" s="360"/>
      <c r="CS21" s="360"/>
      <c r="CT21" s="360"/>
      <c r="CU21" s="360"/>
      <c r="CV21" s="360"/>
      <c r="CW21" s="360"/>
      <c r="CX21" s="360"/>
      <c r="CY21" s="360"/>
      <c r="CZ21" s="360"/>
      <c r="DA21" s="360"/>
      <c r="DB21" s="360"/>
      <c r="DC21" s="360"/>
      <c r="DD21" s="361"/>
    </row>
    <row r="22" spans="1:108" ht="33"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362" t="s">
        <v>106</v>
      </c>
      <c r="CC22" s="354"/>
      <c r="CD22" s="354"/>
      <c r="CE22" s="354"/>
      <c r="CF22" s="354"/>
      <c r="CG22" s="354"/>
      <c r="CH22" s="354"/>
      <c r="CI22" s="354"/>
      <c r="CJ22" s="354"/>
      <c r="CK22" s="354"/>
      <c r="CL22" s="354"/>
      <c r="CM22" s="354"/>
      <c r="CN22" s="363"/>
      <c r="CO22" s="359" t="s">
        <v>381</v>
      </c>
      <c r="CP22" s="360"/>
      <c r="CQ22" s="360"/>
      <c r="CR22" s="360"/>
      <c r="CS22" s="360"/>
      <c r="CT22" s="360"/>
      <c r="CU22" s="360"/>
      <c r="CV22" s="360"/>
      <c r="CW22" s="360"/>
      <c r="CX22" s="360"/>
      <c r="CY22" s="360"/>
      <c r="CZ22" s="360"/>
      <c r="DA22" s="360"/>
      <c r="DB22" s="360"/>
      <c r="DC22" s="360"/>
      <c r="DD22" s="361"/>
    </row>
    <row r="23" spans="1:108" s="2" customFormat="1" ht="33" customHeight="1" x14ac:dyDescent="0.3">
      <c r="A23" s="6" t="s">
        <v>109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362" t="s">
        <v>107</v>
      </c>
      <c r="CC23" s="354"/>
      <c r="CD23" s="354"/>
      <c r="CE23" s="354"/>
      <c r="CF23" s="354"/>
      <c r="CG23" s="354"/>
      <c r="CH23" s="354"/>
      <c r="CI23" s="354"/>
      <c r="CJ23" s="354"/>
      <c r="CK23" s="354"/>
      <c r="CL23" s="354"/>
      <c r="CM23" s="354"/>
      <c r="CN23" s="363"/>
      <c r="CO23" s="364" t="s">
        <v>380</v>
      </c>
      <c r="CP23" s="365"/>
      <c r="CQ23" s="365"/>
      <c r="CR23" s="365"/>
      <c r="CS23" s="365"/>
      <c r="CT23" s="365"/>
      <c r="CU23" s="365"/>
      <c r="CV23" s="365"/>
      <c r="CW23" s="365"/>
      <c r="CX23" s="365"/>
      <c r="CY23" s="365"/>
      <c r="CZ23" s="365"/>
      <c r="DA23" s="365"/>
      <c r="DB23" s="365"/>
      <c r="DC23" s="365"/>
      <c r="DD23" s="366"/>
    </row>
    <row r="24" spans="1:108" ht="33"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362" t="s">
        <v>108</v>
      </c>
      <c r="CC24" s="354"/>
      <c r="CD24" s="354"/>
      <c r="CE24" s="354"/>
      <c r="CF24" s="354"/>
      <c r="CG24" s="354"/>
      <c r="CH24" s="354"/>
      <c r="CI24" s="354"/>
      <c r="CJ24" s="354"/>
      <c r="CK24" s="354"/>
      <c r="CL24" s="354"/>
      <c r="CM24" s="354"/>
      <c r="CN24" s="363"/>
      <c r="CO24" s="364" t="s">
        <v>15</v>
      </c>
      <c r="CP24" s="365"/>
      <c r="CQ24" s="365"/>
      <c r="CR24" s="365"/>
      <c r="CS24" s="365"/>
      <c r="CT24" s="365"/>
      <c r="CU24" s="365"/>
      <c r="CV24" s="365"/>
      <c r="CW24" s="365"/>
      <c r="CX24" s="365"/>
      <c r="CY24" s="365"/>
      <c r="CZ24" s="365"/>
      <c r="DA24" s="365"/>
      <c r="DB24" s="365"/>
      <c r="DC24" s="365"/>
      <c r="DD24" s="366"/>
    </row>
    <row r="25" spans="1:108" ht="23.25" customHeight="1" x14ac:dyDescent="0.3">
      <c r="A25" s="369" t="s">
        <v>379</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row>
    <row r="26" spans="1:108" ht="28.5" customHeight="1" x14ac:dyDescent="0.3">
      <c r="A26" s="369" t="s">
        <v>378</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0"/>
      <c r="CY26" s="370"/>
      <c r="CZ26" s="370"/>
      <c r="DA26" s="370"/>
      <c r="DB26" s="370"/>
      <c r="DC26" s="370"/>
      <c r="DD26" s="370"/>
    </row>
    <row r="27" spans="1:108"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customHeight="1" x14ac:dyDescent="0.25">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row>
    <row r="32" spans="1:108" ht="37.5" customHeight="1" x14ac:dyDescent="0.25">
      <c r="A32" s="368" t="s">
        <v>259</v>
      </c>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row>
  </sheetData>
  <mergeCells count="41">
    <mergeCell ref="BZ6:DD6"/>
    <mergeCell ref="BE2:DD2"/>
    <mergeCell ref="BE3:DD3"/>
    <mergeCell ref="BE4:DD4"/>
    <mergeCell ref="BE5:BX5"/>
    <mergeCell ref="BZ5:DD5"/>
    <mergeCell ref="BE6:BX6"/>
    <mergeCell ref="CO24:DD24"/>
    <mergeCell ref="CB24:CN24"/>
    <mergeCell ref="A21:W21"/>
    <mergeCell ref="Y21:BR21"/>
    <mergeCell ref="A32:DD32"/>
    <mergeCell ref="A31:DD31"/>
    <mergeCell ref="A26:DD26"/>
    <mergeCell ref="A25:DD25"/>
    <mergeCell ref="BT21:CN21"/>
    <mergeCell ref="CB22:CN22"/>
    <mergeCell ref="CO21:DD21"/>
    <mergeCell ref="CB23:CN23"/>
    <mergeCell ref="CO22:DD22"/>
    <mergeCell ref="CO23:DD23"/>
    <mergeCell ref="A19:W19"/>
    <mergeCell ref="Y19:BR19"/>
    <mergeCell ref="CO19:DD19"/>
    <mergeCell ref="BT19:CN19"/>
    <mergeCell ref="CB20:CN20"/>
    <mergeCell ref="CO20:DD20"/>
    <mergeCell ref="A10:DD10"/>
    <mergeCell ref="CO17:DD17"/>
    <mergeCell ref="A11:DD11"/>
    <mergeCell ref="CO18:DD18"/>
    <mergeCell ref="AN13:AQ13"/>
    <mergeCell ref="AU13:BI13"/>
    <mergeCell ref="BJ13:BM13"/>
    <mergeCell ref="BN13:BP13"/>
    <mergeCell ref="CB18:CN18"/>
    <mergeCell ref="BH7:BK7"/>
    <mergeCell ref="BO7:CC7"/>
    <mergeCell ref="CD7:CG7"/>
    <mergeCell ref="CH7:CJ7"/>
    <mergeCell ref="A9:DD9"/>
  </mergeCells>
  <pageMargins left="0.70866141732283472" right="0.27559055118110237" top="0.41" bottom="0.39370078740157483" header="0.19685039370078741"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69"/>
  <sheetViews>
    <sheetView view="pageBreakPreview" zoomScale="70" zoomScaleNormal="96" zoomScaleSheetLayoutView="70" workbookViewId="0">
      <pane xSplit="5" ySplit="5" topLeftCell="G6" activePane="bottomRight" state="frozenSplit"/>
      <selection pane="topRight" activeCell="F1" sqref="F1"/>
      <selection pane="bottomLeft" activeCell="A19" sqref="A19"/>
      <selection pane="bottomRight" activeCell="G97" sqref="G97:G98"/>
    </sheetView>
  </sheetViews>
  <sheetFormatPr defaultColWidth="9.109375" defaultRowHeight="13.8" x14ac:dyDescent="0.25"/>
  <cols>
    <col min="1" max="1" width="32.5546875" style="81" customWidth="1"/>
    <col min="2" max="2" width="10.5546875" style="81" customWidth="1"/>
    <col min="3" max="3" width="10.88671875" style="80" customWidth="1"/>
    <col min="4" max="4" width="17.109375" style="80" hidden="1" customWidth="1"/>
    <col min="5" max="6" width="15.109375" style="80" hidden="1" customWidth="1"/>
    <col min="7" max="7" width="19" style="80" bestFit="1" customWidth="1"/>
    <col min="8" max="10" width="15.109375" style="80" customWidth="1"/>
    <col min="11" max="11" width="15.44140625" style="80" hidden="1" customWidth="1"/>
    <col min="12" max="18" width="16.33203125" style="80" hidden="1" customWidth="1"/>
    <col min="19" max="19" width="14.44140625" style="80" hidden="1" customWidth="1"/>
    <col min="20" max="21" width="14.6640625" style="80" hidden="1" customWidth="1"/>
    <col min="22" max="22" width="15" style="80" hidden="1" customWidth="1"/>
    <col min="23" max="23" width="13.33203125" style="80" hidden="1" customWidth="1"/>
    <col min="24" max="24" width="17.33203125" style="80" hidden="1" customWidth="1"/>
    <col min="25" max="26" width="9.109375" style="80" hidden="1" customWidth="1"/>
    <col min="27" max="27" width="15.88671875" style="256" hidden="1" customWidth="1"/>
    <col min="28" max="28" width="90" style="80" customWidth="1"/>
    <col min="29" max="16384" width="9.109375" style="80"/>
  </cols>
  <sheetData>
    <row r="1" spans="1:30" ht="16.2" customHeight="1" x14ac:dyDescent="0.25">
      <c r="A1" s="417" t="s">
        <v>110</v>
      </c>
      <c r="B1" s="417"/>
      <c r="C1" s="417"/>
      <c r="D1" s="417"/>
      <c r="E1" s="417"/>
      <c r="F1" s="417"/>
      <c r="G1" s="417"/>
      <c r="H1" s="417"/>
      <c r="I1" s="417"/>
      <c r="J1" s="417"/>
    </row>
    <row r="2" spans="1:30" ht="14.4" thickBot="1" x14ac:dyDescent="0.3">
      <c r="A2" s="257"/>
      <c r="B2" s="257"/>
      <c r="C2" s="258"/>
      <c r="D2" s="258"/>
      <c r="E2" s="258"/>
      <c r="F2" s="258"/>
      <c r="G2" s="258"/>
      <c r="H2" s="258"/>
      <c r="I2" s="258"/>
    </row>
    <row r="3" spans="1:30" ht="33" customHeight="1" thickBot="1" x14ac:dyDescent="0.3">
      <c r="A3" s="418" t="s">
        <v>0</v>
      </c>
      <c r="B3" s="418" t="s">
        <v>1</v>
      </c>
      <c r="C3" s="420" t="s">
        <v>260</v>
      </c>
      <c r="D3" s="422" t="s">
        <v>390</v>
      </c>
      <c r="E3" s="423"/>
      <c r="F3" s="423"/>
      <c r="G3" s="423"/>
      <c r="H3" s="423"/>
      <c r="I3" s="423"/>
      <c r="J3" s="424"/>
      <c r="K3" s="79" t="s">
        <v>391</v>
      </c>
    </row>
    <row r="4" spans="1:30" ht="60" customHeight="1" thickBot="1" x14ac:dyDescent="0.3">
      <c r="A4" s="419"/>
      <c r="B4" s="419"/>
      <c r="C4" s="421"/>
      <c r="D4" s="259" t="s">
        <v>393</v>
      </c>
      <c r="E4" s="259" t="s">
        <v>394</v>
      </c>
      <c r="F4" s="259" t="s">
        <v>1001</v>
      </c>
      <c r="G4" s="259" t="s">
        <v>940</v>
      </c>
      <c r="H4" s="259" t="s">
        <v>941</v>
      </c>
      <c r="I4" s="259" t="s">
        <v>942</v>
      </c>
      <c r="J4" s="259" t="s">
        <v>111</v>
      </c>
    </row>
    <row r="5" spans="1:30" ht="14.4" thickBot="1" x14ac:dyDescent="0.3">
      <c r="A5" s="137">
        <v>1</v>
      </c>
      <c r="B5" s="88">
        <v>2</v>
      </c>
      <c r="C5" s="87">
        <v>3</v>
      </c>
      <c r="D5" s="87">
        <v>4</v>
      </c>
      <c r="E5" s="87">
        <v>5</v>
      </c>
      <c r="F5" s="87">
        <v>5</v>
      </c>
      <c r="G5" s="87">
        <v>5</v>
      </c>
      <c r="H5" s="87">
        <v>6</v>
      </c>
      <c r="I5" s="87">
        <v>7</v>
      </c>
      <c r="J5" s="87">
        <v>8</v>
      </c>
      <c r="S5" s="260">
        <v>2018</v>
      </c>
      <c r="T5" s="260">
        <v>2019</v>
      </c>
      <c r="U5" s="260">
        <v>2020</v>
      </c>
      <c r="V5" s="260">
        <v>2021</v>
      </c>
      <c r="W5" s="260">
        <v>2022</v>
      </c>
      <c r="X5" s="260">
        <v>2023</v>
      </c>
    </row>
    <row r="6" spans="1:30" ht="36.75" customHeight="1" thickBot="1" x14ac:dyDescent="0.3">
      <c r="A6" s="261" t="s">
        <v>311</v>
      </c>
      <c r="B6" s="262" t="s">
        <v>340</v>
      </c>
      <c r="C6" s="87" t="s">
        <v>112</v>
      </c>
      <c r="D6" s="263">
        <f>D7+D9+D10</f>
        <v>616125.39</v>
      </c>
      <c r="E6" s="263">
        <f>E7+E9+E10</f>
        <v>7487922.4500000002</v>
      </c>
      <c r="F6" s="77">
        <f>SUM('[1] расходов 2023'!CH883:CY883)</f>
        <v>8876391.8300000001</v>
      </c>
      <c r="G6" s="77">
        <f>SUM(' расходов 2024'!CI946:CZ946)</f>
        <v>10361565.619999999</v>
      </c>
      <c r="H6" s="263">
        <f t="shared" ref="H6:I6" si="0">H7+H9+H10</f>
        <v>0</v>
      </c>
      <c r="I6" s="263">
        <f t="shared" si="0"/>
        <v>0</v>
      </c>
      <c r="J6" s="196"/>
      <c r="N6" s="82">
        <v>6799937.1200000001</v>
      </c>
      <c r="O6" s="82">
        <v>4554076.49</v>
      </c>
      <c r="P6" s="82">
        <v>0</v>
      </c>
      <c r="Q6" s="82">
        <v>0</v>
      </c>
      <c r="S6" s="82">
        <f>D6-D10</f>
        <v>0</v>
      </c>
      <c r="T6" s="82">
        <f>E6-E10</f>
        <v>4549555.6900000004</v>
      </c>
      <c r="U6" s="82">
        <f>F6-F10</f>
        <v>5131051.76</v>
      </c>
      <c r="V6" s="82">
        <f>G6-G10-G9</f>
        <v>0</v>
      </c>
      <c r="W6" s="82">
        <f>H6-H10</f>
        <v>0</v>
      </c>
      <c r="X6" s="82">
        <f>I6-I10</f>
        <v>0</v>
      </c>
      <c r="AA6" s="264">
        <f>G7+G9+G10</f>
        <v>10361565.619999999</v>
      </c>
    </row>
    <row r="7" spans="1:30" x14ac:dyDescent="0.25">
      <c r="A7" s="254" t="s">
        <v>3</v>
      </c>
      <c r="B7" s="387"/>
      <c r="C7" s="385"/>
      <c r="D7" s="383">
        <v>0</v>
      </c>
      <c r="E7" s="383">
        <v>0</v>
      </c>
      <c r="F7" s="389">
        <v>0</v>
      </c>
      <c r="G7" s="389">
        <v>0</v>
      </c>
      <c r="H7" s="383">
        <v>0</v>
      </c>
      <c r="I7" s="383">
        <v>0</v>
      </c>
      <c r="J7" s="385"/>
      <c r="N7" s="82">
        <v>0</v>
      </c>
      <c r="O7" s="82">
        <v>0</v>
      </c>
      <c r="P7" s="82">
        <v>0</v>
      </c>
      <c r="Q7" s="82">
        <v>0</v>
      </c>
      <c r="AA7" s="377"/>
    </row>
    <row r="8" spans="1:30" ht="22.5" customHeight="1" thickBot="1" x14ac:dyDescent="0.3">
      <c r="A8" s="131" t="s">
        <v>113</v>
      </c>
      <c r="B8" s="388"/>
      <c r="C8" s="386"/>
      <c r="D8" s="384"/>
      <c r="E8" s="384"/>
      <c r="F8" s="390"/>
      <c r="G8" s="390"/>
      <c r="H8" s="384"/>
      <c r="I8" s="384"/>
      <c r="J8" s="386"/>
      <c r="N8" s="82">
        <v>0</v>
      </c>
      <c r="O8" s="82">
        <v>0</v>
      </c>
      <c r="P8" s="82">
        <v>0</v>
      </c>
      <c r="Q8" s="82">
        <v>0</v>
      </c>
      <c r="AA8" s="378"/>
    </row>
    <row r="9" spans="1:30" ht="17.25" customHeight="1" thickBot="1" x14ac:dyDescent="0.3">
      <c r="A9" s="131" t="s">
        <v>114</v>
      </c>
      <c r="B9" s="115"/>
      <c r="C9" s="196"/>
      <c r="D9" s="263">
        <v>0</v>
      </c>
      <c r="E9" s="263">
        <v>4549555.6900000004</v>
      </c>
      <c r="F9" s="77">
        <f>SUM('[1] расходов 2023'!BB883:BQ883)</f>
        <v>5131051.76</v>
      </c>
      <c r="G9" s="77">
        <f>SUM(' расходов 2024'!BC946:BR946)</f>
        <v>6535873.2699999996</v>
      </c>
      <c r="H9" s="263">
        <v>0</v>
      </c>
      <c r="I9" s="263">
        <v>0</v>
      </c>
      <c r="J9" s="196"/>
      <c r="N9" s="82">
        <v>4549555.6900000004</v>
      </c>
      <c r="O9" s="82">
        <v>2776187.3999999994</v>
      </c>
      <c r="P9" s="82">
        <v>0</v>
      </c>
      <c r="Q9" s="82">
        <v>0</v>
      </c>
      <c r="AA9" s="266"/>
    </row>
    <row r="10" spans="1:30" ht="19.5" customHeight="1" thickBot="1" x14ac:dyDescent="0.3">
      <c r="A10" s="131" t="s">
        <v>115</v>
      </c>
      <c r="B10" s="115"/>
      <c r="C10" s="196"/>
      <c r="D10" s="263">
        <v>616125.39</v>
      </c>
      <c r="E10" s="263">
        <v>2938366.76</v>
      </c>
      <c r="F10" s="77">
        <f>SUM('[1] расходов 2023'!BR883:CG883)</f>
        <v>3745340.07</v>
      </c>
      <c r="G10" s="77">
        <f>SUM(' расходов 2024'!BS946:CH946)</f>
        <v>3825692.35</v>
      </c>
      <c r="H10" s="263">
        <v>0</v>
      </c>
      <c r="I10" s="263">
        <v>0</v>
      </c>
      <c r="J10" s="267"/>
      <c r="K10" s="268">
        <v>687985.33</v>
      </c>
      <c r="N10" s="82">
        <v>2250381.4299999997</v>
      </c>
      <c r="O10" s="82">
        <v>1777889.0899999999</v>
      </c>
      <c r="P10" s="82">
        <v>0</v>
      </c>
      <c r="Q10" s="82">
        <v>0</v>
      </c>
    </row>
    <row r="11" spans="1:30" ht="36" customHeight="1" thickBot="1" x14ac:dyDescent="0.3">
      <c r="A11" s="261" t="s">
        <v>312</v>
      </c>
      <c r="B11" s="262" t="s">
        <v>341</v>
      </c>
      <c r="C11" s="87" t="s">
        <v>112</v>
      </c>
      <c r="D11" s="263">
        <f>D12+D14+D15</f>
        <v>687985.33</v>
      </c>
      <c r="E11" s="263">
        <f t="shared" ref="E11:F11" si="1">E12+E14+E15</f>
        <v>0</v>
      </c>
      <c r="F11" s="77">
        <f t="shared" si="1"/>
        <v>0</v>
      </c>
      <c r="G11" s="77">
        <f t="shared" ref="G11:I11" si="2">G12+G14+G15</f>
        <v>0</v>
      </c>
      <c r="H11" s="263">
        <f t="shared" si="2"/>
        <v>0</v>
      </c>
      <c r="I11" s="263">
        <f t="shared" si="2"/>
        <v>0</v>
      </c>
      <c r="J11" s="196"/>
      <c r="K11" s="86">
        <f>K14+L14+K15</f>
        <v>4322315.34</v>
      </c>
      <c r="M11" s="82"/>
      <c r="N11" s="82">
        <v>-4460298.4700000007</v>
      </c>
      <c r="O11" s="82">
        <v>0</v>
      </c>
      <c r="P11" s="82">
        <v>0</v>
      </c>
      <c r="Q11" s="82">
        <v>0</v>
      </c>
      <c r="R11" s="82"/>
      <c r="S11" s="82">
        <f t="shared" ref="S11:X11" si="3">D6+D16-D82+D176-D181+D75-D11</f>
        <v>-1.7462298274040222E-9</v>
      </c>
      <c r="T11" s="82">
        <f t="shared" si="3"/>
        <v>8876391.830000028</v>
      </c>
      <c r="U11" s="82">
        <f t="shared" si="3"/>
        <v>-7.1999430656433105E-4</v>
      </c>
      <c r="V11" s="82">
        <f t="shared" si="3"/>
        <v>29236.793740012654</v>
      </c>
      <c r="W11" s="82">
        <f t="shared" si="3"/>
        <v>1.5399754047393799E-3</v>
      </c>
      <c r="X11" s="82">
        <f t="shared" si="3"/>
        <v>-4.5999884605407715E-4</v>
      </c>
    </row>
    <row r="12" spans="1:30" x14ac:dyDescent="0.25">
      <c r="A12" s="254" t="s">
        <v>3</v>
      </c>
      <c r="B12" s="387"/>
      <c r="C12" s="385"/>
      <c r="D12" s="383">
        <v>0</v>
      </c>
      <c r="E12" s="383">
        <v>0</v>
      </c>
      <c r="F12" s="389">
        <v>0</v>
      </c>
      <c r="G12" s="389">
        <v>0</v>
      </c>
      <c r="H12" s="383">
        <v>0</v>
      </c>
      <c r="I12" s="383">
        <v>0</v>
      </c>
      <c r="J12" s="385"/>
      <c r="K12" s="80">
        <f>K14+K15</f>
        <v>3178209.56</v>
      </c>
      <c r="M12" s="82"/>
      <c r="N12" s="82">
        <v>0</v>
      </c>
      <c r="O12" s="82">
        <v>0</v>
      </c>
      <c r="P12" s="82">
        <v>0</v>
      </c>
      <c r="Q12" s="82">
        <v>0</v>
      </c>
      <c r="R12" s="82"/>
      <c r="S12" s="82">
        <f t="shared" ref="S12:X12" si="4">D7+D17+D77-D83-D184-D12</f>
        <v>0</v>
      </c>
      <c r="T12" s="82">
        <f t="shared" si="4"/>
        <v>0</v>
      </c>
      <c r="U12" s="82">
        <f t="shared" si="4"/>
        <v>0</v>
      </c>
      <c r="V12" s="82">
        <f t="shared" si="4"/>
        <v>0</v>
      </c>
      <c r="W12" s="82">
        <f t="shared" si="4"/>
        <v>0</v>
      </c>
      <c r="X12" s="82">
        <f t="shared" si="4"/>
        <v>0</v>
      </c>
      <c r="AA12" s="377"/>
    </row>
    <row r="13" spans="1:30" ht="17.25" customHeight="1" thickBot="1" x14ac:dyDescent="0.3">
      <c r="A13" s="131" t="s">
        <v>113</v>
      </c>
      <c r="B13" s="388"/>
      <c r="C13" s="386"/>
      <c r="D13" s="384"/>
      <c r="E13" s="384"/>
      <c r="F13" s="390"/>
      <c r="G13" s="390"/>
      <c r="H13" s="384"/>
      <c r="I13" s="384"/>
      <c r="J13" s="386"/>
      <c r="K13" s="269" t="s">
        <v>395</v>
      </c>
      <c r="L13" s="270" t="s">
        <v>396</v>
      </c>
      <c r="M13" s="82"/>
      <c r="N13" s="82">
        <v>0</v>
      </c>
      <c r="O13" s="82">
        <v>0</v>
      </c>
      <c r="P13" s="82">
        <v>0</v>
      </c>
      <c r="Q13" s="82">
        <v>0</v>
      </c>
      <c r="R13" s="82"/>
      <c r="S13" s="82">
        <f>D9+D19+D78-D85-D186-D14</f>
        <v>0</v>
      </c>
      <c r="T13" s="82">
        <f>E9+E19+E78-E85-E186-E14</f>
        <v>5131051.7599999905</v>
      </c>
      <c r="U13" s="82">
        <f>F9+F19+F78-F85-F186-F14</f>
        <v>2.3495924469898455E-3</v>
      </c>
      <c r="V13" s="82" t="e">
        <f>G9+G19+G78-#REF!-G186-G14-G181</f>
        <v>#REF!</v>
      </c>
      <c r="W13" s="82">
        <f>H9+H19+H78-H85-H186-H14</f>
        <v>0</v>
      </c>
      <c r="X13" s="82">
        <f>I9+I19+I78-I85-I186-I14</f>
        <v>0</v>
      </c>
      <c r="AA13" s="378"/>
    </row>
    <row r="14" spans="1:30" ht="18" customHeight="1" thickBot="1" x14ac:dyDescent="0.3">
      <c r="A14" s="131" t="s">
        <v>114</v>
      </c>
      <c r="B14" s="115"/>
      <c r="C14" s="196"/>
      <c r="D14" s="263">
        <v>0</v>
      </c>
      <c r="E14" s="263">
        <v>0</v>
      </c>
      <c r="F14" s="77">
        <v>0</v>
      </c>
      <c r="G14" s="77">
        <v>0</v>
      </c>
      <c r="H14" s="263">
        <v>0</v>
      </c>
      <c r="I14" s="263">
        <v>0</v>
      </c>
      <c r="J14" s="267"/>
      <c r="K14" s="83">
        <v>1210758.58</v>
      </c>
      <c r="L14" s="271">
        <v>1144105.78</v>
      </c>
      <c r="M14" s="82"/>
      <c r="N14" s="82">
        <v>-2492847.4900000002</v>
      </c>
      <c r="O14" s="82">
        <v>0</v>
      </c>
      <c r="P14" s="82">
        <v>0</v>
      </c>
      <c r="Q14" s="82">
        <v>0</v>
      </c>
      <c r="R14" s="82"/>
      <c r="S14" s="82">
        <f t="shared" ref="S14:X14" si="5">D10+D20+D79-D86+D180-D15</f>
        <v>3868.0000000001164</v>
      </c>
      <c r="T14" s="82">
        <f t="shared" si="5"/>
        <v>3745340.0699999984</v>
      </c>
      <c r="U14" s="82">
        <f t="shared" si="5"/>
        <v>8.5999816656112671E-4</v>
      </c>
      <c r="V14" s="82">
        <f t="shared" si="5"/>
        <v>-2.3400001227855682E-3</v>
      </c>
      <c r="W14" s="82">
        <f t="shared" si="5"/>
        <v>0</v>
      </c>
      <c r="X14" s="82">
        <f t="shared" si="5"/>
        <v>0</v>
      </c>
    </row>
    <row r="15" spans="1:30" ht="16.5" customHeight="1" thickBot="1" x14ac:dyDescent="0.3">
      <c r="A15" s="131" t="s">
        <v>115</v>
      </c>
      <c r="B15" s="115"/>
      <c r="C15" s="196"/>
      <c r="D15" s="263">
        <v>687985.33</v>
      </c>
      <c r="E15" s="263">
        <v>0</v>
      </c>
      <c r="F15" s="77">
        <v>0</v>
      </c>
      <c r="G15" s="77">
        <v>0</v>
      </c>
      <c r="H15" s="263">
        <v>0</v>
      </c>
      <c r="I15" s="263">
        <v>0</v>
      </c>
      <c r="J15" s="267"/>
      <c r="K15" s="94">
        <v>1967450.98</v>
      </c>
      <c r="L15" s="95"/>
      <c r="N15" s="82">
        <v>-1967450.98</v>
      </c>
      <c r="O15" s="82">
        <v>0</v>
      </c>
      <c r="P15" s="82">
        <v>0</v>
      </c>
      <c r="Q15" s="82">
        <v>0</v>
      </c>
      <c r="S15" s="82">
        <f>D11-D15</f>
        <v>0</v>
      </c>
      <c r="T15" s="82">
        <f>E11-E15</f>
        <v>0</v>
      </c>
      <c r="U15" s="82">
        <f>F11-F15-F14</f>
        <v>0</v>
      </c>
      <c r="V15" s="82">
        <f>G11-G15</f>
        <v>0</v>
      </c>
      <c r="W15" s="82">
        <f>H11-H15</f>
        <v>0</v>
      </c>
      <c r="X15" s="82">
        <f>I11-I15</f>
        <v>0</v>
      </c>
    </row>
    <row r="16" spans="1:30" s="260" customFormat="1" ht="15.75" customHeight="1" thickBot="1" x14ac:dyDescent="0.3">
      <c r="A16" s="272" t="s">
        <v>116</v>
      </c>
      <c r="B16" s="122">
        <v>1000</v>
      </c>
      <c r="C16" s="273"/>
      <c r="D16" s="274">
        <f t="shared" ref="D16" si="6">D27+D42+D48+D59+D68</f>
        <v>100786530.68000001</v>
      </c>
      <c r="E16" s="274">
        <f>E27+E42+E48+E59+E68</f>
        <v>125328461.86000001</v>
      </c>
      <c r="F16" s="275">
        <f>SUM('[1] доходов 2023'!CC140:CR140)</f>
        <v>143694064.22</v>
      </c>
      <c r="G16" s="275">
        <f>SUM(' доходов 2024'!CD142:CS142)</f>
        <v>167014640.78999999</v>
      </c>
      <c r="H16" s="274">
        <f>H27+H42+H48+H59+H68</f>
        <v>134901700</v>
      </c>
      <c r="I16" s="274">
        <f t="shared" ref="I16" si="7">I27+I42+I48+I59+I68</f>
        <v>137757600</v>
      </c>
      <c r="J16" s="273"/>
      <c r="N16" s="82">
        <v>20070600.220000014</v>
      </c>
      <c r="O16" s="276">
        <v>34456978</v>
      </c>
      <c r="P16" s="82">
        <v>14532100</v>
      </c>
      <c r="Q16" s="82">
        <v>12149800</v>
      </c>
      <c r="S16" s="277">
        <f t="shared" ref="S16:X16" si="8">D16-D17-D19-D20</f>
        <v>0</v>
      </c>
      <c r="T16" s="277">
        <f t="shared" si="8"/>
        <v>2.2351741790771484E-8</v>
      </c>
      <c r="U16" s="277">
        <f t="shared" si="8"/>
        <v>0</v>
      </c>
      <c r="V16" s="277">
        <f t="shared" si="8"/>
        <v>0</v>
      </c>
      <c r="W16" s="278">
        <f t="shared" si="8"/>
        <v>0</v>
      </c>
      <c r="X16" s="279">
        <f t="shared" si="8"/>
        <v>0</v>
      </c>
      <c r="AA16" s="280">
        <f>G27+G42+G48+G59+G68</f>
        <v>166985404</v>
      </c>
      <c r="AB16" s="277"/>
      <c r="AC16" s="277"/>
      <c r="AD16" s="277"/>
    </row>
    <row r="17" spans="1:30" ht="17.25" customHeight="1" x14ac:dyDescent="0.25">
      <c r="A17" s="254" t="s">
        <v>3</v>
      </c>
      <c r="B17" s="387"/>
      <c r="C17" s="385"/>
      <c r="D17" s="383">
        <f>D28+D43+D49+D60+D72</f>
        <v>2484300</v>
      </c>
      <c r="E17" s="383">
        <f>E49</f>
        <v>0</v>
      </c>
      <c r="F17" s="389">
        <f>F49</f>
        <v>0</v>
      </c>
      <c r="G17" s="389">
        <f>G49</f>
        <v>0</v>
      </c>
      <c r="H17" s="383"/>
      <c r="I17" s="383"/>
      <c r="J17" s="385"/>
      <c r="N17" s="82">
        <v>-1047551.94</v>
      </c>
      <c r="O17" s="82">
        <v>-361563.6</v>
      </c>
      <c r="P17" s="82">
        <v>0</v>
      </c>
      <c r="Q17" s="82">
        <v>0</v>
      </c>
      <c r="S17" s="82">
        <f t="shared" ref="S17:X17" si="9">D16-D21-D27-D42-D48-D59-D68</f>
        <v>2.7939677238464355E-9</v>
      </c>
      <c r="T17" s="82">
        <f t="shared" si="9"/>
        <v>1.1175870895385742E-8</v>
      </c>
      <c r="U17" s="82">
        <f t="shared" si="9"/>
        <v>-7.4505805969238281E-9</v>
      </c>
      <c r="V17" s="82">
        <f t="shared" si="9"/>
        <v>29236.789999991655</v>
      </c>
      <c r="W17" s="82">
        <f t="shared" si="9"/>
        <v>0</v>
      </c>
      <c r="X17" s="82">
        <f t="shared" si="9"/>
        <v>0</v>
      </c>
      <c r="AA17" s="377"/>
      <c r="AB17" s="277"/>
      <c r="AC17" s="277"/>
      <c r="AD17" s="277"/>
    </row>
    <row r="18" spans="1:30" ht="17.25" customHeight="1" thickBot="1" x14ac:dyDescent="0.3">
      <c r="A18" s="131" t="s">
        <v>113</v>
      </c>
      <c r="B18" s="388"/>
      <c r="C18" s="386"/>
      <c r="D18" s="384"/>
      <c r="E18" s="384"/>
      <c r="F18" s="390"/>
      <c r="G18" s="390"/>
      <c r="H18" s="384"/>
      <c r="I18" s="384"/>
      <c r="J18" s="386"/>
      <c r="N18" s="82">
        <v>0</v>
      </c>
      <c r="O18" s="82">
        <v>0</v>
      </c>
      <c r="P18" s="82">
        <v>0</v>
      </c>
      <c r="Q18" s="82">
        <v>0</v>
      </c>
      <c r="S18" s="82">
        <f>D17-D28-D43-D60-D72</f>
        <v>0</v>
      </c>
      <c r="T18" s="82">
        <f>E17-E28-E43-E60-E72</f>
        <v>0</v>
      </c>
      <c r="U18" s="82">
        <f>F17-F28-F43-F49-F60-F72</f>
        <v>0</v>
      </c>
      <c r="V18" s="82">
        <f>G17-G28-G43-G49-G60-G72</f>
        <v>0</v>
      </c>
      <c r="W18" s="82">
        <f>H17-H28-H43-H60-H72</f>
        <v>0</v>
      </c>
      <c r="X18" s="82">
        <f>I17-I28-I43-I60-I72</f>
        <v>0</v>
      </c>
      <c r="AA18" s="378"/>
      <c r="AB18" s="277"/>
      <c r="AC18" s="277"/>
      <c r="AD18" s="277"/>
    </row>
    <row r="19" spans="1:30" ht="18.75" customHeight="1" thickBot="1" x14ac:dyDescent="0.3">
      <c r="A19" s="131" t="s">
        <v>114</v>
      </c>
      <c r="B19" s="115"/>
      <c r="C19" s="196"/>
      <c r="D19" s="263">
        <f>D29+D44+D50+D61+D73</f>
        <v>86531109.930000007</v>
      </c>
      <c r="E19" s="263">
        <f>E29+E44+E50+E73</f>
        <v>111898371.81999999</v>
      </c>
      <c r="F19" s="77">
        <f>SUM('[1] доходов 2023'!AU26:CR26)+SUM('[1] доходов 2023'!AU90:CR90)</f>
        <v>128271912</v>
      </c>
      <c r="G19" s="77">
        <f>SUM(' доходов 2024'!AV26:CS26)+SUM(' доходов 2024'!AV91:CS91)</f>
        <v>154041604</v>
      </c>
      <c r="H19" s="77">
        <f t="shared" ref="H19:I20" si="10">H29+H44+H50+H73</f>
        <v>122067100</v>
      </c>
      <c r="I19" s="77">
        <f t="shared" si="10"/>
        <v>124423000</v>
      </c>
      <c r="J19" s="196"/>
      <c r="N19" s="82">
        <v>19374923.269999996</v>
      </c>
      <c r="O19" s="276">
        <v>33991741.599999994</v>
      </c>
      <c r="P19" s="82">
        <v>13909000</v>
      </c>
      <c r="Q19" s="82">
        <v>11597700</v>
      </c>
      <c r="S19" s="82">
        <f t="shared" ref="S19:X20" si="11">D19-D29-D44-D50-D61-D73</f>
        <v>6.9849193096160889E-9</v>
      </c>
      <c r="T19" s="82">
        <f t="shared" si="11"/>
        <v>-7.4505805969238281E-9</v>
      </c>
      <c r="U19" s="82">
        <f t="shared" si="11"/>
        <v>0</v>
      </c>
      <c r="V19" s="82">
        <f t="shared" si="11"/>
        <v>0</v>
      </c>
      <c r="W19" s="82">
        <f t="shared" si="11"/>
        <v>0</v>
      </c>
      <c r="X19" s="82">
        <f t="shared" si="11"/>
        <v>0</v>
      </c>
      <c r="AA19" s="264">
        <f>G29+G44+G50+G73</f>
        <v>154041604</v>
      </c>
      <c r="AB19" s="277"/>
      <c r="AC19" s="277"/>
      <c r="AD19" s="277"/>
    </row>
    <row r="20" spans="1:30" ht="17.25" customHeight="1" thickBot="1" x14ac:dyDescent="0.3">
      <c r="A20" s="131" t="s">
        <v>115</v>
      </c>
      <c r="B20" s="115"/>
      <c r="C20" s="196"/>
      <c r="D20" s="263">
        <f>D30+D45+D51+D62+D74</f>
        <v>11771120.75</v>
      </c>
      <c r="E20" s="263">
        <f>E30+E45+E51+E74+E68</f>
        <v>13430090.039999999</v>
      </c>
      <c r="F20" s="77">
        <f>SUM('[1] доходов 2023'!BV35:CR35)+SUM('[1] доходов 2023'!CC43:CR43)+SUM('[1] доходов 2023'!CC61:CR61)+SUM('[1] доходов 2023'!CC72:CR72)</f>
        <v>15422152.219999999</v>
      </c>
      <c r="G20" s="77">
        <f>SUM(' доходов 2024'!BW35:CS35)+SUM(' доходов 2024'!CD43:CS43)+SUM(' доходов 2024'!CD61:CS61)+SUM(' доходов 2024'!CD72:CS72)+SUM(' доходов 2024'!AV124:CS124)</f>
        <v>12973036.789999999</v>
      </c>
      <c r="H20" s="77">
        <f t="shared" si="10"/>
        <v>12834600</v>
      </c>
      <c r="I20" s="263">
        <f>I30+I45+I51+I74</f>
        <v>13334600</v>
      </c>
      <c r="J20" s="196"/>
      <c r="K20" s="82">
        <f>G51+G68+G37</f>
        <v>12843800</v>
      </c>
      <c r="N20" s="82">
        <v>1743228.8899999987</v>
      </c>
      <c r="O20" s="276">
        <v>826800</v>
      </c>
      <c r="P20" s="82">
        <v>623100</v>
      </c>
      <c r="Q20" s="82">
        <v>552100</v>
      </c>
      <c r="S20" s="82">
        <f t="shared" si="11"/>
        <v>8.149072527885437E-10</v>
      </c>
      <c r="T20" s="82">
        <f t="shared" si="11"/>
        <v>699.9999999992433</v>
      </c>
      <c r="U20" s="82">
        <f t="shared" si="11"/>
        <v>-8.7311491370201111E-10</v>
      </c>
      <c r="V20" s="82">
        <f t="shared" si="11"/>
        <v>29236.789999999106</v>
      </c>
      <c r="W20" s="82">
        <f t="shared" si="11"/>
        <v>0</v>
      </c>
      <c r="X20" s="82">
        <f t="shared" si="11"/>
        <v>0</v>
      </c>
      <c r="AA20" s="264">
        <f>G30+G45+G51+G74+G68</f>
        <v>12943800</v>
      </c>
      <c r="AB20" s="277"/>
      <c r="AC20" s="277"/>
      <c r="AD20" s="277"/>
    </row>
    <row r="21" spans="1:30" x14ac:dyDescent="0.25">
      <c r="A21" s="254" t="s">
        <v>3</v>
      </c>
      <c r="B21" s="391">
        <v>1100</v>
      </c>
      <c r="C21" s="393">
        <v>120</v>
      </c>
      <c r="D21" s="383">
        <v>0</v>
      </c>
      <c r="E21" s="383">
        <v>0</v>
      </c>
      <c r="F21" s="389">
        <v>0</v>
      </c>
      <c r="G21" s="389">
        <v>0</v>
      </c>
      <c r="H21" s="383">
        <v>0</v>
      </c>
      <c r="I21" s="383">
        <v>0</v>
      </c>
      <c r="J21" s="385"/>
      <c r="N21" s="82">
        <v>0</v>
      </c>
      <c r="O21" s="82">
        <v>0</v>
      </c>
      <c r="P21" s="82">
        <v>0</v>
      </c>
      <c r="Q21" s="82">
        <v>0</v>
      </c>
      <c r="AA21" s="377"/>
      <c r="AB21" s="277"/>
      <c r="AC21" s="277"/>
      <c r="AD21" s="277"/>
    </row>
    <row r="22" spans="1:30" ht="15.75" customHeight="1" thickBot="1" x14ac:dyDescent="0.3">
      <c r="A22" s="272" t="s">
        <v>117</v>
      </c>
      <c r="B22" s="392"/>
      <c r="C22" s="394"/>
      <c r="D22" s="384"/>
      <c r="E22" s="384"/>
      <c r="F22" s="390"/>
      <c r="G22" s="390"/>
      <c r="H22" s="384"/>
      <c r="I22" s="384"/>
      <c r="J22" s="386"/>
      <c r="N22" s="82">
        <v>0</v>
      </c>
      <c r="O22" s="82">
        <v>0</v>
      </c>
      <c r="P22" s="82">
        <v>0</v>
      </c>
      <c r="Q22" s="82">
        <v>0</v>
      </c>
      <c r="AA22" s="378"/>
      <c r="AB22" s="277"/>
      <c r="AC22" s="277"/>
      <c r="AD22" s="277"/>
    </row>
    <row r="23" spans="1:30" ht="14.4" thickBot="1" x14ac:dyDescent="0.3">
      <c r="A23" s="131" t="s">
        <v>113</v>
      </c>
      <c r="B23" s="115"/>
      <c r="C23" s="196"/>
      <c r="D23" s="263">
        <v>0</v>
      </c>
      <c r="E23" s="263">
        <v>0</v>
      </c>
      <c r="F23" s="77">
        <v>0</v>
      </c>
      <c r="G23" s="77">
        <v>0</v>
      </c>
      <c r="H23" s="263">
        <v>0</v>
      </c>
      <c r="I23" s="263">
        <v>0</v>
      </c>
      <c r="J23" s="196"/>
      <c r="K23" s="82"/>
      <c r="N23" s="82">
        <v>0</v>
      </c>
      <c r="O23" s="82">
        <v>0</v>
      </c>
      <c r="P23" s="82">
        <v>0</v>
      </c>
      <c r="Q23" s="82">
        <v>0</v>
      </c>
      <c r="AB23" s="277"/>
      <c r="AC23" s="277"/>
      <c r="AD23" s="277"/>
    </row>
    <row r="24" spans="1:30" ht="14.4" thickBot="1" x14ac:dyDescent="0.3">
      <c r="A24" s="131" t="s">
        <v>114</v>
      </c>
      <c r="B24" s="115"/>
      <c r="C24" s="196"/>
      <c r="D24" s="263">
        <v>0</v>
      </c>
      <c r="E24" s="263">
        <v>0</v>
      </c>
      <c r="F24" s="77">
        <v>0</v>
      </c>
      <c r="G24" s="77">
        <v>0</v>
      </c>
      <c r="H24" s="263">
        <v>0</v>
      </c>
      <c r="I24" s="263">
        <v>0</v>
      </c>
      <c r="J24" s="196"/>
      <c r="N24" s="82">
        <v>0</v>
      </c>
      <c r="O24" s="82">
        <v>0</v>
      </c>
      <c r="P24" s="82">
        <v>0</v>
      </c>
      <c r="Q24" s="82">
        <v>0</v>
      </c>
      <c r="AB24" s="277"/>
      <c r="AC24" s="277"/>
      <c r="AD24" s="277"/>
    </row>
    <row r="25" spans="1:30" ht="14.4" thickBot="1" x14ac:dyDescent="0.3">
      <c r="A25" s="131" t="s">
        <v>115</v>
      </c>
      <c r="B25" s="115"/>
      <c r="C25" s="196"/>
      <c r="D25" s="263">
        <v>0</v>
      </c>
      <c r="E25" s="263">
        <v>0</v>
      </c>
      <c r="F25" s="77">
        <v>0</v>
      </c>
      <c r="G25" s="77">
        <v>0</v>
      </c>
      <c r="H25" s="263">
        <v>0</v>
      </c>
      <c r="I25" s="263">
        <v>0</v>
      </c>
      <c r="J25" s="196"/>
      <c r="N25" s="82">
        <v>0</v>
      </c>
      <c r="O25" s="82">
        <v>0</v>
      </c>
      <c r="P25" s="82">
        <v>0</v>
      </c>
      <c r="Q25" s="82">
        <v>0</v>
      </c>
      <c r="AB25" s="277"/>
      <c r="AC25" s="277"/>
      <c r="AD25" s="277"/>
    </row>
    <row r="26" spans="1:30" ht="14.4" thickBot="1" x14ac:dyDescent="0.3">
      <c r="A26" s="131" t="s">
        <v>3</v>
      </c>
      <c r="B26" s="88">
        <v>1110</v>
      </c>
      <c r="C26" s="196"/>
      <c r="D26" s="263">
        <v>0</v>
      </c>
      <c r="E26" s="263">
        <v>0</v>
      </c>
      <c r="F26" s="77">
        <v>0</v>
      </c>
      <c r="G26" s="77">
        <v>0</v>
      </c>
      <c r="H26" s="263">
        <v>0</v>
      </c>
      <c r="I26" s="263">
        <v>0</v>
      </c>
      <c r="J26" s="196"/>
      <c r="N26" s="82">
        <v>0</v>
      </c>
      <c r="O26" s="82">
        <v>0</v>
      </c>
      <c r="P26" s="82">
        <v>0</v>
      </c>
      <c r="Q26" s="82">
        <v>0</v>
      </c>
      <c r="AB26" s="277"/>
      <c r="AC26" s="277"/>
      <c r="AD26" s="277"/>
    </row>
    <row r="27" spans="1:30" ht="48" customHeight="1" thickBot="1" x14ac:dyDescent="0.3">
      <c r="A27" s="272" t="s">
        <v>118</v>
      </c>
      <c r="B27" s="88">
        <v>1200</v>
      </c>
      <c r="C27" s="87">
        <v>130</v>
      </c>
      <c r="D27" s="274">
        <f>D28+D29+D30</f>
        <v>95822092.370000005</v>
      </c>
      <c r="E27" s="274">
        <f>E28+E29+E30</f>
        <v>115368280.34</v>
      </c>
      <c r="F27" s="281">
        <f>SUM('[1] доходов 2023'!AU26:CR26)+SUM('[1] доходов 2023'!BV35:CR35)+SUM('[1] доходов 2023'!CC43:CR43)</f>
        <v>122655668.43000001</v>
      </c>
      <c r="G27" s="281">
        <f>SUM(' доходов 2024'!AV26:CS26)+SUM(' доходов 2024'!BW35:CS35)+SUM(' доходов 2024'!CD43:CS43)</f>
        <v>133412300</v>
      </c>
      <c r="H27" s="274">
        <f t="shared" ref="H27" si="12">H28+H29+H30</f>
        <v>134901700</v>
      </c>
      <c r="I27" s="274">
        <f>I28+I29+I30</f>
        <v>137757600</v>
      </c>
      <c r="J27" s="196"/>
      <c r="K27" s="82"/>
      <c r="N27" s="82">
        <v>18318585.189999998</v>
      </c>
      <c r="O27" s="82">
        <v>18646600</v>
      </c>
      <c r="P27" s="82">
        <v>14532100</v>
      </c>
      <c r="Q27" s="82">
        <v>12149800</v>
      </c>
      <c r="S27" s="82">
        <f t="shared" ref="S27:X27" si="13">D27-D29-D30</f>
        <v>0</v>
      </c>
      <c r="T27" s="82">
        <f t="shared" si="13"/>
        <v>0</v>
      </c>
      <c r="U27" s="82">
        <f t="shared" si="13"/>
        <v>0</v>
      </c>
      <c r="V27" s="82">
        <f t="shared" si="13"/>
        <v>0</v>
      </c>
      <c r="W27" s="82">
        <f t="shared" si="13"/>
        <v>0</v>
      </c>
      <c r="X27" s="82">
        <f t="shared" si="13"/>
        <v>0</v>
      </c>
      <c r="AA27" s="264">
        <f>G28+G29+G30</f>
        <v>133412300</v>
      </c>
      <c r="AB27" s="277"/>
      <c r="AC27" s="277"/>
      <c r="AD27" s="277"/>
    </row>
    <row r="28" spans="1:30" ht="14.4" thickBot="1" x14ac:dyDescent="0.3">
      <c r="A28" s="131" t="s">
        <v>113</v>
      </c>
      <c r="B28" s="115"/>
      <c r="C28" s="196"/>
      <c r="D28" s="263">
        <v>0</v>
      </c>
      <c r="E28" s="263">
        <v>0</v>
      </c>
      <c r="F28" s="77">
        <v>0</v>
      </c>
      <c r="G28" s="77">
        <v>0</v>
      </c>
      <c r="H28" s="263">
        <v>0</v>
      </c>
      <c r="I28" s="263">
        <v>0</v>
      </c>
      <c r="J28" s="196"/>
      <c r="N28" s="82">
        <v>0</v>
      </c>
      <c r="O28" s="82">
        <v>0</v>
      </c>
      <c r="P28" s="82">
        <v>0</v>
      </c>
      <c r="Q28" s="82">
        <v>0</v>
      </c>
      <c r="S28" s="82">
        <f t="shared" ref="S28:X28" si="14">D31+D36+D37-D27</f>
        <v>0</v>
      </c>
      <c r="T28" s="82">
        <f t="shared" si="14"/>
        <v>0</v>
      </c>
      <c r="U28" s="82">
        <f t="shared" si="14"/>
        <v>0</v>
      </c>
      <c r="V28" s="82">
        <f t="shared" si="14"/>
        <v>0</v>
      </c>
      <c r="W28" s="82">
        <f t="shared" si="14"/>
        <v>0</v>
      </c>
      <c r="X28" s="82">
        <f t="shared" si="14"/>
        <v>0</v>
      </c>
      <c r="AB28" s="277"/>
      <c r="AC28" s="277"/>
      <c r="AD28" s="277"/>
    </row>
    <row r="29" spans="1:30" ht="14.4" thickBot="1" x14ac:dyDescent="0.3">
      <c r="A29" s="131" t="s">
        <v>114</v>
      </c>
      <c r="B29" s="115"/>
      <c r="C29" s="196"/>
      <c r="D29" s="263">
        <v>84188900</v>
      </c>
      <c r="E29" s="263">
        <f>97680200+146600+108700+4378400</f>
        <v>102313900</v>
      </c>
      <c r="F29" s="77">
        <f>SUM('[1] доходов 2023'!AU26:CR26)</f>
        <v>107640900</v>
      </c>
      <c r="G29" s="77">
        <f>SUM(' доходов 2024'!AV26:CS26)</f>
        <v>120718500</v>
      </c>
      <c r="H29" s="263">
        <f>H31</f>
        <v>122067100</v>
      </c>
      <c r="I29" s="263">
        <f>I31</f>
        <v>124423000</v>
      </c>
      <c r="J29" s="196"/>
      <c r="N29" s="82">
        <v>16540100</v>
      </c>
      <c r="O29" s="82">
        <v>18009800</v>
      </c>
      <c r="P29" s="82">
        <v>13909000</v>
      </c>
      <c r="Q29" s="82">
        <v>11597700</v>
      </c>
      <c r="S29" s="82"/>
      <c r="T29" s="82"/>
      <c r="U29" s="82"/>
      <c r="V29" s="82"/>
      <c r="W29" s="82"/>
      <c r="X29" s="82"/>
      <c r="AB29" s="277"/>
      <c r="AC29" s="277"/>
      <c r="AD29" s="277"/>
    </row>
    <row r="30" spans="1:30" ht="14.4" thickBot="1" x14ac:dyDescent="0.3">
      <c r="A30" s="131" t="s">
        <v>115</v>
      </c>
      <c r="B30" s="115"/>
      <c r="C30" s="196"/>
      <c r="D30" s="263">
        <f>11633192.37</f>
        <v>11633192.369999999</v>
      </c>
      <c r="E30" s="263">
        <v>13054380.34</v>
      </c>
      <c r="F30" s="77">
        <f>SUM('[1] доходов 2023'!BV35:CR35)+SUM('[1] доходов 2023'!CC43:CR43)</f>
        <v>15014768.43</v>
      </c>
      <c r="G30" s="77">
        <f>SUM(' доходов 2024'!BW35:CS35)+SUM(' доходов 2024'!CD43:CS43)</f>
        <v>12693800</v>
      </c>
      <c r="H30" s="263">
        <f>H37</f>
        <v>12834600</v>
      </c>
      <c r="I30" s="263">
        <f>I37</f>
        <v>13334600</v>
      </c>
      <c r="J30" s="196"/>
      <c r="N30" s="82">
        <v>1778485.1899999995</v>
      </c>
      <c r="O30" s="82">
        <v>636800</v>
      </c>
      <c r="P30" s="82">
        <v>623100</v>
      </c>
      <c r="Q30" s="82">
        <v>552100</v>
      </c>
      <c r="AB30" s="277"/>
      <c r="AC30" s="277"/>
      <c r="AD30" s="277"/>
    </row>
    <row r="31" spans="1:30" ht="17.25" customHeight="1" x14ac:dyDescent="0.25">
      <c r="A31" s="254" t="s">
        <v>3</v>
      </c>
      <c r="B31" s="391">
        <v>1210</v>
      </c>
      <c r="C31" s="393">
        <v>130</v>
      </c>
      <c r="D31" s="383">
        <v>84188900</v>
      </c>
      <c r="E31" s="383">
        <f>E33+E35</f>
        <v>102313900</v>
      </c>
      <c r="F31" s="389">
        <f>SUM('[1] доходов 2023'!AU26:CR26)</f>
        <v>107640900</v>
      </c>
      <c r="G31" s="389">
        <f>SUM(' доходов 2024'!AV26:CS26)</f>
        <v>120718500</v>
      </c>
      <c r="H31" s="383">
        <v>122067100</v>
      </c>
      <c r="I31" s="383">
        <v>124423000</v>
      </c>
      <c r="J31" s="385"/>
      <c r="N31" s="82">
        <v>16540100</v>
      </c>
      <c r="O31" s="82">
        <v>18009800</v>
      </c>
      <c r="P31" s="82">
        <v>13909000</v>
      </c>
      <c r="Q31" s="82">
        <v>11597700</v>
      </c>
      <c r="AA31" s="377"/>
      <c r="AB31" s="277"/>
      <c r="AC31" s="277"/>
      <c r="AD31" s="277"/>
    </row>
    <row r="32" spans="1:30" ht="103.5" customHeight="1" thickBot="1" x14ac:dyDescent="0.3">
      <c r="A32" s="254" t="s">
        <v>119</v>
      </c>
      <c r="B32" s="392"/>
      <c r="C32" s="394"/>
      <c r="D32" s="384"/>
      <c r="E32" s="384"/>
      <c r="F32" s="390"/>
      <c r="G32" s="390"/>
      <c r="H32" s="384"/>
      <c r="I32" s="384"/>
      <c r="J32" s="386"/>
      <c r="N32" s="82">
        <v>0</v>
      </c>
      <c r="O32" s="82">
        <v>0</v>
      </c>
      <c r="P32" s="82">
        <v>0</v>
      </c>
      <c r="Q32" s="82">
        <v>0</v>
      </c>
      <c r="AA32" s="378"/>
      <c r="AB32" s="277"/>
      <c r="AC32" s="277"/>
      <c r="AD32" s="277"/>
    </row>
    <row r="33" spans="1:30" ht="15.75" customHeight="1" x14ac:dyDescent="0.25">
      <c r="A33" s="253" t="s">
        <v>234</v>
      </c>
      <c r="B33" s="391">
        <v>1211</v>
      </c>
      <c r="C33" s="415">
        <v>130</v>
      </c>
      <c r="D33" s="383">
        <v>83536700</v>
      </c>
      <c r="E33" s="395">
        <f>97250200+146600+108700+4378400</f>
        <v>101883900</v>
      </c>
      <c r="F33" s="397">
        <f>SUM('[1] доходов 2023'!AU24:CR24)</f>
        <v>107258400</v>
      </c>
      <c r="G33" s="397">
        <f>SUM(' доходов 2024'!AV24:CS24)</f>
        <v>120399800</v>
      </c>
      <c r="H33" s="399">
        <f>H31-H35</f>
        <v>121752000</v>
      </c>
      <c r="I33" s="413">
        <f>I31-I35</f>
        <v>124110600</v>
      </c>
      <c r="J33" s="393"/>
      <c r="N33" s="82">
        <v>16566800</v>
      </c>
      <c r="O33" s="82">
        <v>18061300</v>
      </c>
      <c r="P33" s="82">
        <v>13957700</v>
      </c>
      <c r="Q33" s="82">
        <v>11644000</v>
      </c>
      <c r="AA33" s="379">
        <f>G31-G35</f>
        <v>120399800</v>
      </c>
      <c r="AB33" s="277"/>
      <c r="AC33" s="277"/>
      <c r="AD33" s="277"/>
    </row>
    <row r="34" spans="1:30" ht="14.25" customHeight="1" thickBot="1" x14ac:dyDescent="0.3">
      <c r="A34" s="131" t="s">
        <v>45</v>
      </c>
      <c r="B34" s="392"/>
      <c r="C34" s="416"/>
      <c r="D34" s="384"/>
      <c r="E34" s="396"/>
      <c r="F34" s="398"/>
      <c r="G34" s="398"/>
      <c r="H34" s="400"/>
      <c r="I34" s="414"/>
      <c r="J34" s="394"/>
      <c r="K34" s="89">
        <f>G33+G38</f>
        <v>132843600</v>
      </c>
      <c r="L34" s="89">
        <f t="shared" ref="L34:M34" si="15">H33+H38</f>
        <v>134326600</v>
      </c>
      <c r="M34" s="89">
        <f t="shared" si="15"/>
        <v>136965200</v>
      </c>
      <c r="N34" s="82">
        <v>0</v>
      </c>
      <c r="O34" s="82">
        <v>0</v>
      </c>
      <c r="P34" s="82">
        <v>0</v>
      </c>
      <c r="Q34" s="82">
        <v>0</v>
      </c>
      <c r="R34" s="89"/>
      <c r="AA34" s="379"/>
      <c r="AB34" s="277"/>
      <c r="AC34" s="277"/>
      <c r="AD34" s="277"/>
    </row>
    <row r="35" spans="1:30" ht="67.5" customHeight="1" thickBot="1" x14ac:dyDescent="0.3">
      <c r="A35" s="282" t="s">
        <v>46</v>
      </c>
      <c r="B35" s="88">
        <v>1212</v>
      </c>
      <c r="C35" s="87">
        <v>130</v>
      </c>
      <c r="D35" s="263">
        <v>652200</v>
      </c>
      <c r="E35" s="263">
        <v>430000</v>
      </c>
      <c r="F35" s="77">
        <f>SUM('[1] доходов 2023'!AU25:CR25)</f>
        <v>382500</v>
      </c>
      <c r="G35" s="77">
        <f>SUM(' доходов 2024'!AV25:CS25)</f>
        <v>318700</v>
      </c>
      <c r="H35" s="263">
        <v>315100</v>
      </c>
      <c r="I35" s="77">
        <v>312400</v>
      </c>
      <c r="J35" s="196"/>
      <c r="K35" s="89">
        <f t="shared" ref="K35:M35" si="16">G120</f>
        <v>318699.99980000005</v>
      </c>
      <c r="L35" s="89">
        <f t="shared" si="16"/>
        <v>315100</v>
      </c>
      <c r="M35" s="89">
        <f t="shared" si="16"/>
        <v>312400</v>
      </c>
      <c r="N35" s="82">
        <v>-26700</v>
      </c>
      <c r="O35" s="82">
        <v>-51500</v>
      </c>
      <c r="P35" s="82">
        <v>-48700</v>
      </c>
      <c r="Q35" s="82">
        <v>-46300</v>
      </c>
      <c r="R35" s="89"/>
      <c r="S35" s="83" t="s">
        <v>397</v>
      </c>
      <c r="AB35" s="277"/>
      <c r="AC35" s="277"/>
      <c r="AD35" s="277"/>
    </row>
    <row r="36" spans="1:30" ht="96" customHeight="1" thickBot="1" x14ac:dyDescent="0.3">
      <c r="A36" s="131" t="s">
        <v>120</v>
      </c>
      <c r="B36" s="88">
        <v>1220</v>
      </c>
      <c r="C36" s="87">
        <v>130</v>
      </c>
      <c r="D36" s="263">
        <v>0</v>
      </c>
      <c r="E36" s="263">
        <v>0</v>
      </c>
      <c r="F36" s="77">
        <v>0</v>
      </c>
      <c r="G36" s="77">
        <v>0</v>
      </c>
      <c r="H36" s="263">
        <v>0</v>
      </c>
      <c r="I36" s="263">
        <v>0</v>
      </c>
      <c r="J36" s="196"/>
      <c r="K36" s="82">
        <f>G10+G51+G37+G68</f>
        <v>16669492.35</v>
      </c>
      <c r="N36" s="82">
        <v>0</v>
      </c>
      <c r="O36" s="82">
        <v>0</v>
      </c>
      <c r="P36" s="82">
        <v>0</v>
      </c>
      <c r="Q36" s="82">
        <v>0</v>
      </c>
      <c r="AB36" s="277"/>
      <c r="AC36" s="277"/>
      <c r="AD36" s="277"/>
    </row>
    <row r="37" spans="1:30" ht="61.5" customHeight="1" thickBot="1" x14ac:dyDescent="0.3">
      <c r="A37" s="131" t="s">
        <v>247</v>
      </c>
      <c r="B37" s="283">
        <v>1230</v>
      </c>
      <c r="C37" s="87">
        <v>130</v>
      </c>
      <c r="D37" s="263">
        <f>D38+D40+D41</f>
        <v>11633192.370000001</v>
      </c>
      <c r="E37" s="263">
        <f>E38+E40+E41</f>
        <v>13054380.34</v>
      </c>
      <c r="F37" s="77">
        <f>SUM('[1] доходов 2023'!BV35:CR35)+SUM('[1] доходов 2023'!CC43:CR43)</f>
        <v>15014768.43</v>
      </c>
      <c r="G37" s="77">
        <f>SUM(' доходов 2024'!BW35:CS35)+SUM(' доходов 2024'!CD43:CS43)</f>
        <v>12693800</v>
      </c>
      <c r="H37" s="263">
        <v>12834600</v>
      </c>
      <c r="I37" s="263">
        <f t="shared" ref="I37" si="17">I38+I40+I41</f>
        <v>13334600</v>
      </c>
      <c r="J37" s="196"/>
      <c r="N37" s="82">
        <v>1778485.1899999995</v>
      </c>
      <c r="O37" s="82">
        <v>636800</v>
      </c>
      <c r="P37" s="82">
        <v>623100</v>
      </c>
      <c r="Q37" s="82">
        <v>552100</v>
      </c>
      <c r="AA37" s="264">
        <f>G38+G40+G41</f>
        <v>12723036.789999999</v>
      </c>
      <c r="AB37" s="277"/>
      <c r="AC37" s="277"/>
      <c r="AD37" s="277"/>
    </row>
    <row r="38" spans="1:30" ht="15.75" customHeight="1" x14ac:dyDescent="0.25">
      <c r="A38" s="253" t="s">
        <v>233</v>
      </c>
      <c r="B38" s="391">
        <v>1231</v>
      </c>
      <c r="C38" s="415">
        <v>130</v>
      </c>
      <c r="D38" s="395">
        <f>10828906.4+667713.97</f>
        <v>11496620.370000001</v>
      </c>
      <c r="E38" s="395">
        <v>12835825.34</v>
      </c>
      <c r="F38" s="397">
        <f>SUM('[1] доходов 2023'!BV35:CR35)</f>
        <v>14785035.43</v>
      </c>
      <c r="G38" s="397">
        <f>SUM(' доходов 2024'!BW35:CS35)</f>
        <v>12443800</v>
      </c>
      <c r="H38" s="395">
        <v>12574600</v>
      </c>
      <c r="I38" s="395">
        <v>12854600</v>
      </c>
      <c r="J38" s="393"/>
      <c r="N38" s="82">
        <v>1707467.1899999995</v>
      </c>
      <c r="O38" s="82">
        <v>574300</v>
      </c>
      <c r="P38" s="82">
        <v>548100</v>
      </c>
      <c r="Q38" s="82">
        <v>457100</v>
      </c>
      <c r="AB38" s="277"/>
      <c r="AC38" s="277"/>
      <c r="AD38" s="277"/>
    </row>
    <row r="39" spans="1:30" ht="15.75" customHeight="1" thickBot="1" x14ac:dyDescent="0.3">
      <c r="A39" s="131" t="s">
        <v>45</v>
      </c>
      <c r="B39" s="392"/>
      <c r="C39" s="416"/>
      <c r="D39" s="396"/>
      <c r="E39" s="396"/>
      <c r="F39" s="398"/>
      <c r="G39" s="398"/>
      <c r="H39" s="396"/>
      <c r="I39" s="396"/>
      <c r="J39" s="394"/>
      <c r="N39" s="82">
        <v>0</v>
      </c>
      <c r="O39" s="82">
        <v>0</v>
      </c>
      <c r="P39" s="82">
        <v>0</v>
      </c>
      <c r="Q39" s="82">
        <v>0</v>
      </c>
      <c r="AB39" s="277"/>
      <c r="AC39" s="277"/>
      <c r="AD39" s="277"/>
    </row>
    <row r="40" spans="1:30" ht="14.4" thickBot="1" x14ac:dyDescent="0.3">
      <c r="A40" s="254" t="s">
        <v>232</v>
      </c>
      <c r="B40" s="137">
        <v>1232</v>
      </c>
      <c r="C40" s="284">
        <v>130</v>
      </c>
      <c r="D40" s="263">
        <v>136572</v>
      </c>
      <c r="E40" s="263">
        <v>218555</v>
      </c>
      <c r="F40" s="77">
        <f>SUM('[1] доходов 2023'!CC43:CR43)</f>
        <v>229733</v>
      </c>
      <c r="G40" s="77">
        <f>SUM(' доходов 2024'!CD43:CS43)</f>
        <v>250000</v>
      </c>
      <c r="H40" s="263">
        <v>260000</v>
      </c>
      <c r="I40" s="263">
        <v>480000</v>
      </c>
      <c r="J40" s="196"/>
      <c r="N40" s="82">
        <v>71018</v>
      </c>
      <c r="O40" s="82">
        <v>62500</v>
      </c>
      <c r="P40" s="82">
        <v>75000</v>
      </c>
      <c r="Q40" s="82">
        <v>95000</v>
      </c>
      <c r="AB40" s="277"/>
      <c r="AC40" s="277"/>
      <c r="AD40" s="277"/>
    </row>
    <row r="41" spans="1:30" ht="14.4" thickBot="1" x14ac:dyDescent="0.3">
      <c r="A41" s="282" t="s">
        <v>301</v>
      </c>
      <c r="B41" s="137">
        <v>1233</v>
      </c>
      <c r="C41" s="284">
        <v>130</v>
      </c>
      <c r="D41" s="263">
        <v>0</v>
      </c>
      <c r="E41" s="263">
        <v>0</v>
      </c>
      <c r="F41" s="77">
        <v>0</v>
      </c>
      <c r="G41" s="77">
        <f>SUM(' доходов 2024'!AV124:CS124)</f>
        <v>29236.79</v>
      </c>
      <c r="H41" s="263">
        <v>0</v>
      </c>
      <c r="I41" s="263">
        <v>0</v>
      </c>
      <c r="J41" s="196"/>
      <c r="N41" s="82">
        <v>0</v>
      </c>
      <c r="O41" s="82">
        <v>0</v>
      </c>
      <c r="P41" s="82">
        <v>0</v>
      </c>
      <c r="Q41" s="82">
        <v>0</v>
      </c>
      <c r="AB41" s="277"/>
      <c r="AC41" s="277"/>
      <c r="AD41" s="277"/>
    </row>
    <row r="42" spans="1:30" ht="51" customHeight="1" thickBot="1" x14ac:dyDescent="0.3">
      <c r="A42" s="272" t="s">
        <v>121</v>
      </c>
      <c r="B42" s="88">
        <v>1300</v>
      </c>
      <c r="C42" s="87">
        <v>140</v>
      </c>
      <c r="D42" s="274">
        <f>D43+D44+D45</f>
        <v>12752.74</v>
      </c>
      <c r="E42" s="274">
        <f>E43+E44+E45</f>
        <v>285009.7</v>
      </c>
      <c r="F42" s="281">
        <f>SUM('[1] доходов 2023'!CC61:CR61)</f>
        <v>305733.78999999998</v>
      </c>
      <c r="G42" s="281">
        <f>SUM(' доходов 2024'!CD61:CS61)</f>
        <v>100000</v>
      </c>
      <c r="H42" s="274">
        <f t="shared" ref="H42:I42" si="18">H43+H44+H45</f>
        <v>0</v>
      </c>
      <c r="I42" s="274">
        <f t="shared" si="18"/>
        <v>0</v>
      </c>
      <c r="J42" s="196"/>
      <c r="N42" s="82">
        <v>285009.7</v>
      </c>
      <c r="O42" s="82">
        <v>310000</v>
      </c>
      <c r="P42" s="82">
        <v>0</v>
      </c>
      <c r="Q42" s="82">
        <v>0</v>
      </c>
      <c r="S42" s="82">
        <f t="shared" ref="S42:X42" si="19">D42-D43-D44-D45</f>
        <v>0</v>
      </c>
      <c r="T42" s="82">
        <f t="shared" si="19"/>
        <v>0</v>
      </c>
      <c r="U42" s="82">
        <f t="shared" si="19"/>
        <v>0</v>
      </c>
      <c r="V42" s="82">
        <f t="shared" si="19"/>
        <v>0</v>
      </c>
      <c r="W42" s="82">
        <f t="shared" si="19"/>
        <v>0</v>
      </c>
      <c r="X42" s="82">
        <f t="shared" si="19"/>
        <v>0</v>
      </c>
      <c r="AA42" s="264">
        <f>G43+G44+G45</f>
        <v>100000</v>
      </c>
      <c r="AB42" s="277"/>
      <c r="AC42" s="277"/>
      <c r="AD42" s="277"/>
    </row>
    <row r="43" spans="1:30" ht="14.4" thickBot="1" x14ac:dyDescent="0.3">
      <c r="A43" s="131" t="s">
        <v>113</v>
      </c>
      <c r="B43" s="115"/>
      <c r="C43" s="196"/>
      <c r="D43" s="263">
        <v>0</v>
      </c>
      <c r="E43" s="263">
        <v>0</v>
      </c>
      <c r="F43" s="77">
        <v>0</v>
      </c>
      <c r="G43" s="77">
        <v>0</v>
      </c>
      <c r="H43" s="263">
        <v>0</v>
      </c>
      <c r="I43" s="263">
        <v>0</v>
      </c>
      <c r="J43" s="196"/>
      <c r="N43" s="82">
        <v>0</v>
      </c>
      <c r="O43" s="82">
        <v>0</v>
      </c>
      <c r="P43" s="82">
        <v>0</v>
      </c>
      <c r="Q43" s="82">
        <v>0</v>
      </c>
      <c r="S43" s="82">
        <f t="shared" ref="S43:X43" si="20">D42-D46</f>
        <v>0</v>
      </c>
      <c r="T43" s="82">
        <f t="shared" si="20"/>
        <v>285009.7</v>
      </c>
      <c r="U43" s="82">
        <f t="shared" si="20"/>
        <v>305733.78999999998</v>
      </c>
      <c r="V43" s="82">
        <f t="shared" si="20"/>
        <v>100000</v>
      </c>
      <c r="W43" s="82">
        <f t="shared" si="20"/>
        <v>0</v>
      </c>
      <c r="X43" s="82">
        <f t="shared" si="20"/>
        <v>0</v>
      </c>
      <c r="AB43" s="277"/>
      <c r="AC43" s="277"/>
      <c r="AD43" s="277"/>
    </row>
    <row r="44" spans="1:30" ht="14.4" thickBot="1" x14ac:dyDescent="0.3">
      <c r="A44" s="131" t="s">
        <v>114</v>
      </c>
      <c r="B44" s="115"/>
      <c r="C44" s="196"/>
      <c r="D44" s="263">
        <v>0</v>
      </c>
      <c r="E44" s="263">
        <v>0</v>
      </c>
      <c r="F44" s="77">
        <v>0</v>
      </c>
      <c r="G44" s="77">
        <v>0</v>
      </c>
      <c r="H44" s="263">
        <v>0</v>
      </c>
      <c r="I44" s="263">
        <v>0</v>
      </c>
      <c r="J44" s="196"/>
      <c r="N44" s="82">
        <v>0</v>
      </c>
      <c r="O44" s="82">
        <v>0</v>
      </c>
      <c r="P44" s="82">
        <v>0</v>
      </c>
      <c r="Q44" s="82">
        <v>0</v>
      </c>
      <c r="AB44" s="277"/>
      <c r="AC44" s="277"/>
      <c r="AD44" s="277"/>
    </row>
    <row r="45" spans="1:30" ht="14.4" thickBot="1" x14ac:dyDescent="0.3">
      <c r="A45" s="131" t="s">
        <v>115</v>
      </c>
      <c r="B45" s="115"/>
      <c r="C45" s="196"/>
      <c r="D45" s="263">
        <v>12752.74</v>
      </c>
      <c r="E45" s="263">
        <f>110000+100000+80000-4990.3</f>
        <v>285009.7</v>
      </c>
      <c r="F45" s="77">
        <f>SUM('[1] доходов 2023'!CC61:CR61)</f>
        <v>305733.78999999998</v>
      </c>
      <c r="G45" s="77">
        <f>SUM(' доходов 2024'!CD61:CS61)</f>
        <v>100000</v>
      </c>
      <c r="H45" s="263">
        <v>0</v>
      </c>
      <c r="I45" s="263">
        <v>0</v>
      </c>
      <c r="J45" s="196"/>
      <c r="N45" s="82">
        <v>285009.7</v>
      </c>
      <c r="O45" s="82">
        <v>310000</v>
      </c>
      <c r="P45" s="82">
        <v>0</v>
      </c>
      <c r="Q45" s="82">
        <v>0</v>
      </c>
      <c r="AB45" s="277"/>
      <c r="AC45" s="277"/>
      <c r="AD45" s="277"/>
    </row>
    <row r="46" spans="1:30" ht="14.4" thickBot="1" x14ac:dyDescent="0.3">
      <c r="A46" s="131" t="s">
        <v>3</v>
      </c>
      <c r="B46" s="88">
        <v>1310</v>
      </c>
      <c r="C46" s="87">
        <v>140</v>
      </c>
      <c r="D46" s="263">
        <f>D47</f>
        <v>12752.74</v>
      </c>
      <c r="E46" s="263">
        <v>0</v>
      </c>
      <c r="F46" s="77">
        <v>0</v>
      </c>
      <c r="G46" s="77">
        <v>0</v>
      </c>
      <c r="H46" s="263">
        <v>0</v>
      </c>
      <c r="I46" s="263">
        <v>0</v>
      </c>
      <c r="J46" s="196"/>
      <c r="N46" s="82">
        <v>0</v>
      </c>
      <c r="O46" s="82">
        <v>0</v>
      </c>
      <c r="P46" s="82">
        <v>0</v>
      </c>
      <c r="Q46" s="82">
        <v>0</v>
      </c>
      <c r="AB46" s="277"/>
      <c r="AC46" s="277"/>
      <c r="AD46" s="277"/>
    </row>
    <row r="47" spans="1:30" ht="38.1" customHeight="1" thickBot="1" x14ac:dyDescent="0.3">
      <c r="A47" s="131" t="s">
        <v>398</v>
      </c>
      <c r="B47" s="88"/>
      <c r="C47" s="87"/>
      <c r="D47" s="263">
        <v>12752.74</v>
      </c>
      <c r="E47" s="263">
        <v>0</v>
      </c>
      <c r="F47" s="77">
        <f>SUM('[1] доходов 2023'!CC59:CR59)</f>
        <v>305733.78999999998</v>
      </c>
      <c r="G47" s="77">
        <f>SUM(' доходов 2024'!CD59:CS59)</f>
        <v>100000</v>
      </c>
      <c r="H47" s="263"/>
      <c r="I47" s="263"/>
      <c r="J47" s="196"/>
      <c r="N47" s="82">
        <v>0</v>
      </c>
      <c r="O47" s="82">
        <v>310000</v>
      </c>
      <c r="P47" s="82">
        <v>0</v>
      </c>
      <c r="Q47" s="82">
        <v>0</v>
      </c>
      <c r="S47" s="82">
        <f>E46-E47</f>
        <v>0</v>
      </c>
      <c r="T47" s="82">
        <f>G46-G47</f>
        <v>-100000</v>
      </c>
      <c r="U47" s="82">
        <f>H46-H47</f>
        <v>0</v>
      </c>
      <c r="V47" s="82">
        <f>H46-H47</f>
        <v>0</v>
      </c>
      <c r="W47" s="82">
        <f>I46-I47</f>
        <v>0</v>
      </c>
      <c r="X47" s="82">
        <f>J46-J47</f>
        <v>0</v>
      </c>
      <c r="AB47" s="277"/>
      <c r="AC47" s="277"/>
      <c r="AD47" s="277"/>
    </row>
    <row r="48" spans="1:30" ht="36.75" customHeight="1" thickBot="1" x14ac:dyDescent="0.3">
      <c r="A48" s="272" t="s">
        <v>122</v>
      </c>
      <c r="B48" s="88">
        <v>1400</v>
      </c>
      <c r="C48" s="87">
        <v>150</v>
      </c>
      <c r="D48" s="274">
        <f>D49+D50+D51</f>
        <v>92310.64</v>
      </c>
      <c r="E48" s="274">
        <f>E49+E50+E51</f>
        <v>9674471.8200000003</v>
      </c>
      <c r="F48" s="281">
        <f>SUM('[1] доходов 2023'!CC72:CR72)+SUM('[1] доходов 2023'!AU90:CR90)</f>
        <v>20732662</v>
      </c>
      <c r="G48" s="281">
        <f>SUM(' доходов 2024'!CD72:CS72)+SUM(' доходов 2024'!AV91:CS91)</f>
        <v>33473104</v>
      </c>
      <c r="H48" s="274">
        <f t="shared" ref="H48:I48" si="21">H49+H50+H51</f>
        <v>0</v>
      </c>
      <c r="I48" s="274">
        <f t="shared" si="21"/>
        <v>0</v>
      </c>
      <c r="J48" s="196"/>
      <c r="N48" s="82">
        <v>1847271.33</v>
      </c>
      <c r="O48" s="276">
        <v>15600378</v>
      </c>
      <c r="P48" s="82">
        <v>0</v>
      </c>
      <c r="Q48" s="82">
        <v>0</v>
      </c>
      <c r="S48" s="82">
        <f t="shared" ref="S48:X48" si="22">D48-D49-D50-D51</f>
        <v>0</v>
      </c>
      <c r="T48" s="82">
        <f t="shared" si="22"/>
        <v>0</v>
      </c>
      <c r="U48" s="82">
        <f t="shared" si="22"/>
        <v>0</v>
      </c>
      <c r="V48" s="82">
        <f t="shared" si="22"/>
        <v>0</v>
      </c>
      <c r="W48" s="82">
        <f t="shared" si="22"/>
        <v>0</v>
      </c>
      <c r="X48" s="82">
        <f t="shared" si="22"/>
        <v>0</v>
      </c>
      <c r="AA48" s="264">
        <f>G49+G50+G51</f>
        <v>33473104</v>
      </c>
      <c r="AB48" s="277"/>
      <c r="AC48" s="277"/>
      <c r="AD48" s="277"/>
    </row>
    <row r="49" spans="1:30" ht="14.4" thickBot="1" x14ac:dyDescent="0.3">
      <c r="A49" s="131" t="s">
        <v>113</v>
      </c>
      <c r="B49" s="115"/>
      <c r="C49" s="196"/>
      <c r="D49" s="263">
        <v>0</v>
      </c>
      <c r="E49" s="263">
        <f>E53</f>
        <v>0</v>
      </c>
      <c r="F49" s="77">
        <f>F53</f>
        <v>0</v>
      </c>
      <c r="G49" s="77">
        <f>G53</f>
        <v>0</v>
      </c>
      <c r="H49" s="263">
        <v>0</v>
      </c>
      <c r="I49" s="263">
        <v>0</v>
      </c>
      <c r="J49" s="196"/>
      <c r="N49" s="82">
        <v>-1047551.94</v>
      </c>
      <c r="O49" s="276">
        <v>-361563.6</v>
      </c>
      <c r="P49" s="82">
        <v>0</v>
      </c>
      <c r="Q49" s="82">
        <v>0</v>
      </c>
      <c r="S49" s="82">
        <f>D48-D53-D54-D55</f>
        <v>92310.64</v>
      </c>
      <c r="T49" s="82">
        <f>E48-E51</f>
        <v>9584471.8200000003</v>
      </c>
      <c r="U49" s="82">
        <f>F48-F53-F54-F55-F51</f>
        <v>0</v>
      </c>
      <c r="V49" s="82">
        <f>G48-G53-G54-G55-G51</f>
        <v>0</v>
      </c>
      <c r="W49" s="82">
        <f>H48-H53-H54-H55</f>
        <v>0</v>
      </c>
      <c r="X49" s="82">
        <f>I48-I53-I54-I55</f>
        <v>0</v>
      </c>
      <c r="AB49" s="277"/>
      <c r="AC49" s="277"/>
      <c r="AD49" s="277"/>
    </row>
    <row r="50" spans="1:30" ht="14.4" thickBot="1" x14ac:dyDescent="0.3">
      <c r="A50" s="131" t="s">
        <v>114</v>
      </c>
      <c r="B50" s="115"/>
      <c r="C50" s="196"/>
      <c r="D50" s="263">
        <v>0</v>
      </c>
      <c r="E50" s="263">
        <f>E54</f>
        <v>9584471.8200000003</v>
      </c>
      <c r="F50" s="77">
        <f>SUM('[1] доходов 2023'!AU90:CR90)</f>
        <v>20631012</v>
      </c>
      <c r="G50" s="77">
        <f>SUM(' доходов 2024'!AV91:CS91)</f>
        <v>33323104</v>
      </c>
      <c r="H50" s="263">
        <v>0</v>
      </c>
      <c r="I50" s="263">
        <v>0</v>
      </c>
      <c r="J50" s="196"/>
      <c r="N50" s="82">
        <v>2834823.2699999996</v>
      </c>
      <c r="O50" s="276">
        <v>15981941.6</v>
      </c>
      <c r="P50" s="82">
        <v>0</v>
      </c>
      <c r="Q50" s="82">
        <v>0</v>
      </c>
      <c r="AA50" s="256">
        <f>20763412-199700+130100+1200-64000</f>
        <v>20631012</v>
      </c>
      <c r="AB50" s="277"/>
      <c r="AC50" s="277"/>
      <c r="AD50" s="277"/>
    </row>
    <row r="51" spans="1:30" ht="14.4" thickBot="1" x14ac:dyDescent="0.3">
      <c r="A51" s="131" t="s">
        <v>115</v>
      </c>
      <c r="B51" s="115"/>
      <c r="C51" s="196"/>
      <c r="D51" s="263">
        <f>60000+32310.64</f>
        <v>92310.64</v>
      </c>
      <c r="E51" s="263">
        <f>E58</f>
        <v>90000</v>
      </c>
      <c r="F51" s="77">
        <f>SUM('[1] доходов 2023'!CC72:CR72)</f>
        <v>101650</v>
      </c>
      <c r="G51" s="77">
        <f>SUM(' доходов 2024'!CD72:CS72)</f>
        <v>150000</v>
      </c>
      <c r="H51" s="263">
        <v>0</v>
      </c>
      <c r="I51" s="263">
        <v>0</v>
      </c>
      <c r="J51" s="267"/>
      <c r="K51" s="285" t="s">
        <v>399</v>
      </c>
      <c r="L51" s="286"/>
      <c r="M51" s="287"/>
      <c r="N51" s="82">
        <v>60000</v>
      </c>
      <c r="O51" s="82">
        <v>-20000</v>
      </c>
      <c r="P51" s="82">
        <v>0</v>
      </c>
      <c r="Q51" s="82">
        <v>0</v>
      </c>
      <c r="AB51" s="277"/>
      <c r="AC51" s="277"/>
      <c r="AD51" s="277"/>
    </row>
    <row r="52" spans="1:30" ht="25.5" customHeight="1" thickBot="1" x14ac:dyDescent="0.3">
      <c r="A52" s="131" t="s">
        <v>400</v>
      </c>
      <c r="B52" s="88">
        <v>1410</v>
      </c>
      <c r="C52" s="87">
        <v>150</v>
      </c>
      <c r="D52" s="263">
        <v>0</v>
      </c>
      <c r="E52" s="274">
        <f>E54+E53</f>
        <v>9584471.8200000003</v>
      </c>
      <c r="F52" s="281">
        <f>SUM('[1] доходов 2023'!AU90:CR90)</f>
        <v>20631012</v>
      </c>
      <c r="G52" s="281">
        <f>SUM(' доходов 2024'!AV91:CS91)</f>
        <v>33323104</v>
      </c>
      <c r="H52" s="263">
        <v>0</v>
      </c>
      <c r="I52" s="263">
        <v>0</v>
      </c>
      <c r="J52" s="193"/>
      <c r="K52" s="288">
        <v>7797200.4900000002</v>
      </c>
      <c r="M52" s="289"/>
      <c r="N52" s="82">
        <v>1787271.33</v>
      </c>
      <c r="O52" s="276">
        <v>15620378</v>
      </c>
      <c r="P52" s="82">
        <v>0</v>
      </c>
      <c r="Q52" s="82">
        <v>0</v>
      </c>
      <c r="AA52" s="264">
        <f>G54+G53+G55</f>
        <v>33323104</v>
      </c>
      <c r="AB52" s="277"/>
      <c r="AC52" s="277"/>
      <c r="AD52" s="277"/>
    </row>
    <row r="53" spans="1:30" ht="14.4" thickBot="1" x14ac:dyDescent="0.3">
      <c r="A53" s="131" t="s">
        <v>113</v>
      </c>
      <c r="B53" s="115"/>
      <c r="C53" s="196"/>
      <c r="D53" s="263">
        <v>0</v>
      </c>
      <c r="E53" s="263">
        <v>0</v>
      </c>
      <c r="F53" s="77">
        <v>0</v>
      </c>
      <c r="G53" s="77">
        <v>0</v>
      </c>
      <c r="H53" s="263">
        <v>0</v>
      </c>
      <c r="I53" s="263">
        <v>0</v>
      </c>
      <c r="J53" s="193"/>
      <c r="K53" s="290">
        <v>737</v>
      </c>
      <c r="M53" s="289"/>
      <c r="N53" s="82">
        <v>-1047551.94</v>
      </c>
      <c r="O53" s="82">
        <v>-361563.6</v>
      </c>
      <c r="P53" s="82">
        <v>0</v>
      </c>
      <c r="Q53" s="82">
        <v>0</v>
      </c>
      <c r="AB53" s="277"/>
      <c r="AC53" s="277"/>
      <c r="AD53" s="277"/>
    </row>
    <row r="54" spans="1:30" ht="14.4" thickBot="1" x14ac:dyDescent="0.3">
      <c r="A54" s="131" t="s">
        <v>114</v>
      </c>
      <c r="B54" s="115"/>
      <c r="C54" s="196"/>
      <c r="D54" s="263">
        <v>0</v>
      </c>
      <c r="E54" s="263">
        <f>9973300-17300-15785+36600-2900-57262-332181.18</f>
        <v>9584471.8200000003</v>
      </c>
      <c r="F54" s="77">
        <f>SUM('[1] доходов 2023'!AU90:CR90)</f>
        <v>20631012</v>
      </c>
      <c r="G54" s="77">
        <f>SUM(' доходов 2024'!AV91:CS91)</f>
        <v>33323104</v>
      </c>
      <c r="H54" s="263">
        <v>0</v>
      </c>
      <c r="I54" s="263">
        <v>0</v>
      </c>
      <c r="J54" s="193"/>
      <c r="K54" s="82">
        <v>7659217.3600000003</v>
      </c>
      <c r="L54" s="82">
        <f>K52-K54</f>
        <v>137983.12999999989</v>
      </c>
      <c r="M54" s="289"/>
      <c r="N54" s="82">
        <v>2834823.2699999996</v>
      </c>
      <c r="O54" s="276">
        <v>15981941.6</v>
      </c>
      <c r="P54" s="82">
        <v>0</v>
      </c>
      <c r="Q54" s="82">
        <v>0</v>
      </c>
      <c r="R54" s="80" t="s">
        <v>401</v>
      </c>
      <c r="AB54" s="277"/>
      <c r="AC54" s="277"/>
      <c r="AD54" s="277"/>
    </row>
    <row r="55" spans="1:30" ht="14.4" thickBot="1" x14ac:dyDescent="0.3">
      <c r="A55" s="131" t="s">
        <v>115</v>
      </c>
      <c r="B55" s="115"/>
      <c r="C55" s="196"/>
      <c r="D55" s="263"/>
      <c r="E55" s="263">
        <v>0</v>
      </c>
      <c r="F55" s="77">
        <v>0</v>
      </c>
      <c r="G55" s="77">
        <v>0</v>
      </c>
      <c r="H55" s="263"/>
      <c r="I55" s="263"/>
      <c r="J55" s="193"/>
      <c r="K55" s="291"/>
      <c r="L55" s="291"/>
      <c r="M55" s="292"/>
      <c r="N55" s="82">
        <v>0</v>
      </c>
      <c r="O55" s="82">
        <v>0</v>
      </c>
      <c r="P55" s="82">
        <v>0</v>
      </c>
      <c r="Q55" s="82">
        <v>0</v>
      </c>
      <c r="AB55" s="277"/>
      <c r="AC55" s="277"/>
      <c r="AD55" s="277"/>
    </row>
    <row r="56" spans="1:30" ht="28.2" thickBot="1" x14ac:dyDescent="0.3">
      <c r="A56" s="131" t="s">
        <v>124</v>
      </c>
      <c r="B56" s="88">
        <v>1420</v>
      </c>
      <c r="C56" s="87">
        <v>150</v>
      </c>
      <c r="D56" s="263"/>
      <c r="E56" s="263"/>
      <c r="F56" s="132"/>
      <c r="G56" s="132"/>
      <c r="H56" s="263"/>
      <c r="I56" s="263"/>
      <c r="J56" s="196"/>
      <c r="N56" s="82">
        <v>0</v>
      </c>
      <c r="O56" s="82">
        <v>0</v>
      </c>
      <c r="P56" s="82">
        <v>0</v>
      </c>
      <c r="Q56" s="82">
        <v>0</v>
      </c>
      <c r="AB56" s="277"/>
      <c r="AC56" s="277"/>
      <c r="AD56" s="277"/>
    </row>
    <row r="57" spans="1:30" ht="14.4" thickBot="1" x14ac:dyDescent="0.3">
      <c r="A57" s="131" t="s">
        <v>402</v>
      </c>
      <c r="B57" s="115"/>
      <c r="C57" s="196"/>
      <c r="D57" s="263">
        <v>60000</v>
      </c>
      <c r="E57" s="263"/>
      <c r="F57" s="132"/>
      <c r="G57" s="132"/>
      <c r="H57" s="263"/>
      <c r="I57" s="263"/>
      <c r="J57" s="196"/>
      <c r="N57" s="82">
        <v>0</v>
      </c>
      <c r="O57" s="82">
        <v>0</v>
      </c>
      <c r="P57" s="82">
        <v>0</v>
      </c>
      <c r="Q57" s="82">
        <v>0</v>
      </c>
      <c r="AB57" s="277"/>
      <c r="AC57" s="277"/>
      <c r="AD57" s="277"/>
    </row>
    <row r="58" spans="1:30" ht="14.4" thickBot="1" x14ac:dyDescent="0.3">
      <c r="A58" s="131" t="s">
        <v>403</v>
      </c>
      <c r="B58" s="115"/>
      <c r="C58" s="196"/>
      <c r="D58" s="263">
        <v>32310.639999999999</v>
      </c>
      <c r="E58" s="263">
        <v>90000</v>
      </c>
      <c r="F58" s="77">
        <f>SUM('[1] доходов 2023'!CC72:CR72)</f>
        <v>101650</v>
      </c>
      <c r="G58" s="77">
        <f>SUM(' доходов 2024'!CD72:CS72)</f>
        <v>150000</v>
      </c>
      <c r="H58" s="263">
        <v>0</v>
      </c>
      <c r="I58" s="263">
        <v>0</v>
      </c>
      <c r="J58" s="196"/>
      <c r="N58" s="82">
        <v>60000</v>
      </c>
      <c r="O58" s="82">
        <v>-20000</v>
      </c>
      <c r="P58" s="82">
        <v>0</v>
      </c>
      <c r="Q58" s="82">
        <v>0</v>
      </c>
      <c r="AB58" s="277"/>
      <c r="AC58" s="277"/>
      <c r="AD58" s="277"/>
    </row>
    <row r="59" spans="1:30" ht="18.75" customHeight="1" thickBot="1" x14ac:dyDescent="0.3">
      <c r="A59" s="272" t="s">
        <v>123</v>
      </c>
      <c r="B59" s="88">
        <v>1500</v>
      </c>
      <c r="C59" s="87">
        <v>180</v>
      </c>
      <c r="D59" s="274">
        <f>D60+D61+D62</f>
        <v>4826509.93</v>
      </c>
      <c r="E59" s="274">
        <f t="shared" ref="E59:F59" si="23">E60+E61+E62</f>
        <v>0</v>
      </c>
      <c r="F59" s="281">
        <f t="shared" si="23"/>
        <v>0</v>
      </c>
      <c r="G59" s="281">
        <f t="shared" ref="G59:I59" si="24">G60+G61+G62</f>
        <v>0</v>
      </c>
      <c r="H59" s="274">
        <f t="shared" si="24"/>
        <v>0</v>
      </c>
      <c r="I59" s="274">
        <f t="shared" si="24"/>
        <v>0</v>
      </c>
      <c r="J59" s="196"/>
      <c r="N59" s="82">
        <v>0</v>
      </c>
      <c r="O59" s="82">
        <v>0</v>
      </c>
      <c r="P59" s="82">
        <v>0</v>
      </c>
      <c r="Q59" s="82">
        <v>0</v>
      </c>
      <c r="S59" s="82">
        <f t="shared" ref="S59:X59" si="25">D59-D60-D61-D62</f>
        <v>-4.6566128730773926E-10</v>
      </c>
      <c r="T59" s="82">
        <f t="shared" si="25"/>
        <v>0</v>
      </c>
      <c r="U59" s="82">
        <f t="shared" si="25"/>
        <v>0</v>
      </c>
      <c r="V59" s="82">
        <f t="shared" si="25"/>
        <v>0</v>
      </c>
      <c r="W59" s="82">
        <f t="shared" si="25"/>
        <v>0</v>
      </c>
      <c r="X59" s="82">
        <f t="shared" si="25"/>
        <v>0</v>
      </c>
      <c r="AB59" s="277"/>
      <c r="AC59" s="277"/>
      <c r="AD59" s="277"/>
    </row>
    <row r="60" spans="1:30" ht="14.4" thickBot="1" x14ac:dyDescent="0.3">
      <c r="A60" s="131" t="s">
        <v>113</v>
      </c>
      <c r="B60" s="115"/>
      <c r="C60" s="196"/>
      <c r="D60" s="263">
        <v>2484300</v>
      </c>
      <c r="E60" s="263">
        <v>0</v>
      </c>
      <c r="F60" s="77">
        <v>0</v>
      </c>
      <c r="G60" s="77">
        <v>0</v>
      </c>
      <c r="H60" s="263">
        <v>0</v>
      </c>
      <c r="I60" s="263">
        <v>0</v>
      </c>
      <c r="J60" s="196"/>
      <c r="N60" s="82">
        <v>0</v>
      </c>
      <c r="O60" s="82">
        <v>0</v>
      </c>
      <c r="P60" s="82">
        <v>0</v>
      </c>
      <c r="Q60" s="82">
        <v>0</v>
      </c>
      <c r="S60" s="82">
        <f t="shared" ref="S60:X60" si="26">D59-D63</f>
        <v>0</v>
      </c>
      <c r="T60" s="82">
        <f t="shared" si="26"/>
        <v>0</v>
      </c>
      <c r="U60" s="82">
        <f t="shared" si="26"/>
        <v>0</v>
      </c>
      <c r="V60" s="82">
        <f t="shared" si="26"/>
        <v>0</v>
      </c>
      <c r="W60" s="82">
        <f t="shared" si="26"/>
        <v>0</v>
      </c>
      <c r="X60" s="82">
        <f t="shared" si="26"/>
        <v>0</v>
      </c>
      <c r="AB60" s="277"/>
      <c r="AC60" s="277"/>
      <c r="AD60" s="277"/>
    </row>
    <row r="61" spans="1:30" ht="14.4" thickBot="1" x14ac:dyDescent="0.3">
      <c r="A61" s="131" t="s">
        <v>114</v>
      </c>
      <c r="B61" s="115"/>
      <c r="C61" s="196"/>
      <c r="D61" s="263">
        <f>2354637-12427.07</f>
        <v>2342209.9300000002</v>
      </c>
      <c r="E61" s="263">
        <v>0</v>
      </c>
      <c r="F61" s="77">
        <v>0</v>
      </c>
      <c r="G61" s="77">
        <v>0</v>
      </c>
      <c r="H61" s="263">
        <v>0</v>
      </c>
      <c r="I61" s="263">
        <v>0</v>
      </c>
      <c r="J61" s="196"/>
      <c r="N61" s="82">
        <v>0</v>
      </c>
      <c r="O61" s="82">
        <v>0</v>
      </c>
      <c r="P61" s="82">
        <v>0</v>
      </c>
      <c r="Q61" s="82">
        <v>0</v>
      </c>
      <c r="AB61" s="277"/>
      <c r="AC61" s="277"/>
      <c r="AD61" s="277"/>
    </row>
    <row r="62" spans="1:30" ht="14.4" thickBot="1" x14ac:dyDescent="0.3">
      <c r="A62" s="131" t="s">
        <v>115</v>
      </c>
      <c r="B62" s="115"/>
      <c r="C62" s="196"/>
      <c r="D62" s="263">
        <v>0</v>
      </c>
      <c r="E62" s="263">
        <v>0</v>
      </c>
      <c r="F62" s="77">
        <v>0</v>
      </c>
      <c r="G62" s="77">
        <v>0</v>
      </c>
      <c r="H62" s="263">
        <v>0</v>
      </c>
      <c r="I62" s="263">
        <v>0</v>
      </c>
      <c r="J62" s="196"/>
      <c r="N62" s="82">
        <v>0</v>
      </c>
      <c r="O62" s="82">
        <v>0</v>
      </c>
      <c r="P62" s="82">
        <v>0</v>
      </c>
      <c r="Q62" s="82">
        <v>0</v>
      </c>
      <c r="AB62" s="277"/>
      <c r="AC62" s="277"/>
      <c r="AD62" s="277"/>
    </row>
    <row r="63" spans="1:30" x14ac:dyDescent="0.25">
      <c r="A63" s="254" t="s">
        <v>3</v>
      </c>
      <c r="B63" s="391">
        <v>1510</v>
      </c>
      <c r="C63" s="391">
        <v>180</v>
      </c>
      <c r="D63" s="383">
        <f>D65</f>
        <v>4826509.93</v>
      </c>
      <c r="E63" s="383">
        <v>0</v>
      </c>
      <c r="F63" s="389">
        <v>0</v>
      </c>
      <c r="G63" s="389">
        <v>0</v>
      </c>
      <c r="H63" s="383">
        <v>0</v>
      </c>
      <c r="I63" s="383">
        <v>0</v>
      </c>
      <c r="J63" s="385"/>
      <c r="N63" s="82">
        <v>0</v>
      </c>
      <c r="O63" s="82">
        <v>0</v>
      </c>
      <c r="P63" s="82">
        <v>0</v>
      </c>
      <c r="Q63" s="82">
        <v>0</v>
      </c>
      <c r="S63" s="82">
        <f>D63-D65-D66-D67</f>
        <v>0</v>
      </c>
      <c r="T63" s="82">
        <f>E63-E65</f>
        <v>0</v>
      </c>
      <c r="U63" s="82">
        <f>F63-F65</f>
        <v>0</v>
      </c>
      <c r="V63" s="82">
        <f>G63-G65</f>
        <v>0</v>
      </c>
      <c r="W63" s="82">
        <f>H63-H65</f>
        <v>0</v>
      </c>
      <c r="X63" s="82">
        <f>I63-I65</f>
        <v>0</v>
      </c>
      <c r="AB63" s="277"/>
      <c r="AC63" s="277"/>
      <c r="AD63" s="277"/>
    </row>
    <row r="64" spans="1:30" ht="2.25" customHeight="1" thickBot="1" x14ac:dyDescent="0.3">
      <c r="A64" s="131"/>
      <c r="B64" s="392"/>
      <c r="C64" s="392"/>
      <c r="D64" s="384"/>
      <c r="E64" s="384"/>
      <c r="F64" s="390"/>
      <c r="G64" s="390"/>
      <c r="H64" s="384"/>
      <c r="I64" s="384"/>
      <c r="J64" s="386"/>
      <c r="N64" s="82">
        <v>0</v>
      </c>
      <c r="O64" s="82">
        <v>0</v>
      </c>
      <c r="P64" s="82">
        <v>0</v>
      </c>
      <c r="Q64" s="82">
        <v>0</v>
      </c>
      <c r="AB64" s="277"/>
      <c r="AC64" s="277"/>
      <c r="AD64" s="277"/>
    </row>
    <row r="65" spans="1:30" ht="14.4" thickBot="1" x14ac:dyDescent="0.3">
      <c r="A65" s="131" t="s">
        <v>404</v>
      </c>
      <c r="B65" s="115"/>
      <c r="C65" s="196"/>
      <c r="D65" s="263">
        <f>2484300+2342209.93</f>
        <v>4826509.93</v>
      </c>
      <c r="E65" s="263">
        <v>0</v>
      </c>
      <c r="F65" s="77">
        <v>0</v>
      </c>
      <c r="G65" s="77">
        <v>0</v>
      </c>
      <c r="H65" s="263">
        <v>0</v>
      </c>
      <c r="I65" s="263">
        <v>0</v>
      </c>
      <c r="J65" s="196"/>
      <c r="N65" s="82">
        <v>0</v>
      </c>
      <c r="O65" s="82">
        <v>0</v>
      </c>
      <c r="P65" s="82">
        <v>0</v>
      </c>
      <c r="Q65" s="82">
        <v>0</v>
      </c>
      <c r="AB65" s="277"/>
      <c r="AC65" s="277"/>
      <c r="AD65" s="277"/>
    </row>
    <row r="66" spans="1:30" ht="15.75" customHeight="1" thickBot="1" x14ac:dyDescent="0.3">
      <c r="A66" s="131" t="s">
        <v>114</v>
      </c>
      <c r="B66" s="115"/>
      <c r="C66" s="196"/>
      <c r="D66" s="263"/>
      <c r="E66" s="263">
        <v>0</v>
      </c>
      <c r="F66" s="77">
        <v>0</v>
      </c>
      <c r="G66" s="77">
        <v>0</v>
      </c>
      <c r="H66" s="263">
        <v>0</v>
      </c>
      <c r="I66" s="263">
        <v>0</v>
      </c>
      <c r="J66" s="196"/>
      <c r="N66" s="82">
        <v>0</v>
      </c>
      <c r="O66" s="82">
        <v>0</v>
      </c>
      <c r="P66" s="82">
        <v>0</v>
      </c>
      <c r="Q66" s="82">
        <v>0</v>
      </c>
      <c r="AB66" s="277"/>
      <c r="AC66" s="277"/>
      <c r="AD66" s="277"/>
    </row>
    <row r="67" spans="1:30" ht="15.75" customHeight="1" thickBot="1" x14ac:dyDescent="0.3">
      <c r="A67" s="131" t="s">
        <v>115</v>
      </c>
      <c r="B67" s="115"/>
      <c r="C67" s="196"/>
      <c r="D67" s="263">
        <v>0</v>
      </c>
      <c r="E67" s="263">
        <v>0</v>
      </c>
      <c r="F67" s="77">
        <v>0</v>
      </c>
      <c r="G67" s="77">
        <v>0</v>
      </c>
      <c r="H67" s="263">
        <v>0</v>
      </c>
      <c r="I67" s="263">
        <v>0</v>
      </c>
      <c r="J67" s="196"/>
      <c r="N67" s="82">
        <v>0</v>
      </c>
      <c r="O67" s="82">
        <v>0</v>
      </c>
      <c r="P67" s="82">
        <v>0</v>
      </c>
      <c r="Q67" s="82">
        <v>0</v>
      </c>
      <c r="AB67" s="277"/>
      <c r="AC67" s="277"/>
      <c r="AD67" s="277"/>
    </row>
    <row r="68" spans="1:30" ht="30.75" customHeight="1" thickBot="1" x14ac:dyDescent="0.3">
      <c r="A68" s="272" t="s">
        <v>125</v>
      </c>
      <c r="B68" s="88">
        <v>1900</v>
      </c>
      <c r="C68" s="196"/>
      <c r="D68" s="274">
        <f>D70</f>
        <v>32865</v>
      </c>
      <c r="E68" s="274">
        <f>E70</f>
        <v>700</v>
      </c>
      <c r="F68" s="281">
        <f>F70</f>
        <v>0</v>
      </c>
      <c r="G68" s="281">
        <f>G70</f>
        <v>0</v>
      </c>
      <c r="H68" s="274">
        <f t="shared" ref="H68:I68" si="27">H70</f>
        <v>0</v>
      </c>
      <c r="I68" s="274">
        <f t="shared" si="27"/>
        <v>0</v>
      </c>
      <c r="J68" s="196"/>
      <c r="N68" s="82">
        <v>-380266</v>
      </c>
      <c r="O68" s="276">
        <v>-100000</v>
      </c>
      <c r="P68" s="82">
        <v>0</v>
      </c>
      <c r="Q68" s="82">
        <v>0</v>
      </c>
      <c r="S68" s="82">
        <f t="shared" ref="S68:X68" si="28">D68-D74</f>
        <v>0</v>
      </c>
      <c r="T68" s="82">
        <f t="shared" si="28"/>
        <v>700</v>
      </c>
      <c r="U68" s="82">
        <f t="shared" si="28"/>
        <v>0</v>
      </c>
      <c r="V68" s="82">
        <f t="shared" si="28"/>
        <v>0</v>
      </c>
      <c r="W68" s="82">
        <f t="shared" si="28"/>
        <v>0</v>
      </c>
      <c r="X68" s="82">
        <f t="shared" si="28"/>
        <v>0</v>
      </c>
      <c r="Y68" s="82"/>
      <c r="AB68" s="277"/>
      <c r="AC68" s="277"/>
      <c r="AD68" s="277"/>
    </row>
    <row r="69" spans="1:30" ht="14.4" thickBot="1" x14ac:dyDescent="0.3">
      <c r="A69" s="131" t="s">
        <v>3</v>
      </c>
      <c r="B69" s="115"/>
      <c r="C69" s="196"/>
      <c r="D69" s="263">
        <v>0</v>
      </c>
      <c r="E69" s="263">
        <v>0</v>
      </c>
      <c r="F69" s="77">
        <v>0</v>
      </c>
      <c r="G69" s="77">
        <v>0</v>
      </c>
      <c r="H69" s="263">
        <v>0</v>
      </c>
      <c r="I69" s="263">
        <v>0</v>
      </c>
      <c r="J69" s="196"/>
      <c r="N69" s="82">
        <v>0</v>
      </c>
      <c r="O69" s="82">
        <v>0</v>
      </c>
      <c r="P69" s="82">
        <v>0</v>
      </c>
      <c r="Q69" s="82">
        <v>0</v>
      </c>
      <c r="AB69" s="277"/>
      <c r="AC69" s="277"/>
      <c r="AD69" s="277"/>
    </row>
    <row r="70" spans="1:30" ht="31.5" customHeight="1" thickBot="1" x14ac:dyDescent="0.3">
      <c r="A70" s="131" t="s">
        <v>405</v>
      </c>
      <c r="B70" s="293"/>
      <c r="C70" s="196">
        <v>440</v>
      </c>
      <c r="D70" s="263">
        <v>32865</v>
      </c>
      <c r="E70" s="263">
        <f>3000-2300</f>
        <v>700</v>
      </c>
      <c r="F70" s="77">
        <v>0</v>
      </c>
      <c r="G70" s="77">
        <v>0</v>
      </c>
      <c r="H70" s="263">
        <v>0</v>
      </c>
      <c r="I70" s="263">
        <v>0</v>
      </c>
      <c r="J70" s="196"/>
      <c r="N70" s="82">
        <v>700</v>
      </c>
      <c r="O70" s="276">
        <v>-100000</v>
      </c>
      <c r="P70" s="82">
        <v>0</v>
      </c>
      <c r="Q70" s="82">
        <v>0</v>
      </c>
      <c r="S70" s="82">
        <f t="shared" ref="S70:X70" si="29">D68-D70-D71</f>
        <v>0</v>
      </c>
      <c r="T70" s="82">
        <f t="shared" si="29"/>
        <v>0</v>
      </c>
      <c r="U70" s="82">
        <f t="shared" si="29"/>
        <v>0</v>
      </c>
      <c r="V70" s="82">
        <f t="shared" si="29"/>
        <v>0</v>
      </c>
      <c r="W70" s="82">
        <f t="shared" si="29"/>
        <v>0</v>
      </c>
      <c r="X70" s="82">
        <f t="shared" si="29"/>
        <v>0</v>
      </c>
      <c r="AB70" s="277"/>
      <c r="AC70" s="277"/>
      <c r="AD70" s="277"/>
    </row>
    <row r="71" spans="1:30" ht="29.25" customHeight="1" thickBot="1" x14ac:dyDescent="0.3">
      <c r="A71" s="131" t="s">
        <v>406</v>
      </c>
      <c r="B71" s="115"/>
      <c r="C71" s="196">
        <v>410</v>
      </c>
      <c r="D71" s="263"/>
      <c r="E71" s="263"/>
      <c r="F71" s="77"/>
      <c r="G71" s="77"/>
      <c r="H71" s="263"/>
      <c r="I71" s="263"/>
      <c r="J71" s="196"/>
      <c r="N71" s="82">
        <v>-380966</v>
      </c>
      <c r="O71" s="82">
        <v>0</v>
      </c>
      <c r="P71" s="82">
        <v>0</v>
      </c>
      <c r="Q71" s="82">
        <v>0</v>
      </c>
      <c r="AB71" s="277"/>
      <c r="AC71" s="277"/>
      <c r="AD71" s="277"/>
    </row>
    <row r="72" spans="1:30" ht="14.4" thickBot="1" x14ac:dyDescent="0.3">
      <c r="A72" s="131" t="s">
        <v>113</v>
      </c>
      <c r="B72" s="115"/>
      <c r="C72" s="196"/>
      <c r="D72" s="263">
        <v>0</v>
      </c>
      <c r="E72" s="263">
        <v>0</v>
      </c>
      <c r="F72" s="77">
        <v>0</v>
      </c>
      <c r="G72" s="77">
        <v>0</v>
      </c>
      <c r="H72" s="263">
        <v>0</v>
      </c>
      <c r="I72" s="263">
        <v>0</v>
      </c>
      <c r="J72" s="196"/>
      <c r="N72" s="82">
        <v>0</v>
      </c>
      <c r="O72" s="82">
        <v>0</v>
      </c>
      <c r="P72" s="82">
        <v>0</v>
      </c>
      <c r="Q72" s="82">
        <v>0</v>
      </c>
      <c r="AB72" s="277"/>
      <c r="AC72" s="277"/>
      <c r="AD72" s="277"/>
    </row>
    <row r="73" spans="1:30" ht="14.4" thickBot="1" x14ac:dyDescent="0.3">
      <c r="A73" s="131" t="s">
        <v>114</v>
      </c>
      <c r="B73" s="115"/>
      <c r="C73" s="196"/>
      <c r="D73" s="263">
        <v>0</v>
      </c>
      <c r="E73" s="263">
        <v>0</v>
      </c>
      <c r="F73" s="77">
        <v>0</v>
      </c>
      <c r="G73" s="77">
        <v>0</v>
      </c>
      <c r="H73" s="263">
        <v>0</v>
      </c>
      <c r="I73" s="263">
        <v>0</v>
      </c>
      <c r="J73" s="196"/>
      <c r="N73" s="82">
        <v>0</v>
      </c>
      <c r="O73" s="82">
        <v>0</v>
      </c>
      <c r="P73" s="82">
        <v>0</v>
      </c>
      <c r="Q73" s="82">
        <v>0</v>
      </c>
      <c r="AB73" s="277"/>
      <c r="AC73" s="277"/>
      <c r="AD73" s="277"/>
    </row>
    <row r="74" spans="1:30" ht="14.4" thickBot="1" x14ac:dyDescent="0.3">
      <c r="A74" s="131" t="s">
        <v>115</v>
      </c>
      <c r="B74" s="115"/>
      <c r="C74" s="196"/>
      <c r="D74" s="263">
        <v>32865</v>
      </c>
      <c r="E74" s="263">
        <v>0</v>
      </c>
      <c r="F74" s="77">
        <v>0</v>
      </c>
      <c r="G74" s="77">
        <v>0</v>
      </c>
      <c r="H74" s="263">
        <v>0</v>
      </c>
      <c r="I74" s="263">
        <v>0</v>
      </c>
      <c r="J74" s="196"/>
      <c r="N74" s="82">
        <v>-380966</v>
      </c>
      <c r="O74" s="276">
        <v>-100000</v>
      </c>
      <c r="P74" s="82">
        <v>0</v>
      </c>
      <c r="Q74" s="82">
        <v>0</v>
      </c>
      <c r="AB74" s="277"/>
      <c r="AC74" s="277"/>
      <c r="AD74" s="277"/>
    </row>
    <row r="75" spans="1:30" ht="21" customHeight="1" thickBot="1" x14ac:dyDescent="0.3">
      <c r="A75" s="261" t="s">
        <v>318</v>
      </c>
      <c r="B75" s="88">
        <v>1980</v>
      </c>
      <c r="C75" s="87" t="s">
        <v>112</v>
      </c>
      <c r="D75" s="263">
        <v>0</v>
      </c>
      <c r="E75" s="263">
        <v>0</v>
      </c>
      <c r="F75" s="77">
        <f>SUM('[1] доходов 2023'!AU123:CR123)</f>
        <v>15358.68</v>
      </c>
      <c r="G75" s="77">
        <f>SUM(' доходов 2024'!AV125:CS125)</f>
        <v>72570.760000000009</v>
      </c>
      <c r="H75" s="263">
        <v>0</v>
      </c>
      <c r="I75" s="263">
        <v>0</v>
      </c>
      <c r="J75" s="196"/>
      <c r="N75" s="82">
        <v>0</v>
      </c>
      <c r="O75" s="82">
        <v>15358.68</v>
      </c>
      <c r="P75" s="82">
        <v>0</v>
      </c>
      <c r="Q75" s="82">
        <v>0</v>
      </c>
      <c r="S75" s="82">
        <f t="shared" ref="S75:X75" si="30">D75-D77-D78-D79</f>
        <v>0</v>
      </c>
      <c r="T75" s="82">
        <f t="shared" si="30"/>
        <v>0</v>
      </c>
      <c r="U75" s="82">
        <f t="shared" si="30"/>
        <v>0</v>
      </c>
      <c r="V75" s="82">
        <f t="shared" si="30"/>
        <v>0</v>
      </c>
      <c r="W75" s="82">
        <f t="shared" si="30"/>
        <v>0</v>
      </c>
      <c r="X75" s="82">
        <f t="shared" si="30"/>
        <v>0</v>
      </c>
      <c r="Y75" s="82"/>
      <c r="AA75" s="264">
        <f>G78+G77+G79</f>
        <v>72570.760000000009</v>
      </c>
      <c r="AB75" s="277"/>
      <c r="AC75" s="277"/>
      <c r="AD75" s="277"/>
    </row>
    <row r="76" spans="1:30" x14ac:dyDescent="0.25">
      <c r="A76" s="294" t="s">
        <v>5</v>
      </c>
      <c r="B76" s="295"/>
      <c r="C76" s="295"/>
      <c r="D76" s="296"/>
      <c r="E76" s="296"/>
      <c r="F76" s="297"/>
      <c r="G76" s="297"/>
      <c r="H76" s="296"/>
      <c r="I76" s="296"/>
      <c r="N76" s="82">
        <v>0</v>
      </c>
      <c r="O76" s="82">
        <v>0</v>
      </c>
      <c r="P76" s="82">
        <v>0</v>
      </c>
      <c r="Q76" s="82">
        <v>0</v>
      </c>
      <c r="S76" s="82">
        <f t="shared" ref="S76:X76" si="31">D75-D80</f>
        <v>0</v>
      </c>
      <c r="T76" s="82">
        <f t="shared" si="31"/>
        <v>0</v>
      </c>
      <c r="U76" s="82">
        <f t="shared" si="31"/>
        <v>0</v>
      </c>
      <c r="V76" s="82">
        <f t="shared" si="31"/>
        <v>29236.790000000008</v>
      </c>
      <c r="W76" s="82">
        <f t="shared" si="31"/>
        <v>0</v>
      </c>
      <c r="X76" s="82">
        <f t="shared" si="31"/>
        <v>0</v>
      </c>
      <c r="AB76" s="277"/>
      <c r="AC76" s="277"/>
      <c r="AD76" s="277"/>
    </row>
    <row r="77" spans="1:30" ht="14.4" thickBot="1" x14ac:dyDescent="0.3">
      <c r="A77" s="140" t="s">
        <v>113</v>
      </c>
      <c r="B77" s="131"/>
      <c r="C77" s="193"/>
      <c r="D77" s="265">
        <v>0</v>
      </c>
      <c r="E77" s="265">
        <v>0</v>
      </c>
      <c r="F77" s="252">
        <v>0</v>
      </c>
      <c r="G77" s="252">
        <v>0</v>
      </c>
      <c r="H77" s="265">
        <v>0</v>
      </c>
      <c r="I77" s="265">
        <v>0</v>
      </c>
      <c r="J77" s="196"/>
      <c r="N77" s="82">
        <v>0</v>
      </c>
      <c r="O77" s="82">
        <v>0</v>
      </c>
      <c r="P77" s="82">
        <v>0</v>
      </c>
      <c r="Q77" s="82">
        <v>0</v>
      </c>
      <c r="AB77" s="277"/>
      <c r="AC77" s="277"/>
      <c r="AD77" s="277"/>
    </row>
    <row r="78" spans="1:30" ht="14.4" thickBot="1" x14ac:dyDescent="0.3">
      <c r="A78" s="131" t="s">
        <v>114</v>
      </c>
      <c r="B78" s="115"/>
      <c r="C78" s="196"/>
      <c r="D78" s="263">
        <v>0</v>
      </c>
      <c r="E78" s="263">
        <v>0</v>
      </c>
      <c r="F78" s="77">
        <f>SUM('[1] доходов 2023'!AU123:CR123)</f>
        <v>15358.68</v>
      </c>
      <c r="G78" s="77">
        <f>SUM(' доходов 2024'!AV125:CS125)</f>
        <v>72570.760000000009</v>
      </c>
      <c r="H78" s="263">
        <v>0</v>
      </c>
      <c r="I78" s="263">
        <v>0</v>
      </c>
      <c r="J78" s="196"/>
      <c r="N78" s="82">
        <v>0</v>
      </c>
      <c r="O78" s="82">
        <v>15358.68</v>
      </c>
      <c r="P78" s="82">
        <v>0</v>
      </c>
      <c r="Q78" s="82">
        <v>0</v>
      </c>
      <c r="AB78" s="277"/>
      <c r="AC78" s="277"/>
      <c r="AD78" s="277"/>
    </row>
    <row r="79" spans="1:30" ht="14.4" thickBot="1" x14ac:dyDescent="0.3">
      <c r="A79" s="131" t="s">
        <v>115</v>
      </c>
      <c r="B79" s="115"/>
      <c r="C79" s="196"/>
      <c r="D79" s="263">
        <v>0</v>
      </c>
      <c r="E79" s="263">
        <v>0</v>
      </c>
      <c r="F79" s="77">
        <v>0</v>
      </c>
      <c r="G79" s="77">
        <v>0</v>
      </c>
      <c r="H79" s="263">
        <v>0</v>
      </c>
      <c r="I79" s="263">
        <v>0</v>
      </c>
      <c r="J79" s="196"/>
      <c r="N79" s="82">
        <v>0</v>
      </c>
      <c r="O79" s="82">
        <v>0</v>
      </c>
      <c r="P79" s="82">
        <v>0</v>
      </c>
      <c r="Q79" s="82">
        <v>0</v>
      </c>
      <c r="AB79" s="277"/>
      <c r="AC79" s="277"/>
      <c r="AD79" s="277"/>
    </row>
    <row r="80" spans="1:30" ht="69" customHeight="1" thickBot="1" x14ac:dyDescent="0.3">
      <c r="A80" s="282" t="s">
        <v>126</v>
      </c>
      <c r="B80" s="137">
        <v>1981</v>
      </c>
      <c r="C80" s="284">
        <v>510</v>
      </c>
      <c r="D80" s="298">
        <v>0</v>
      </c>
      <c r="E80" s="298">
        <v>0</v>
      </c>
      <c r="F80" s="299">
        <f>SUM('[1] доходов 2023'!AU122:CR122)</f>
        <v>15358.68</v>
      </c>
      <c r="G80" s="299">
        <f>SUM(' доходов 2024'!AV123:CS123)</f>
        <v>43333.97</v>
      </c>
      <c r="H80" s="298">
        <v>0</v>
      </c>
      <c r="I80" s="298">
        <v>0</v>
      </c>
      <c r="J80" s="284" t="s">
        <v>112</v>
      </c>
      <c r="N80" s="82">
        <v>0</v>
      </c>
      <c r="O80" s="82">
        <v>15358.68</v>
      </c>
      <c r="P80" s="82">
        <v>0</v>
      </c>
      <c r="Q80" s="82">
        <v>0</v>
      </c>
      <c r="AA80" s="256">
        <f>11376.8+3981.88</f>
        <v>15358.68</v>
      </c>
      <c r="AB80" s="277"/>
      <c r="AC80" s="277"/>
      <c r="AD80" s="277"/>
    </row>
    <row r="81" spans="1:30" ht="14.4" thickBot="1" x14ac:dyDescent="0.3">
      <c r="A81" s="131"/>
      <c r="B81" s="115"/>
      <c r="C81" s="196"/>
      <c r="D81" s="263"/>
      <c r="E81" s="263"/>
      <c r="F81" s="132"/>
      <c r="G81" s="132"/>
      <c r="H81" s="263"/>
      <c r="I81" s="263"/>
      <c r="J81" s="196"/>
      <c r="N81" s="82">
        <v>0</v>
      </c>
      <c r="O81" s="82">
        <v>0</v>
      </c>
      <c r="P81" s="82">
        <v>0</v>
      </c>
      <c r="Q81" s="82">
        <v>0</v>
      </c>
      <c r="AB81" s="277"/>
      <c r="AC81" s="277"/>
      <c r="AD81" s="277"/>
    </row>
    <row r="82" spans="1:30" s="260" customFormat="1" ht="14.4" thickBot="1" x14ac:dyDescent="0.3">
      <c r="A82" s="272" t="s">
        <v>127</v>
      </c>
      <c r="B82" s="122">
        <v>2000</v>
      </c>
      <c r="C82" s="300" t="s">
        <v>112</v>
      </c>
      <c r="D82" s="274">
        <f t="shared" ref="D82" si="32">D87+D106+D118+D126+D137+D142</f>
        <v>100710802.74000001</v>
      </c>
      <c r="E82" s="274">
        <f>E87+E106+E118+E126+E137+E142</f>
        <v>123939992.47999999</v>
      </c>
      <c r="F82" s="281">
        <f>SUM('[1] расходов 2023'!CH881:CY881)</f>
        <v>152570456.05072001</v>
      </c>
      <c r="G82" s="281">
        <f>SUM(' расходов 2024'!CI944:CZ944)</f>
        <v>177376206.40625998</v>
      </c>
      <c r="H82" s="281">
        <f>SUM(' расходов 2025'!CI912:CZ912)</f>
        <v>134901699.99846002</v>
      </c>
      <c r="I82" s="281">
        <f>SUM(' расходов 2026'!CI912:CZ912)</f>
        <v>137757600.00046</v>
      </c>
      <c r="J82" s="273"/>
      <c r="K82" s="277">
        <f>I87+I118+I150</f>
        <v>132736994.44</v>
      </c>
      <c r="N82" s="82">
        <v>22454443.979999974</v>
      </c>
      <c r="O82" s="276">
        <v>37292324.411520004</v>
      </c>
      <c r="P82" s="82">
        <v>14532100</v>
      </c>
      <c r="Q82" s="82">
        <v>12149800</v>
      </c>
      <c r="S82" s="277">
        <f t="shared" ref="S82:X82" si="33">D82-D83-D85-D86</f>
        <v>0</v>
      </c>
      <c r="T82" s="277">
        <f t="shared" si="33"/>
        <v>0</v>
      </c>
      <c r="U82" s="277">
        <f t="shared" si="33"/>
        <v>3.9295852184295654E-3</v>
      </c>
      <c r="V82" s="277" t="e">
        <f>G82-G83-#REF!-G86</f>
        <v>#REF!</v>
      </c>
      <c r="W82" s="277">
        <f t="shared" si="33"/>
        <v>-1.5399754047393799E-3</v>
      </c>
      <c r="X82" s="277">
        <f t="shared" si="33"/>
        <v>4.5999884605407715E-4</v>
      </c>
      <c r="AA82" s="280">
        <f>G87+G106+G118+G126+G137+G142</f>
        <v>177376206.41173321</v>
      </c>
      <c r="AB82" s="277"/>
      <c r="AC82" s="277"/>
      <c r="AD82" s="277"/>
    </row>
    <row r="83" spans="1:30" x14ac:dyDescent="0.25">
      <c r="A83" s="254" t="s">
        <v>5</v>
      </c>
      <c r="B83" s="387"/>
      <c r="C83" s="385"/>
      <c r="D83" s="383">
        <v>2484300</v>
      </c>
      <c r="E83" s="383">
        <f>E89+E107+E119+E127+E138+E143</f>
        <v>0</v>
      </c>
      <c r="F83" s="389">
        <f>F89+F107+F119+F127+F138+F143</f>
        <v>0</v>
      </c>
      <c r="G83" s="389">
        <f>G89+G107+G119+G127+G138+G143</f>
        <v>0</v>
      </c>
      <c r="H83" s="383">
        <v>0</v>
      </c>
      <c r="I83" s="383">
        <v>0</v>
      </c>
      <c r="J83" s="385"/>
      <c r="N83" s="82">
        <v>-1047551.94</v>
      </c>
      <c r="O83" s="82">
        <v>-361563.6</v>
      </c>
      <c r="P83" s="82">
        <v>0</v>
      </c>
      <c r="Q83" s="82">
        <v>0</v>
      </c>
      <c r="AA83" s="377"/>
      <c r="AB83" s="277"/>
      <c r="AC83" s="277"/>
      <c r="AD83" s="277"/>
    </row>
    <row r="84" spans="1:30" ht="36" customHeight="1" thickBot="1" x14ac:dyDescent="0.3">
      <c r="A84" s="131" t="s">
        <v>128</v>
      </c>
      <c r="B84" s="388"/>
      <c r="C84" s="386"/>
      <c r="D84" s="384"/>
      <c r="E84" s="384"/>
      <c r="F84" s="390"/>
      <c r="G84" s="390"/>
      <c r="H84" s="384"/>
      <c r="I84" s="384"/>
      <c r="J84" s="386"/>
      <c r="N84" s="82">
        <v>0</v>
      </c>
      <c r="O84" s="82">
        <v>0</v>
      </c>
      <c r="P84" s="82">
        <v>0</v>
      </c>
      <c r="Q84" s="82">
        <v>0</v>
      </c>
      <c r="S84" s="82">
        <f t="shared" ref="S84:X84" si="34">D83-D89-D107-D119-D127-D138-D143</f>
        <v>0</v>
      </c>
      <c r="T84" s="82">
        <f t="shared" si="34"/>
        <v>0</v>
      </c>
      <c r="U84" s="82">
        <f t="shared" si="34"/>
        <v>0</v>
      </c>
      <c r="V84" s="82">
        <f t="shared" si="34"/>
        <v>0</v>
      </c>
      <c r="W84" s="82">
        <f t="shared" si="34"/>
        <v>0</v>
      </c>
      <c r="X84" s="82">
        <f t="shared" si="34"/>
        <v>0</v>
      </c>
      <c r="AA84" s="380"/>
      <c r="AB84" s="277"/>
      <c r="AC84" s="277"/>
      <c r="AD84" s="277"/>
    </row>
    <row r="85" spans="1:30" ht="27.75" customHeight="1" thickBot="1" x14ac:dyDescent="0.3">
      <c r="A85" s="131" t="s">
        <v>129</v>
      </c>
      <c r="B85" s="115"/>
      <c r="C85" s="196"/>
      <c r="D85" s="263">
        <f>84188900+4838937-2484300-12427.07</f>
        <v>86531109.930000007</v>
      </c>
      <c r="E85" s="263">
        <f>E90+E108+E120+E144</f>
        <v>111316875.75</v>
      </c>
      <c r="F85" s="301">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301">
        <f>SUM(' расходов 2024'!BV111:CK112)+SUM(' расходов 2024'!CI12:CZ12)+SUM(' расходов 2024'!CI67:CZ67)+SUM(' расходов 2024'!CI73:CZ73)+SUM(' расходов 2024'!CI95:CZ95)+SUM(' расходов 2024'!CL115:CZ115)+SUM(' расходов 2024'!CI202:CZ202)+SUM(' расходов 2024'!CI213:CZ213)+SUM(' расходов 2024'!CI230:CZ230)+SUM(' расходов 2024'!CI250:CZ250)+SUM(' расходов 2024'!CK313:CZ313)+SUM(' расходов 2024'!CK361:CZ361)+SUM(' расходов 2024'!CK407:CZ407)+SUM(' расходов 2024'!CK426:CZ426)+SUM(' расходов 2024'!CI482:CZ482)+SUM(' расходов 2024'!CI502:CZ502)+SUM(' расходов 2024'!CI551:CZ551)+SUM(' расходов 2024'!CI572:CZ572)+SUM(' расходов 2024'!CI674:CZ674)+SUM(' расходов 2024'!CI768:CZ768)+SUM(' расходов 2024'!CI889:CZ889)+SUM(' расходов 2024'!CI903:CZ903)+SUM(' расходов 2024'!CI909:CZ909)+SUM(' расходов 2024'!CI618:CZ618)+SUM(' расходов 2024'!CI912:CZ912)</f>
        <v>160577477.26932001</v>
      </c>
      <c r="H85" s="77">
        <f>H90+H108+H120+H144</f>
        <v>122067100</v>
      </c>
      <c r="I85" s="77">
        <f>I90+I108+I120+I144</f>
        <v>124423000</v>
      </c>
      <c r="J85" s="196"/>
      <c r="N85" s="82">
        <v>21286274.689999998</v>
      </c>
      <c r="O85" s="276" t="e">
        <v>#REF!</v>
      </c>
      <c r="P85" s="82">
        <v>13909000</v>
      </c>
      <c r="Q85" s="82">
        <v>11597700</v>
      </c>
      <c r="S85" s="82">
        <f t="shared" ref="S85:X86" si="35">D85-D90-D108-D120-D128-D139-D144</f>
        <v>0</v>
      </c>
      <c r="T85" s="82">
        <f t="shared" si="35"/>
        <v>0</v>
      </c>
      <c r="U85" s="82" t="e">
        <f t="shared" si="35"/>
        <v>#REF!</v>
      </c>
      <c r="V85" s="82" t="e">
        <f>#REF!-G90-G108-G120-G128-G139-G144</f>
        <v>#REF!</v>
      </c>
      <c r="W85" s="82">
        <f t="shared" si="35"/>
        <v>0</v>
      </c>
      <c r="X85" s="82">
        <f t="shared" si="35"/>
        <v>0</v>
      </c>
      <c r="Y85" s="82"/>
      <c r="AA85" s="302">
        <f>G90+G108+G120+G144</f>
        <v>160577477.2793932</v>
      </c>
      <c r="AB85" s="277"/>
      <c r="AC85" s="277"/>
      <c r="AD85" s="277"/>
    </row>
    <row r="86" spans="1:30" ht="19.5" customHeight="1" thickBot="1" x14ac:dyDescent="0.3">
      <c r="A86" s="131" t="s">
        <v>115</v>
      </c>
      <c r="B86" s="115"/>
      <c r="C86" s="196"/>
      <c r="D86" s="263">
        <f>12383378.14-687985.33</f>
        <v>11695392.810000001</v>
      </c>
      <c r="E86" s="263">
        <f>E91+E109+E121+E140+E145</f>
        <v>12623116.73</v>
      </c>
      <c r="F86" s="77">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7">
        <f>SUM(' расходов 2024'!CI343:CZ343)+SUM(' расходов ФОТ 2024'!ET83:FJ83)+SUM(' расходов 2024'!CI16:CZ16)+SUM(' расходов 2024'!CL127:CZ127)+SUM(' расходов 2024'!CL162:CZ162)+SUM(' расходов 2024'!CI254:CZ254)+SUM(' расходов 2024'!CI265:CZ265)+SUM(' расходов 2024'!CI296:CZ296)+SUM(' расходов 2024'!CK318:CZ318)+SUM(' расходов 2024'!CK370:CZ370)+SUM(' расходов 2024'!CK412:CZ412)+SUM(' расходов 2024'!CK432:CZ432)+SUM(' расходов 2024'!CI489:CZ489)+SUM(' расходов 2024'!CI557:CZ557)+SUM(' расходов 2024'!CI593:CZ593)+SUM(' расходов 2024'!CI874:CZ874)+0.01</f>
        <v>16798729.142340001</v>
      </c>
      <c r="H86" s="77">
        <f>H91+H109+H121+H140+H145</f>
        <v>12834600</v>
      </c>
      <c r="I86" s="263">
        <f t="shared" ref="I86" si="36">I91+I109+I121+I140+I145</f>
        <v>13334600</v>
      </c>
      <c r="J86" s="196"/>
      <c r="N86" s="82">
        <v>2215721.2300000004</v>
      </c>
      <c r="O86" s="276">
        <v>2317784.8611399997</v>
      </c>
      <c r="P86" s="82">
        <v>623100</v>
      </c>
      <c r="Q86" s="82">
        <v>552100</v>
      </c>
      <c r="S86" s="82">
        <f t="shared" si="35"/>
        <v>0</v>
      </c>
      <c r="T86" s="82">
        <f t="shared" si="35"/>
        <v>0</v>
      </c>
      <c r="U86" s="82">
        <f t="shared" si="35"/>
        <v>0</v>
      </c>
      <c r="V86" s="82">
        <f t="shared" si="35"/>
        <v>0</v>
      </c>
      <c r="W86" s="82">
        <f t="shared" si="35"/>
        <v>0</v>
      </c>
      <c r="X86" s="82">
        <f t="shared" si="35"/>
        <v>0</v>
      </c>
      <c r="AA86" s="303">
        <f>G91+G109+G121+G140+G145</f>
        <v>16798729.142340001</v>
      </c>
      <c r="AB86" s="277"/>
      <c r="AC86" s="277"/>
      <c r="AD86" s="277"/>
    </row>
    <row r="87" spans="1:30" ht="21" customHeight="1" x14ac:dyDescent="0.25">
      <c r="A87" s="254" t="s">
        <v>3</v>
      </c>
      <c r="B87" s="391">
        <v>2100</v>
      </c>
      <c r="C87" s="393" t="s">
        <v>112</v>
      </c>
      <c r="D87" s="405">
        <f t="shared" ref="D87" si="37">D89+D90+D91</f>
        <v>74919869.540000007</v>
      </c>
      <c r="E87" s="405">
        <f>E89+E90+E91</f>
        <v>92192896.909999996</v>
      </c>
      <c r="F87" s="411">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411">
        <f>SUM(' расходов ФОТ 2024'!ET62:FJ62)+SUM(' расходов ФОТ 2024'!ET83:FJ83)+SUM(' расходов 2024'!CI17:CZ17)+SUM(' расходов 2024'!CI74:CZ74)+SUM(' расходов 2024'!CI96:CZ96)+SUM(' расходов 2024'!CL143:CZ143)+SUM(' расходов 2024'!CL162:CZ162)+SUM(' расходов 2024'!CI203:CZ203)+0.01</f>
        <v>114800570.24191318</v>
      </c>
      <c r="H87" s="405">
        <f t="shared" ref="H87" si="38">H89+H90+H91</f>
        <v>113809538.42</v>
      </c>
      <c r="I87" s="405">
        <f>I89+I90+I91</f>
        <v>116055279.20999999</v>
      </c>
      <c r="J87" s="393" t="s">
        <v>112</v>
      </c>
      <c r="N87" s="82">
        <v>9811943.6299999803</v>
      </c>
      <c r="O87" s="276">
        <v>18852786.785108015</v>
      </c>
      <c r="P87" s="82">
        <v>15302469.5</v>
      </c>
      <c r="Q87" s="82">
        <v>14424824.829999998</v>
      </c>
      <c r="AA87" s="379">
        <f>G89+G90+G91</f>
        <v>114800570.2519132</v>
      </c>
      <c r="AB87" s="277"/>
      <c r="AC87" s="277"/>
      <c r="AD87" s="277"/>
    </row>
    <row r="88" spans="1:30" ht="19.5" customHeight="1" thickBot="1" x14ac:dyDescent="0.3">
      <c r="A88" s="272" t="s">
        <v>130</v>
      </c>
      <c r="B88" s="392"/>
      <c r="C88" s="394"/>
      <c r="D88" s="406"/>
      <c r="E88" s="406"/>
      <c r="F88" s="412"/>
      <c r="G88" s="412"/>
      <c r="H88" s="406"/>
      <c r="I88" s="406"/>
      <c r="J88" s="394"/>
      <c r="K88" s="277"/>
      <c r="N88" s="82">
        <v>0</v>
      </c>
      <c r="O88" s="82">
        <v>0</v>
      </c>
      <c r="P88" s="82">
        <v>0</v>
      </c>
      <c r="Q88" s="82">
        <v>0</v>
      </c>
      <c r="S88" s="82">
        <f>D87-D90-D91</f>
        <v>5.5879354476928711E-9</v>
      </c>
      <c r="T88" s="82">
        <f>E87-E90-E91</f>
        <v>3.4924596548080444E-9</v>
      </c>
      <c r="U88" s="82">
        <f>F87-F90-F91-F89</f>
        <v>-3.4495810978114605E-3</v>
      </c>
      <c r="V88" s="82">
        <f>G87-G90-G91-G89</f>
        <v>-1.0000021778978407E-2</v>
      </c>
      <c r="W88" s="82">
        <f>H87-H90-H91</f>
        <v>0</v>
      </c>
      <c r="X88" s="82">
        <f>I87-I90-I91</f>
        <v>0</v>
      </c>
      <c r="AA88" s="379"/>
      <c r="AB88" s="277"/>
      <c r="AC88" s="277"/>
      <c r="AD88" s="277"/>
    </row>
    <row r="89" spans="1:30" ht="14.4" thickBot="1" x14ac:dyDescent="0.3">
      <c r="A89" s="140" t="s">
        <v>113</v>
      </c>
      <c r="B89" s="131"/>
      <c r="C89" s="193"/>
      <c r="D89" s="265">
        <v>0</v>
      </c>
      <c r="E89" s="265">
        <v>0</v>
      </c>
      <c r="F89" s="252">
        <v>0</v>
      </c>
      <c r="G89" s="252">
        <v>0</v>
      </c>
      <c r="H89" s="265">
        <v>0</v>
      </c>
      <c r="I89" s="265">
        <v>0</v>
      </c>
      <c r="J89" s="196"/>
      <c r="N89" s="82">
        <v>-1047551.94</v>
      </c>
      <c r="O89" s="82">
        <v>0</v>
      </c>
      <c r="P89" s="82">
        <v>0</v>
      </c>
      <c r="Q89" s="82">
        <v>0</v>
      </c>
      <c r="S89" s="82">
        <f>D87-D92-D94-D95-D96-D100-D101-D103</f>
        <v>7.4505805969238281E-9</v>
      </c>
      <c r="T89" s="82">
        <f>E87-E92-E94-E95-E96-E100-E101-E103</f>
        <v>-7.4505805969238281E-9</v>
      </c>
      <c r="U89" s="82">
        <f>F87-F92-F94-F95-F96-F100-F101-F103</f>
        <v>-3.7252902984619141E-9</v>
      </c>
      <c r="V89" s="82">
        <f>G87-AA92-G94-G95-G96-G100-G101-G103</f>
        <v>86584860.225473195</v>
      </c>
      <c r="W89" s="82">
        <f t="shared" ref="W89" si="39">H87-H92-H94-H95-H96-H100-H101-H103</f>
        <v>-3.7252902984619141E-9</v>
      </c>
      <c r="X89" s="82">
        <f>I87-I92-I94-I95-I96-I100-I101-I103</f>
        <v>-1.1175870895385742E-8</v>
      </c>
      <c r="AB89" s="277"/>
      <c r="AC89" s="277"/>
      <c r="AD89" s="277"/>
    </row>
    <row r="90" spans="1:30" ht="14.4" thickBot="1" x14ac:dyDescent="0.3">
      <c r="A90" s="131" t="s">
        <v>114</v>
      </c>
      <c r="B90" s="115"/>
      <c r="C90" s="196"/>
      <c r="D90" s="263">
        <f>70251034.46+1185850-9580.99-2.94</f>
        <v>71427300.530000001</v>
      </c>
      <c r="E90" s="263">
        <f>96314258.07-323501.49-5131051.76</f>
        <v>90859704.819999993</v>
      </c>
      <c r="F90" s="77">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 расходов ФОТ 2024'!ET62:FJ62)+SUM(' расходов 2024'!CI12:CZ12)+SUM(' расходов 2024'!CI67:CZ67)+SUM(' расходов 2024'!CI73:CZ73)+SUM(' расходов 2024'!CI96:CZ96)+SUM(' расходов 2024'!CL115:CZ115)+SUM(' расходов 2024'!CI203:CZ203)+0.01</f>
        <v>114398218.00957321</v>
      </c>
      <c r="H90" s="263">
        <v>113445938.42</v>
      </c>
      <c r="I90" s="263">
        <v>115691679.20999999</v>
      </c>
      <c r="J90" s="196"/>
      <c r="N90" s="82">
        <v>12703352.679999977</v>
      </c>
      <c r="O90" s="276">
        <v>19578244.399900004</v>
      </c>
      <c r="P90" s="82">
        <v>16140189.5</v>
      </c>
      <c r="Q90" s="82">
        <v>15388717.620000005</v>
      </c>
      <c r="AB90" s="277"/>
      <c r="AC90" s="277"/>
      <c r="AD90" s="277"/>
    </row>
    <row r="91" spans="1:30" ht="14.4" thickBot="1" x14ac:dyDescent="0.3">
      <c r="A91" s="131" t="s">
        <v>115</v>
      </c>
      <c r="B91" s="115"/>
      <c r="C91" s="196"/>
      <c r="D91" s="263">
        <f>3492569.01</f>
        <v>3492569.01</v>
      </c>
      <c r="E91" s="263">
        <f>1224869.49+369910.59-261587.99</f>
        <v>1333192.0900000001</v>
      </c>
      <c r="F91" s="77">
        <f>SUM('[1] расходов ФОТ 2023 '!ES83:FI83)+SUM('[1] расходов 2023'!CH16:CY16)+SUM('[1] расходов 2023'!CK127:CY127)+SUM('[1] расходов 2023'!CK162:CY162)</f>
        <v>2392552.3881399999</v>
      </c>
      <c r="G91" s="54">
        <f>SUM(' расходов ФОТ 2024'!ET83:FJ83)+SUM(' расходов 2024'!CI16:CZ16)+SUM(' расходов 2024'!CL127:CZ127)+SUM(' расходов 2024'!CL162:CZ162)+0.01</f>
        <v>402352.24234</v>
      </c>
      <c r="H91" s="263">
        <f>363600</f>
        <v>363600</v>
      </c>
      <c r="I91" s="263">
        <v>363600</v>
      </c>
      <c r="J91" s="196"/>
      <c r="K91" s="82"/>
      <c r="N91" s="82">
        <v>-1843857.11</v>
      </c>
      <c r="O91" s="82">
        <v>-725457.60985999973</v>
      </c>
      <c r="P91" s="82">
        <v>-837720</v>
      </c>
      <c r="Q91" s="82">
        <v>-963892.79</v>
      </c>
      <c r="AA91" s="266"/>
      <c r="AB91" s="277"/>
      <c r="AC91" s="277"/>
      <c r="AD91" s="277"/>
    </row>
    <row r="92" spans="1:30" ht="18.75" customHeight="1" x14ac:dyDescent="0.25">
      <c r="A92" s="254" t="s">
        <v>3</v>
      </c>
      <c r="B92" s="391">
        <v>2110</v>
      </c>
      <c r="C92" s="393">
        <v>111</v>
      </c>
      <c r="D92" s="383">
        <f>53977902.85+2668135.14</f>
        <v>56646037.990000002</v>
      </c>
      <c r="E92" s="383">
        <f>74961892.12-5131051.76</f>
        <v>69830840.359999999</v>
      </c>
      <c r="F92" s="407">
        <f>SUM('[1] расходов ФОТ 2023 '!ES61:FI61)+SUM('[1] расходов ФОТ 2023 '!ES83:FI83)+SUM('[1] расходов 2023'!CH202:CY202)</f>
        <v>80158064.066070408</v>
      </c>
      <c r="G92" s="409">
        <f>SUM(' расходов ФОТ 2024'!ET62:FJ62)+SUM(' расходов ФОТ 2024'!ET83:FJ83)+SUM(' расходов 2024'!CI202:CZ202)+0.01</f>
        <v>86584860.225473195</v>
      </c>
      <c r="H92" s="383">
        <v>87490889.730000004</v>
      </c>
      <c r="I92" s="383">
        <v>89213885.730000004</v>
      </c>
      <c r="J92" s="393" t="s">
        <v>112</v>
      </c>
      <c r="K92" s="288"/>
      <c r="N92" s="82">
        <v>7504444.8299999833</v>
      </c>
      <c r="O92" s="82">
        <v>14518853.840000004</v>
      </c>
      <c r="P92" s="82">
        <v>11850619.369999997</v>
      </c>
      <c r="Q92" s="82">
        <v>11999306.519999996</v>
      </c>
      <c r="AA92" s="381"/>
      <c r="AB92" s="277"/>
      <c r="AC92" s="277"/>
      <c r="AD92" s="277"/>
    </row>
    <row r="93" spans="1:30" ht="18" customHeight="1" thickBot="1" x14ac:dyDescent="0.3">
      <c r="A93" s="131" t="s">
        <v>131</v>
      </c>
      <c r="B93" s="392"/>
      <c r="C93" s="394"/>
      <c r="D93" s="384"/>
      <c r="E93" s="384"/>
      <c r="F93" s="408"/>
      <c r="G93" s="410"/>
      <c r="H93" s="384"/>
      <c r="I93" s="384"/>
      <c r="J93" s="394"/>
      <c r="K93" s="288" t="s">
        <v>407</v>
      </c>
      <c r="N93" s="82">
        <v>0</v>
      </c>
      <c r="O93" s="82">
        <v>0</v>
      </c>
      <c r="P93" s="82">
        <v>0</v>
      </c>
      <c r="Q93" s="82">
        <v>0</v>
      </c>
      <c r="AA93" s="381"/>
      <c r="AB93" s="277"/>
      <c r="AC93" s="277"/>
      <c r="AD93" s="277"/>
    </row>
    <row r="94" spans="1:30" ht="39.75" customHeight="1" thickBot="1" x14ac:dyDescent="0.3">
      <c r="A94" s="131" t="s">
        <v>132</v>
      </c>
      <c r="B94" s="88">
        <v>2120</v>
      </c>
      <c r="C94" s="87">
        <v>112</v>
      </c>
      <c r="D94" s="263">
        <f>138212.66+1185850-9580.35-0.64-2.94+35441.24</f>
        <v>1349919.97</v>
      </c>
      <c r="E94" s="263">
        <f>5000+41000+1723600+7539+36600+3100-33200-323501.49</f>
        <v>1460137.51</v>
      </c>
      <c r="F94" s="77">
        <f>SUM('[1] расходов 2023'!CH17:CY17)+SUM('[1] расходов 2023'!CH74:CY74)</f>
        <v>2056833.0029</v>
      </c>
      <c r="G94" s="77">
        <f>SUM(' расходов 2024'!CI17:CZ17)+SUM(' расходов 2024'!CI74:CZ74)</f>
        <v>2178030</v>
      </c>
      <c r="H94" s="263">
        <v>7200</v>
      </c>
      <c r="I94" s="263">
        <v>9600</v>
      </c>
      <c r="J94" s="87" t="s">
        <v>112</v>
      </c>
      <c r="K94" s="82"/>
      <c r="N94" s="82">
        <v>47908.460000000196</v>
      </c>
      <c r="O94" s="276">
        <v>-94574.82610000018</v>
      </c>
      <c r="P94" s="82">
        <v>-79725</v>
      </c>
      <c r="Q94" s="82">
        <v>-79000</v>
      </c>
      <c r="AB94" s="277"/>
      <c r="AC94" s="277"/>
      <c r="AD94" s="277"/>
    </row>
    <row r="95" spans="1:30" ht="66.75" customHeight="1" thickBot="1" x14ac:dyDescent="0.3">
      <c r="A95" s="131" t="s">
        <v>133</v>
      </c>
      <c r="B95" s="88">
        <v>2130</v>
      </c>
      <c r="C95" s="87">
        <v>113</v>
      </c>
      <c r="D95" s="263">
        <v>0</v>
      </c>
      <c r="E95" s="263">
        <v>0</v>
      </c>
      <c r="F95" s="77">
        <v>0</v>
      </c>
      <c r="G95" s="77">
        <v>0</v>
      </c>
      <c r="H95" s="263">
        <v>0</v>
      </c>
      <c r="I95" s="263">
        <v>0</v>
      </c>
      <c r="J95" s="87" t="s">
        <v>112</v>
      </c>
      <c r="K95" s="82"/>
      <c r="N95" s="82">
        <v>0</v>
      </c>
      <c r="O95" s="82">
        <v>0</v>
      </c>
      <c r="P95" s="82">
        <v>0</v>
      </c>
      <c r="Q95" s="82">
        <v>0</v>
      </c>
      <c r="AB95" s="277"/>
      <c r="AC95" s="277"/>
      <c r="AD95" s="277"/>
    </row>
    <row r="96" spans="1:30" ht="87.75" customHeight="1" thickBot="1" x14ac:dyDescent="0.3">
      <c r="A96" s="131" t="s">
        <v>134</v>
      </c>
      <c r="B96" s="88">
        <v>2140</v>
      </c>
      <c r="C96" s="87">
        <v>119</v>
      </c>
      <c r="D96" s="263">
        <f>16134918.95+788992.63</f>
        <v>16923911.579999998</v>
      </c>
      <c r="E96" s="263">
        <f>E97+E99</f>
        <v>20901919.040000003</v>
      </c>
      <c r="F96" s="77">
        <f>SUM('[1] расходов 2023'!CK143:CY143)+SUM('[1] расходов 2023'!CK162:CY162)+SUM('[1] расходов 2023'!CH96:CY96)</f>
        <v>22096739.876820005</v>
      </c>
      <c r="G96" s="77">
        <f>SUM(' расходов 2024'!CL143:CZ143)+SUM(' расходов 2024'!CL162:CZ162)+SUM(' расходов 2024'!CI96:CZ96)</f>
        <v>26037680.016439997</v>
      </c>
      <c r="H96" s="263">
        <v>26311448.690000001</v>
      </c>
      <c r="I96" s="263">
        <v>26831793.48</v>
      </c>
      <c r="J96" s="87" t="s">
        <v>112</v>
      </c>
      <c r="K96" s="82"/>
      <c r="N96" s="82">
        <v>2259590.34</v>
      </c>
      <c r="O96" s="82">
        <v>4428507.7766200006</v>
      </c>
      <c r="P96" s="82">
        <v>3531575.129999999</v>
      </c>
      <c r="Q96" s="82">
        <v>2504518.3099999987</v>
      </c>
      <c r="S96" s="82">
        <f t="shared" ref="S96:X96" si="40">D96-D97</f>
        <v>0</v>
      </c>
      <c r="T96" s="82">
        <f t="shared" si="40"/>
        <v>2276.7800000011921</v>
      </c>
      <c r="U96" s="82">
        <f t="shared" si="40"/>
        <v>18389.10000000149</v>
      </c>
      <c r="V96" s="82">
        <f>G96-G97-G99</f>
        <v>-1.6389094525948167E-9</v>
      </c>
      <c r="W96" s="82">
        <f t="shared" si="40"/>
        <v>0</v>
      </c>
      <c r="X96" s="82">
        <f t="shared" si="40"/>
        <v>0</v>
      </c>
      <c r="AA96" s="264">
        <f>G97+G99</f>
        <v>26037680.016439997</v>
      </c>
      <c r="AB96" s="277"/>
      <c r="AC96" s="277"/>
      <c r="AD96" s="277"/>
    </row>
    <row r="97" spans="1:30" ht="18.75" customHeight="1" x14ac:dyDescent="0.25">
      <c r="A97" s="254" t="s">
        <v>3</v>
      </c>
      <c r="B97" s="391">
        <v>2141</v>
      </c>
      <c r="C97" s="393">
        <v>119</v>
      </c>
      <c r="D97" s="383">
        <f>16134918.95+788992.63</f>
        <v>16923911.579999998</v>
      </c>
      <c r="E97" s="383">
        <v>20899642.260000002</v>
      </c>
      <c r="F97" s="389">
        <f>SUM('[1] расходов 2023'!CK143:CY143)</f>
        <v>22078350.776820004</v>
      </c>
      <c r="G97" s="389">
        <f>SUM(' расходов 2024'!CL143:CZ143)</f>
        <v>26027827.776439998</v>
      </c>
      <c r="H97" s="383">
        <f>H96</f>
        <v>26311448.690000001</v>
      </c>
      <c r="I97" s="383">
        <f>I96</f>
        <v>26831793.48</v>
      </c>
      <c r="J97" s="393" t="s">
        <v>112</v>
      </c>
      <c r="N97" s="82">
        <v>2257313.5599999987</v>
      </c>
      <c r="O97" s="82">
        <v>4410118.6766199991</v>
      </c>
      <c r="P97" s="82">
        <v>3531575.129999999</v>
      </c>
      <c r="Q97" s="82">
        <v>2504518.3099999987</v>
      </c>
      <c r="AB97" s="277"/>
      <c r="AC97" s="277"/>
      <c r="AD97" s="277"/>
    </row>
    <row r="98" spans="1:30" ht="22.5" customHeight="1" thickBot="1" x14ac:dyDescent="0.3">
      <c r="A98" s="131" t="s">
        <v>135</v>
      </c>
      <c r="B98" s="392"/>
      <c r="C98" s="394"/>
      <c r="D98" s="384"/>
      <c r="E98" s="384"/>
      <c r="F98" s="390"/>
      <c r="G98" s="390"/>
      <c r="H98" s="384"/>
      <c r="I98" s="384"/>
      <c r="J98" s="394"/>
      <c r="N98" s="82">
        <v>0</v>
      </c>
      <c r="O98" s="82">
        <v>0</v>
      </c>
      <c r="P98" s="82">
        <v>0</v>
      </c>
      <c r="Q98" s="82">
        <v>0</v>
      </c>
      <c r="AB98" s="277"/>
      <c r="AC98" s="277"/>
      <c r="AD98" s="277"/>
    </row>
    <row r="99" spans="1:30" ht="21" customHeight="1" thickBot="1" x14ac:dyDescent="0.3">
      <c r="A99" s="131" t="s">
        <v>136</v>
      </c>
      <c r="B99" s="88">
        <v>2142</v>
      </c>
      <c r="C99" s="87">
        <v>119</v>
      </c>
      <c r="D99" s="263">
        <v>0</v>
      </c>
      <c r="E99" s="263">
        <f>6000+2276.78-6000</f>
        <v>2276.7800000000007</v>
      </c>
      <c r="F99" s="77">
        <f>SUM('[1] расходов 2023'!CH96:CY96)+SUM('[1] расходов 2023'!CK162:CY162)</f>
        <v>18389.099999999999</v>
      </c>
      <c r="G99" s="77">
        <f>SUM(' расходов 2024'!CL162:CZ162)+SUM(' расходов 2024'!CI95:CZ95)</f>
        <v>9852.24</v>
      </c>
      <c r="H99" s="263">
        <v>0</v>
      </c>
      <c r="I99" s="263">
        <v>0</v>
      </c>
      <c r="J99" s="87" t="s">
        <v>112</v>
      </c>
      <c r="N99" s="82">
        <v>2276.7800000000007</v>
      </c>
      <c r="O99" s="82">
        <v>18389.099999999999</v>
      </c>
      <c r="P99" s="82">
        <v>0</v>
      </c>
      <c r="Q99" s="82">
        <v>0</v>
      </c>
      <c r="AB99" s="277"/>
      <c r="AC99" s="277"/>
      <c r="AD99" s="277"/>
    </row>
    <row r="100" spans="1:30" ht="51" customHeight="1" thickBot="1" x14ac:dyDescent="0.3">
      <c r="A100" s="131" t="s">
        <v>137</v>
      </c>
      <c r="B100" s="88">
        <v>2150</v>
      </c>
      <c r="C100" s="87">
        <v>131</v>
      </c>
      <c r="D100" s="263">
        <v>0</v>
      </c>
      <c r="E100" s="263">
        <v>0</v>
      </c>
      <c r="F100" s="77">
        <v>0</v>
      </c>
      <c r="G100" s="77">
        <v>0</v>
      </c>
      <c r="H100" s="263">
        <v>0</v>
      </c>
      <c r="I100" s="263">
        <v>0</v>
      </c>
      <c r="J100" s="87" t="s">
        <v>112</v>
      </c>
      <c r="N100" s="82">
        <v>0</v>
      </c>
      <c r="O100" s="82">
        <v>0</v>
      </c>
      <c r="P100" s="82">
        <v>0</v>
      </c>
      <c r="Q100" s="82">
        <v>0</v>
      </c>
      <c r="AB100" s="277"/>
      <c r="AC100" s="277"/>
      <c r="AD100" s="277"/>
    </row>
    <row r="101" spans="1:30" ht="79.5" customHeight="1" thickBot="1" x14ac:dyDescent="0.3">
      <c r="A101" s="131" t="s">
        <v>342</v>
      </c>
      <c r="B101" s="88">
        <v>2160</v>
      </c>
      <c r="C101" s="87">
        <v>133</v>
      </c>
      <c r="D101" s="263">
        <v>0</v>
      </c>
      <c r="E101" s="263">
        <v>0</v>
      </c>
      <c r="F101" s="77">
        <v>0</v>
      </c>
      <c r="G101" s="77">
        <v>0</v>
      </c>
      <c r="H101" s="263">
        <v>0</v>
      </c>
      <c r="I101" s="263">
        <v>0</v>
      </c>
      <c r="J101" s="87" t="s">
        <v>112</v>
      </c>
      <c r="N101" s="82">
        <v>0</v>
      </c>
      <c r="O101" s="82">
        <v>0</v>
      </c>
      <c r="P101" s="82">
        <v>0</v>
      </c>
      <c r="Q101" s="82">
        <v>0</v>
      </c>
      <c r="AB101" s="277"/>
      <c r="AC101" s="277"/>
      <c r="AD101" s="277"/>
    </row>
    <row r="102" spans="1:30" ht="52.5" customHeight="1" thickBot="1" x14ac:dyDescent="0.3">
      <c r="A102" s="131" t="s">
        <v>138</v>
      </c>
      <c r="B102" s="88">
        <v>2170</v>
      </c>
      <c r="C102" s="87">
        <v>134</v>
      </c>
      <c r="D102" s="263">
        <v>0</v>
      </c>
      <c r="E102" s="263">
        <v>0</v>
      </c>
      <c r="F102" s="77">
        <v>0</v>
      </c>
      <c r="G102" s="77">
        <v>0</v>
      </c>
      <c r="H102" s="263">
        <v>0</v>
      </c>
      <c r="I102" s="263">
        <v>0</v>
      </c>
      <c r="J102" s="87" t="s">
        <v>4</v>
      </c>
      <c r="N102" s="82">
        <v>0</v>
      </c>
      <c r="O102" s="82">
        <v>0</v>
      </c>
      <c r="P102" s="82">
        <v>0</v>
      </c>
      <c r="Q102" s="82">
        <v>0</v>
      </c>
      <c r="AB102" s="277"/>
      <c r="AC102" s="277"/>
      <c r="AD102" s="277"/>
    </row>
    <row r="103" spans="1:30" ht="69" customHeight="1" thickBot="1" x14ac:dyDescent="0.3">
      <c r="A103" s="131" t="s">
        <v>139</v>
      </c>
      <c r="B103" s="88">
        <v>2180</v>
      </c>
      <c r="C103" s="87">
        <v>139</v>
      </c>
      <c r="D103" s="263">
        <v>0</v>
      </c>
      <c r="E103" s="263">
        <v>0</v>
      </c>
      <c r="F103" s="77">
        <v>0</v>
      </c>
      <c r="G103" s="77">
        <v>0</v>
      </c>
      <c r="H103" s="263">
        <v>0</v>
      </c>
      <c r="I103" s="263">
        <v>0</v>
      </c>
      <c r="J103" s="87" t="s">
        <v>112</v>
      </c>
      <c r="N103" s="82">
        <v>0</v>
      </c>
      <c r="O103" s="82">
        <v>0</v>
      </c>
      <c r="P103" s="82">
        <v>0</v>
      </c>
      <c r="Q103" s="82">
        <v>0</v>
      </c>
      <c r="AB103" s="277"/>
      <c r="AC103" s="277"/>
      <c r="AD103" s="277"/>
    </row>
    <row r="104" spans="1:30" ht="19.5" customHeight="1" x14ac:dyDescent="0.25">
      <c r="A104" s="254" t="s">
        <v>3</v>
      </c>
      <c r="B104" s="391">
        <v>2181</v>
      </c>
      <c r="C104" s="393">
        <v>139</v>
      </c>
      <c r="D104" s="383">
        <v>0</v>
      </c>
      <c r="E104" s="383">
        <v>0</v>
      </c>
      <c r="F104" s="389">
        <v>0</v>
      </c>
      <c r="G104" s="389">
        <v>0</v>
      </c>
      <c r="H104" s="383">
        <v>0</v>
      </c>
      <c r="I104" s="383">
        <v>0</v>
      </c>
      <c r="J104" s="393" t="s">
        <v>112</v>
      </c>
      <c r="N104" s="82">
        <v>0</v>
      </c>
      <c r="O104" s="82">
        <v>0</v>
      </c>
      <c r="P104" s="82">
        <v>0</v>
      </c>
      <c r="Q104" s="82">
        <v>0</v>
      </c>
      <c r="AB104" s="277"/>
      <c r="AC104" s="277"/>
      <c r="AD104" s="277"/>
    </row>
    <row r="105" spans="1:30" ht="18.75" customHeight="1" thickBot="1" x14ac:dyDescent="0.3">
      <c r="A105" s="131" t="s">
        <v>140</v>
      </c>
      <c r="B105" s="392"/>
      <c r="C105" s="394"/>
      <c r="D105" s="384"/>
      <c r="E105" s="384"/>
      <c r="F105" s="390"/>
      <c r="G105" s="390"/>
      <c r="H105" s="384"/>
      <c r="I105" s="384"/>
      <c r="J105" s="394"/>
      <c r="N105" s="82">
        <v>0</v>
      </c>
      <c r="O105" s="82">
        <v>0</v>
      </c>
      <c r="P105" s="82">
        <v>0</v>
      </c>
      <c r="Q105" s="82">
        <v>0</v>
      </c>
      <c r="AB105" s="277"/>
      <c r="AC105" s="277"/>
      <c r="AD105" s="277"/>
    </row>
    <row r="106" spans="1:30" ht="37.5" customHeight="1" thickBot="1" x14ac:dyDescent="0.3">
      <c r="A106" s="272" t="s">
        <v>141</v>
      </c>
      <c r="B106" s="88">
        <v>2200</v>
      </c>
      <c r="C106" s="87">
        <v>300</v>
      </c>
      <c r="D106" s="274">
        <f>D107+D108+D109</f>
        <v>1531751.03</v>
      </c>
      <c r="E106" s="274">
        <f>E107+E108+E109</f>
        <v>77500</v>
      </c>
      <c r="F106" s="281">
        <f>SUM('[1] расходов 2023'!CH213:CY213)</f>
        <v>64000</v>
      </c>
      <c r="G106" s="281">
        <f>SUM(' расходов 2024'!CI213:CZ213)</f>
        <v>63000</v>
      </c>
      <c r="H106" s="274">
        <f t="shared" ref="H106:I106" si="41">H107+H108+H109</f>
        <v>0</v>
      </c>
      <c r="I106" s="274">
        <f t="shared" si="41"/>
        <v>0</v>
      </c>
      <c r="J106" s="87" t="s">
        <v>112</v>
      </c>
      <c r="N106" s="82">
        <v>-86104.099999999977</v>
      </c>
      <c r="O106" s="82">
        <v>-775859.86999999988</v>
      </c>
      <c r="P106" s="82">
        <v>0</v>
      </c>
      <c r="Q106" s="82">
        <v>0</v>
      </c>
      <c r="S106" s="82">
        <f t="shared" ref="S106:X106" si="42">D106-D107-D108-D109</f>
        <v>0</v>
      </c>
      <c r="T106" s="82">
        <f t="shared" si="42"/>
        <v>0</v>
      </c>
      <c r="U106" s="82">
        <f t="shared" si="42"/>
        <v>0</v>
      </c>
      <c r="V106" s="82">
        <f t="shared" si="42"/>
        <v>0</v>
      </c>
      <c r="W106" s="82">
        <f t="shared" si="42"/>
        <v>0</v>
      </c>
      <c r="X106" s="82">
        <f t="shared" si="42"/>
        <v>0</v>
      </c>
      <c r="AA106" s="264">
        <f>G107+G108+G109</f>
        <v>63000</v>
      </c>
      <c r="AB106" s="277"/>
      <c r="AC106" s="277"/>
      <c r="AD106" s="277"/>
    </row>
    <row r="107" spans="1:30" ht="14.4" thickBot="1" x14ac:dyDescent="0.3">
      <c r="A107" s="140" t="s">
        <v>113</v>
      </c>
      <c r="B107" s="131"/>
      <c r="C107" s="193"/>
      <c r="D107" s="265">
        <v>0</v>
      </c>
      <c r="E107" s="265">
        <v>0</v>
      </c>
      <c r="F107" s="252">
        <v>0</v>
      </c>
      <c r="G107" s="252">
        <v>0</v>
      </c>
      <c r="H107" s="265">
        <v>0</v>
      </c>
      <c r="I107" s="265">
        <v>0</v>
      </c>
      <c r="J107" s="196"/>
      <c r="N107" s="82">
        <v>0</v>
      </c>
      <c r="O107" s="82">
        <v>0</v>
      </c>
      <c r="P107" s="82">
        <v>0</v>
      </c>
      <c r="Q107" s="82">
        <v>0</v>
      </c>
      <c r="S107" s="82">
        <f t="shared" ref="S107:X107" si="43">D110-D115-D116-D117</f>
        <v>1531751.03</v>
      </c>
      <c r="T107" s="82">
        <f t="shared" si="43"/>
        <v>77500</v>
      </c>
      <c r="U107" s="82">
        <f t="shared" si="43"/>
        <v>64000</v>
      </c>
      <c r="V107" s="82">
        <f t="shared" si="43"/>
        <v>63000</v>
      </c>
      <c r="W107" s="82">
        <f t="shared" si="43"/>
        <v>0</v>
      </c>
      <c r="X107" s="82">
        <f t="shared" si="43"/>
        <v>0</v>
      </c>
      <c r="AB107" s="277"/>
      <c r="AC107" s="277"/>
      <c r="AD107" s="277"/>
    </row>
    <row r="108" spans="1:30" ht="14.4" thickBot="1" x14ac:dyDescent="0.3">
      <c r="A108" s="131" t="s">
        <v>114</v>
      </c>
      <c r="B108" s="115"/>
      <c r="C108" s="196"/>
      <c r="D108" s="263">
        <f>D114+D112</f>
        <v>1531751.03</v>
      </c>
      <c r="E108" s="263">
        <f>E112+E114</f>
        <v>77500</v>
      </c>
      <c r="F108" s="77">
        <f>SUM('[1] расходов 2023'!CH213:CY213)</f>
        <v>64000</v>
      </c>
      <c r="G108" s="77">
        <f>SUM(' расходов 2024'!CI213:CZ213)</f>
        <v>63000</v>
      </c>
      <c r="H108" s="263">
        <v>0</v>
      </c>
      <c r="I108" s="263">
        <v>0</v>
      </c>
      <c r="J108" s="196"/>
      <c r="N108" s="82">
        <v>-86104.099999999977</v>
      </c>
      <c r="O108" s="82">
        <v>-775859.86999999988</v>
      </c>
      <c r="P108" s="82">
        <v>0</v>
      </c>
      <c r="Q108" s="82">
        <v>0</v>
      </c>
      <c r="AA108" s="264">
        <f>G112+G114</f>
        <v>63000</v>
      </c>
      <c r="AB108" s="277"/>
      <c r="AC108" s="277"/>
      <c r="AD108" s="277"/>
    </row>
    <row r="109" spans="1:30" ht="14.4" thickBot="1" x14ac:dyDescent="0.3">
      <c r="A109" s="131" t="s">
        <v>115</v>
      </c>
      <c r="B109" s="115"/>
      <c r="C109" s="196"/>
      <c r="D109" s="263">
        <v>0</v>
      </c>
      <c r="E109" s="263">
        <v>0</v>
      </c>
      <c r="F109" s="77">
        <v>0</v>
      </c>
      <c r="G109" s="77">
        <v>0</v>
      </c>
      <c r="H109" s="263">
        <v>0</v>
      </c>
      <c r="I109" s="263">
        <v>0</v>
      </c>
      <c r="J109" s="196"/>
      <c r="N109" s="82">
        <v>0</v>
      </c>
      <c r="O109" s="82">
        <v>0</v>
      </c>
      <c r="P109" s="82">
        <v>0</v>
      </c>
      <c r="Q109" s="82">
        <v>0</v>
      </c>
      <c r="AB109" s="277"/>
      <c r="AC109" s="277"/>
      <c r="AD109" s="277"/>
    </row>
    <row r="110" spans="1:30" ht="20.25" customHeight="1" x14ac:dyDescent="0.25">
      <c r="A110" s="254" t="s">
        <v>3</v>
      </c>
      <c r="B110" s="391">
        <v>2210</v>
      </c>
      <c r="C110" s="393">
        <v>320</v>
      </c>
      <c r="D110" s="383">
        <f>D112+D114</f>
        <v>1531751.03</v>
      </c>
      <c r="E110" s="383">
        <f>E112+E114</f>
        <v>77500</v>
      </c>
      <c r="F110" s="389">
        <f>SUM('[1] расходов 2023'!CH213:CY213)</f>
        <v>64000</v>
      </c>
      <c r="G110" s="389">
        <f>SUM(' расходов 2024'!CI213:CZ213)</f>
        <v>63000</v>
      </c>
      <c r="H110" s="383">
        <v>0</v>
      </c>
      <c r="I110" s="383">
        <v>0</v>
      </c>
      <c r="J110" s="393" t="s">
        <v>112</v>
      </c>
      <c r="N110" s="82">
        <v>-86104.099999999977</v>
      </c>
      <c r="O110" s="82">
        <v>-775859.86999999988</v>
      </c>
      <c r="P110" s="82">
        <v>0</v>
      </c>
      <c r="Q110" s="82">
        <v>0</v>
      </c>
      <c r="AA110" s="375">
        <f>G112+G114</f>
        <v>63000</v>
      </c>
      <c r="AB110" s="277"/>
      <c r="AC110" s="277"/>
      <c r="AD110" s="277"/>
    </row>
    <row r="111" spans="1:30" ht="51.75" customHeight="1" thickBot="1" x14ac:dyDescent="0.3">
      <c r="A111" s="131" t="s">
        <v>142</v>
      </c>
      <c r="B111" s="392"/>
      <c r="C111" s="394"/>
      <c r="D111" s="384"/>
      <c r="E111" s="384"/>
      <c r="F111" s="390"/>
      <c r="G111" s="390"/>
      <c r="H111" s="384"/>
      <c r="I111" s="384"/>
      <c r="J111" s="394"/>
      <c r="N111" s="82">
        <v>0</v>
      </c>
      <c r="O111" s="82">
        <v>0</v>
      </c>
      <c r="P111" s="82">
        <v>0</v>
      </c>
      <c r="Q111" s="82">
        <v>0</v>
      </c>
      <c r="S111" s="82">
        <f t="shared" ref="S111:X111" si="44">D110-D112-D114</f>
        <v>0</v>
      </c>
      <c r="T111" s="82">
        <f t="shared" si="44"/>
        <v>0</v>
      </c>
      <c r="U111" s="82">
        <f t="shared" si="44"/>
        <v>0</v>
      </c>
      <c r="V111" s="82">
        <f t="shared" si="44"/>
        <v>0</v>
      </c>
      <c r="W111" s="82">
        <f t="shared" si="44"/>
        <v>0</v>
      </c>
      <c r="X111" s="82">
        <f t="shared" si="44"/>
        <v>0</v>
      </c>
      <c r="AA111" s="376"/>
      <c r="AB111" s="277"/>
      <c r="AC111" s="277"/>
      <c r="AD111" s="277"/>
    </row>
    <row r="112" spans="1:30" x14ac:dyDescent="0.25">
      <c r="A112" s="254" t="s">
        <v>5</v>
      </c>
      <c r="B112" s="391">
        <v>2211</v>
      </c>
      <c r="C112" s="393">
        <v>321</v>
      </c>
      <c r="D112" s="383">
        <v>1273372.77</v>
      </c>
      <c r="E112" s="383">
        <v>0</v>
      </c>
      <c r="F112" s="389">
        <v>0</v>
      </c>
      <c r="G112" s="389">
        <v>0</v>
      </c>
      <c r="H112" s="383">
        <v>0</v>
      </c>
      <c r="I112" s="383">
        <v>0</v>
      </c>
      <c r="J112" s="393" t="s">
        <v>112</v>
      </c>
      <c r="N112" s="82">
        <v>-106604.09999999999</v>
      </c>
      <c r="O112" s="82">
        <v>-762359.86999999988</v>
      </c>
      <c r="P112" s="82">
        <v>0</v>
      </c>
      <c r="Q112" s="82">
        <v>0</v>
      </c>
      <c r="AB112" s="277"/>
      <c r="AC112" s="277"/>
      <c r="AD112" s="277"/>
    </row>
    <row r="113" spans="1:30" ht="61.5" customHeight="1" thickBot="1" x14ac:dyDescent="0.3">
      <c r="A113" s="131" t="s">
        <v>143</v>
      </c>
      <c r="B113" s="392"/>
      <c r="C113" s="394"/>
      <c r="D113" s="384"/>
      <c r="E113" s="384"/>
      <c r="F113" s="390"/>
      <c r="G113" s="390"/>
      <c r="H113" s="384"/>
      <c r="I113" s="384"/>
      <c r="J113" s="394"/>
      <c r="N113" s="82">
        <v>0</v>
      </c>
      <c r="O113" s="82">
        <v>0</v>
      </c>
      <c r="P113" s="82">
        <v>0</v>
      </c>
      <c r="Q113" s="82">
        <v>0</v>
      </c>
      <c r="Y113" s="82"/>
      <c r="AB113" s="277"/>
      <c r="AC113" s="277"/>
      <c r="AD113" s="277"/>
    </row>
    <row r="114" spans="1:30" ht="48.75" customHeight="1" thickBot="1" x14ac:dyDescent="0.3">
      <c r="A114" s="131" t="s">
        <v>216</v>
      </c>
      <c r="B114" s="88">
        <v>2212</v>
      </c>
      <c r="C114" s="88">
        <v>323</v>
      </c>
      <c r="D114" s="263">
        <f>58770+199608.26</f>
        <v>258378.26</v>
      </c>
      <c r="E114" s="263">
        <v>77500</v>
      </c>
      <c r="F114" s="77">
        <f>SUM('[1] расходов 2023'!CH212:CY212)</f>
        <v>64000</v>
      </c>
      <c r="G114" s="77">
        <f>SUM(' расходов 2024'!CI213:CZ213)</f>
        <v>63000</v>
      </c>
      <c r="H114" s="263">
        <v>0</v>
      </c>
      <c r="I114" s="263">
        <v>0</v>
      </c>
      <c r="J114" s="87"/>
      <c r="N114" s="82">
        <v>20500</v>
      </c>
      <c r="O114" s="82">
        <v>-13500</v>
      </c>
      <c r="P114" s="82">
        <v>0</v>
      </c>
      <c r="Q114" s="82">
        <v>0</v>
      </c>
      <c r="AB114" s="277"/>
      <c r="AC114" s="277"/>
      <c r="AD114" s="277"/>
    </row>
    <row r="115" spans="1:30" ht="68.25" customHeight="1" thickBot="1" x14ac:dyDescent="0.3">
      <c r="A115" s="131" t="s">
        <v>144</v>
      </c>
      <c r="B115" s="88">
        <v>2220</v>
      </c>
      <c r="C115" s="87">
        <v>340</v>
      </c>
      <c r="D115" s="263">
        <v>0</v>
      </c>
      <c r="E115" s="263">
        <v>0</v>
      </c>
      <c r="F115" s="77">
        <v>0</v>
      </c>
      <c r="G115" s="77">
        <v>0</v>
      </c>
      <c r="H115" s="263">
        <v>0</v>
      </c>
      <c r="I115" s="263">
        <v>0</v>
      </c>
      <c r="J115" s="87" t="s">
        <v>112</v>
      </c>
      <c r="N115" s="82">
        <v>0</v>
      </c>
      <c r="O115" s="82">
        <v>0</v>
      </c>
      <c r="P115" s="82">
        <v>0</v>
      </c>
      <c r="Q115" s="82">
        <v>0</v>
      </c>
      <c r="AB115" s="277"/>
      <c r="AC115" s="277"/>
      <c r="AD115" s="277"/>
    </row>
    <row r="116" spans="1:30" ht="108.75" customHeight="1" thickBot="1" x14ac:dyDescent="0.3">
      <c r="A116" s="131" t="s">
        <v>145</v>
      </c>
      <c r="B116" s="88">
        <v>2230</v>
      </c>
      <c r="C116" s="87">
        <v>350</v>
      </c>
      <c r="D116" s="263">
        <v>0</v>
      </c>
      <c r="E116" s="263">
        <v>0</v>
      </c>
      <c r="F116" s="77">
        <v>0</v>
      </c>
      <c r="G116" s="77">
        <v>0</v>
      </c>
      <c r="H116" s="263">
        <v>0</v>
      </c>
      <c r="I116" s="263">
        <v>0</v>
      </c>
      <c r="J116" s="87" t="s">
        <v>112</v>
      </c>
      <c r="N116" s="82">
        <v>0</v>
      </c>
      <c r="O116" s="82">
        <v>0</v>
      </c>
      <c r="P116" s="82">
        <v>0</v>
      </c>
      <c r="Q116" s="82">
        <v>0</v>
      </c>
      <c r="AB116" s="277"/>
      <c r="AC116" s="277"/>
      <c r="AD116" s="277"/>
    </row>
    <row r="117" spans="1:30" ht="30.75" customHeight="1" thickBot="1" x14ac:dyDescent="0.3">
      <c r="A117" s="131" t="s">
        <v>343</v>
      </c>
      <c r="B117" s="88">
        <v>2240</v>
      </c>
      <c r="C117" s="87">
        <v>360</v>
      </c>
      <c r="D117" s="263">
        <v>0</v>
      </c>
      <c r="E117" s="263">
        <v>0</v>
      </c>
      <c r="F117" s="77">
        <v>0</v>
      </c>
      <c r="G117" s="77">
        <v>0</v>
      </c>
      <c r="H117" s="263">
        <v>0</v>
      </c>
      <c r="I117" s="263">
        <v>0</v>
      </c>
      <c r="J117" s="87" t="s">
        <v>112</v>
      </c>
      <c r="N117" s="82">
        <v>0</v>
      </c>
      <c r="O117" s="82">
        <v>0</v>
      </c>
      <c r="P117" s="82">
        <v>0</v>
      </c>
      <c r="Q117" s="82">
        <v>0</v>
      </c>
      <c r="AB117" s="277"/>
      <c r="AC117" s="277"/>
      <c r="AD117" s="277"/>
    </row>
    <row r="118" spans="1:30" ht="33" customHeight="1" thickBot="1" x14ac:dyDescent="0.3">
      <c r="A118" s="272" t="s">
        <v>146</v>
      </c>
      <c r="B118" s="88">
        <v>2300</v>
      </c>
      <c r="C118" s="87">
        <v>850</v>
      </c>
      <c r="D118" s="274">
        <f>D119+D120+D121</f>
        <v>626322.06999999995</v>
      </c>
      <c r="E118" s="274">
        <f>E119+E120+E121</f>
        <v>375627.57</v>
      </c>
      <c r="F118" s="281">
        <f>SUM('[1] расходов 2023'!CH234:CY234)+SUM('[1] расходов 2023'!CH255:CY255)+SUM('[1] расходов 2023'!CH265:CY265)</f>
        <v>328506.92</v>
      </c>
      <c r="G118" s="281">
        <f>SUM(' расходов 2024'!CI234:CZ234)+SUM(' расходов 2024'!CI255:CZ255)+SUM(' расходов 2024'!CI265:CZ265)</f>
        <v>323699.99980000005</v>
      </c>
      <c r="H118" s="274">
        <f t="shared" ref="H118:I118" si="45">H119+H120+H121</f>
        <v>315100</v>
      </c>
      <c r="I118" s="274">
        <f t="shared" si="45"/>
        <v>312400</v>
      </c>
      <c r="J118" s="87" t="s">
        <v>112</v>
      </c>
      <c r="N118" s="82">
        <v>-68914.94</v>
      </c>
      <c r="O118" s="276">
        <v>-209582.08000000002</v>
      </c>
      <c r="P118" s="82">
        <v>-51700</v>
      </c>
      <c r="Q118" s="82">
        <v>-49300</v>
      </c>
      <c r="S118" s="82">
        <f t="shared" ref="S118:X118" si="46">D118-D119-D120-D121</f>
        <v>-5.0931703299283981E-11</v>
      </c>
      <c r="T118" s="82">
        <f t="shared" si="46"/>
        <v>7.0485839387401938E-12</v>
      </c>
      <c r="U118" s="82">
        <f t="shared" si="46"/>
        <v>-1.6370904631912708E-11</v>
      </c>
      <c r="V118" s="82">
        <f t="shared" si="46"/>
        <v>0</v>
      </c>
      <c r="W118" s="82">
        <f t="shared" si="46"/>
        <v>0</v>
      </c>
      <c r="X118" s="82">
        <f t="shared" si="46"/>
        <v>0</v>
      </c>
      <c r="AA118" s="264">
        <f>G119+G120+G121</f>
        <v>323699.99980000005</v>
      </c>
      <c r="AB118" s="277"/>
      <c r="AC118" s="277"/>
      <c r="AD118" s="277"/>
    </row>
    <row r="119" spans="1:30" ht="14.4" thickBot="1" x14ac:dyDescent="0.3">
      <c r="A119" s="140" t="s">
        <v>113</v>
      </c>
      <c r="B119" s="131"/>
      <c r="C119" s="193"/>
      <c r="D119" s="265">
        <v>0</v>
      </c>
      <c r="E119" s="265">
        <v>0</v>
      </c>
      <c r="F119" s="252">
        <v>0</v>
      </c>
      <c r="G119" s="252">
        <v>0</v>
      </c>
      <c r="H119" s="265">
        <v>0</v>
      </c>
      <c r="I119" s="265">
        <v>0</v>
      </c>
      <c r="J119" s="196"/>
      <c r="N119" s="82">
        <v>0</v>
      </c>
      <c r="O119" s="82">
        <v>0</v>
      </c>
      <c r="P119" s="82">
        <v>0</v>
      </c>
      <c r="Q119" s="82">
        <v>0</v>
      </c>
      <c r="S119" s="82">
        <f t="shared" ref="S119:X119" si="47">D118-D122-D124-D125</f>
        <v>-5.0931703299283981E-11</v>
      </c>
      <c r="T119" s="82">
        <f t="shared" si="47"/>
        <v>7.0485839387401938E-12</v>
      </c>
      <c r="U119" s="82">
        <f t="shared" si="47"/>
        <v>-1.6257217794191092E-11</v>
      </c>
      <c r="V119" s="82">
        <f t="shared" si="47"/>
        <v>1.1823431123048067E-11</v>
      </c>
      <c r="W119" s="82">
        <f t="shared" si="47"/>
        <v>0</v>
      </c>
      <c r="X119" s="82">
        <f t="shared" si="47"/>
        <v>0</v>
      </c>
      <c r="AB119" s="304"/>
      <c r="AC119" s="277"/>
      <c r="AD119" s="277"/>
    </row>
    <row r="120" spans="1:30" ht="14.4" thickBot="1" x14ac:dyDescent="0.3">
      <c r="A120" s="131" t="s">
        <v>114</v>
      </c>
      <c r="B120" s="115"/>
      <c r="C120" s="196"/>
      <c r="D120" s="263">
        <f>586175+27393</f>
        <v>613568</v>
      </c>
      <c r="E120" s="263">
        <f>E122+E124</f>
        <v>374589</v>
      </c>
      <c r="F120" s="77">
        <f>SUM('[1] расходов 2023'!CH230:CY230)+SUM('[1] расходов 2023'!CH250:CY250)</f>
        <v>326660</v>
      </c>
      <c r="G120" s="77">
        <f>SUM(' расходов 2024'!CI230:CZ230)+SUM(' расходов 2024'!CI250:CZ250)</f>
        <v>318699.99980000005</v>
      </c>
      <c r="H120" s="263">
        <f>H122+H124</f>
        <v>315100</v>
      </c>
      <c r="I120" s="77">
        <f>I122+I124</f>
        <v>312400</v>
      </c>
      <c r="J120" s="196"/>
      <c r="N120" s="82">
        <v>-69952</v>
      </c>
      <c r="O120" s="276">
        <v>-106429</v>
      </c>
      <c r="P120" s="82">
        <v>-48700</v>
      </c>
      <c r="Q120" s="82">
        <v>-46300</v>
      </c>
      <c r="AA120" s="264">
        <f>G122+G124</f>
        <v>318699.99980000005</v>
      </c>
      <c r="AB120" s="304"/>
      <c r="AC120" s="277"/>
      <c r="AD120" s="277"/>
    </row>
    <row r="121" spans="1:30" ht="14.4" thickBot="1" x14ac:dyDescent="0.3">
      <c r="A121" s="131" t="s">
        <v>115</v>
      </c>
      <c r="B121" s="115"/>
      <c r="C121" s="196"/>
      <c r="D121" s="263">
        <f>2850+9904.07</f>
        <v>12754.07</v>
      </c>
      <c r="E121" s="263">
        <f>E125</f>
        <v>1038.57</v>
      </c>
      <c r="F121" s="77">
        <f>SUM('[1] расходов 2023'!CH254:CY254)+SUM('[1] расходов 2023'!CH265:CY265)</f>
        <v>1846.92</v>
      </c>
      <c r="G121" s="77">
        <f>SUM(' расходов 2024'!CI254:CZ254)+SUM(' расходов 2024'!CI265:CZ265)</f>
        <v>5000</v>
      </c>
      <c r="H121" s="263">
        <f>H125</f>
        <v>0</v>
      </c>
      <c r="I121" s="263">
        <f>I125</f>
        <v>0</v>
      </c>
      <c r="J121" s="196"/>
      <c r="N121" s="82">
        <v>1037.06</v>
      </c>
      <c r="O121" s="82">
        <v>-103153.08</v>
      </c>
      <c r="P121" s="82">
        <v>-3000</v>
      </c>
      <c r="Q121" s="82">
        <v>-3000</v>
      </c>
      <c r="AB121" s="277"/>
      <c r="AC121" s="277"/>
      <c r="AD121" s="277"/>
    </row>
    <row r="122" spans="1:30" x14ac:dyDescent="0.25">
      <c r="A122" s="254" t="s">
        <v>3</v>
      </c>
      <c r="B122" s="391">
        <v>2310</v>
      </c>
      <c r="C122" s="393">
        <v>851</v>
      </c>
      <c r="D122" s="383">
        <v>586175</v>
      </c>
      <c r="E122" s="383">
        <v>365517</v>
      </c>
      <c r="F122" s="389">
        <f>SUM('[1] расходов 2023'!CH234:CY234)</f>
        <v>315720</v>
      </c>
      <c r="G122" s="389">
        <f>SUM(' расходов 2024'!CI234:CZ234)</f>
        <v>310711.79980000004</v>
      </c>
      <c r="H122" s="383">
        <v>307111</v>
      </c>
      <c r="I122" s="389">
        <v>304411</v>
      </c>
      <c r="J122" s="393" t="s">
        <v>112</v>
      </c>
      <c r="N122" s="82">
        <v>-72815</v>
      </c>
      <c r="O122" s="276">
        <v>-114069</v>
      </c>
      <c r="P122" s="82">
        <v>-54553</v>
      </c>
      <c r="Q122" s="82">
        <v>-52189</v>
      </c>
      <c r="AB122" s="277"/>
      <c r="AC122" s="277"/>
      <c r="AD122" s="277"/>
    </row>
    <row r="123" spans="1:30" ht="37.5" customHeight="1" thickBot="1" x14ac:dyDescent="0.3">
      <c r="A123" s="131" t="s">
        <v>147</v>
      </c>
      <c r="B123" s="392"/>
      <c r="C123" s="394"/>
      <c r="D123" s="384"/>
      <c r="E123" s="384"/>
      <c r="F123" s="390"/>
      <c r="G123" s="390"/>
      <c r="H123" s="384"/>
      <c r="I123" s="390"/>
      <c r="J123" s="394"/>
      <c r="N123" s="82">
        <v>0</v>
      </c>
      <c r="O123" s="82">
        <v>0</v>
      </c>
      <c r="P123" s="82">
        <v>0</v>
      </c>
      <c r="Q123" s="82">
        <v>0</v>
      </c>
      <c r="AB123" s="277"/>
      <c r="AC123" s="277"/>
      <c r="AD123" s="277"/>
    </row>
    <row r="124" spans="1:30" ht="72" customHeight="1" thickBot="1" x14ac:dyDescent="0.3">
      <c r="A124" s="131" t="s">
        <v>235</v>
      </c>
      <c r="B124" s="88">
        <v>2320</v>
      </c>
      <c r="C124" s="87">
        <v>852</v>
      </c>
      <c r="D124" s="263">
        <f>27393+2850</f>
        <v>30243</v>
      </c>
      <c r="E124" s="263">
        <f>9499-427</f>
        <v>9072</v>
      </c>
      <c r="F124" s="77">
        <f>SUM('[1] расходов 2023'!CH255:CY255)</f>
        <v>12240</v>
      </c>
      <c r="G124" s="77">
        <f>SUM(' расходов 2024'!CI255:CZ255)</f>
        <v>7988.2</v>
      </c>
      <c r="H124" s="263">
        <v>7989</v>
      </c>
      <c r="I124" s="77">
        <v>7989</v>
      </c>
      <c r="J124" s="87" t="s">
        <v>112</v>
      </c>
      <c r="N124" s="82">
        <v>2863</v>
      </c>
      <c r="O124" s="276">
        <v>8940</v>
      </c>
      <c r="P124" s="82">
        <v>5853</v>
      </c>
      <c r="Q124" s="82">
        <v>5889</v>
      </c>
      <c r="AA124" s="256">
        <f>8097+2500+1300</f>
        <v>11897</v>
      </c>
      <c r="AB124" s="277"/>
      <c r="AC124" s="277"/>
      <c r="AD124" s="277"/>
    </row>
    <row r="125" spans="1:30" ht="48.75" customHeight="1" thickBot="1" x14ac:dyDescent="0.3">
      <c r="A125" s="131" t="s">
        <v>236</v>
      </c>
      <c r="B125" s="88">
        <v>2330</v>
      </c>
      <c r="C125" s="87">
        <v>853</v>
      </c>
      <c r="D125" s="263">
        <v>9904.07</v>
      </c>
      <c r="E125" s="263">
        <v>1038.57</v>
      </c>
      <c r="F125" s="77">
        <f>SUM('[1] расходов 2023'!CH269:CY269)</f>
        <v>546.91999999999996</v>
      </c>
      <c r="G125" s="77">
        <f>SUM(' расходов 2024'!CI269:CZ269)</f>
        <v>5000</v>
      </c>
      <c r="H125" s="263"/>
      <c r="I125" s="263"/>
      <c r="J125" s="87" t="s">
        <v>112</v>
      </c>
      <c r="N125" s="82">
        <v>1037.06</v>
      </c>
      <c r="O125" s="82">
        <v>-104453.08</v>
      </c>
      <c r="P125" s="82">
        <v>-3000</v>
      </c>
      <c r="Q125" s="82">
        <v>-3000</v>
      </c>
      <c r="AB125" s="277"/>
      <c r="AC125" s="277"/>
      <c r="AD125" s="277"/>
    </row>
    <row r="126" spans="1:30" ht="54" customHeight="1" thickBot="1" x14ac:dyDescent="0.3">
      <c r="A126" s="272" t="s">
        <v>148</v>
      </c>
      <c r="B126" s="88">
        <v>2400</v>
      </c>
      <c r="C126" s="87" t="s">
        <v>112</v>
      </c>
      <c r="D126" s="263">
        <f>D127+D128+D129</f>
        <v>0</v>
      </c>
      <c r="E126" s="263">
        <f t="shared" ref="E126:F126" si="48">E127+E128+E129</f>
        <v>0</v>
      </c>
      <c r="F126" s="77">
        <f t="shared" si="48"/>
        <v>0</v>
      </c>
      <c r="G126" s="77">
        <f t="shared" ref="G126:I126" si="49">G127+G128+G129</f>
        <v>0</v>
      </c>
      <c r="H126" s="263">
        <f t="shared" si="49"/>
        <v>0</v>
      </c>
      <c r="I126" s="263">
        <f t="shared" si="49"/>
        <v>0</v>
      </c>
      <c r="J126" s="87" t="s">
        <v>112</v>
      </c>
      <c r="N126" s="82">
        <v>0</v>
      </c>
      <c r="O126" s="82">
        <v>0</v>
      </c>
      <c r="P126" s="82">
        <v>0</v>
      </c>
      <c r="Q126" s="82">
        <v>0</v>
      </c>
      <c r="AB126" s="277"/>
      <c r="AC126" s="277"/>
      <c r="AD126" s="277"/>
    </row>
    <row r="127" spans="1:30" ht="14.4" thickBot="1" x14ac:dyDescent="0.3">
      <c r="A127" s="140" t="s">
        <v>113</v>
      </c>
      <c r="B127" s="131"/>
      <c r="C127" s="193"/>
      <c r="D127" s="265">
        <v>0</v>
      </c>
      <c r="E127" s="265">
        <v>0</v>
      </c>
      <c r="F127" s="252">
        <v>0</v>
      </c>
      <c r="G127" s="252">
        <v>0</v>
      </c>
      <c r="H127" s="265">
        <v>0</v>
      </c>
      <c r="I127" s="265">
        <v>0</v>
      </c>
      <c r="J127" s="196"/>
      <c r="N127" s="82">
        <v>0</v>
      </c>
      <c r="O127" s="82">
        <v>0</v>
      </c>
      <c r="P127" s="82">
        <v>0</v>
      </c>
      <c r="Q127" s="82">
        <v>0</v>
      </c>
      <c r="AB127" s="277"/>
      <c r="AC127" s="277"/>
      <c r="AD127" s="277"/>
    </row>
    <row r="128" spans="1:30" ht="14.4" thickBot="1" x14ac:dyDescent="0.3">
      <c r="A128" s="131" t="s">
        <v>114</v>
      </c>
      <c r="B128" s="115"/>
      <c r="C128" s="196"/>
      <c r="D128" s="263">
        <v>0</v>
      </c>
      <c r="E128" s="263">
        <v>0</v>
      </c>
      <c r="F128" s="77">
        <v>0</v>
      </c>
      <c r="G128" s="77">
        <v>0</v>
      </c>
      <c r="H128" s="263">
        <v>0</v>
      </c>
      <c r="I128" s="263">
        <v>0</v>
      </c>
      <c r="J128" s="196"/>
      <c r="N128" s="82">
        <v>0</v>
      </c>
      <c r="O128" s="82">
        <v>0</v>
      </c>
      <c r="P128" s="82">
        <v>0</v>
      </c>
      <c r="Q128" s="82">
        <v>0</v>
      </c>
      <c r="AB128" s="277"/>
      <c r="AC128" s="277"/>
      <c r="AD128" s="277"/>
    </row>
    <row r="129" spans="1:30" ht="14.4" thickBot="1" x14ac:dyDescent="0.3">
      <c r="A129" s="131" t="s">
        <v>115</v>
      </c>
      <c r="B129" s="115"/>
      <c r="C129" s="196"/>
      <c r="D129" s="263">
        <v>0</v>
      </c>
      <c r="E129" s="263">
        <v>0</v>
      </c>
      <c r="F129" s="77">
        <v>0</v>
      </c>
      <c r="G129" s="77">
        <v>0</v>
      </c>
      <c r="H129" s="263">
        <v>0</v>
      </c>
      <c r="I129" s="263">
        <v>0</v>
      </c>
      <c r="J129" s="196"/>
      <c r="N129" s="82">
        <v>0</v>
      </c>
      <c r="O129" s="82">
        <v>0</v>
      </c>
      <c r="P129" s="82">
        <v>0</v>
      </c>
      <c r="Q129" s="82">
        <v>0</v>
      </c>
      <c r="AB129" s="277"/>
      <c r="AC129" s="277"/>
      <c r="AD129" s="277"/>
    </row>
    <row r="130" spans="1:30" x14ac:dyDescent="0.25">
      <c r="A130" s="254" t="s">
        <v>5</v>
      </c>
      <c r="B130" s="391">
        <v>2410</v>
      </c>
      <c r="C130" s="393">
        <v>613</v>
      </c>
      <c r="D130" s="383">
        <v>0</v>
      </c>
      <c r="E130" s="383">
        <v>0</v>
      </c>
      <c r="F130" s="389">
        <v>0</v>
      </c>
      <c r="G130" s="389">
        <v>0</v>
      </c>
      <c r="H130" s="383">
        <v>0</v>
      </c>
      <c r="I130" s="383">
        <v>0</v>
      </c>
      <c r="J130" s="393" t="s">
        <v>112</v>
      </c>
      <c r="N130" s="82">
        <v>0</v>
      </c>
      <c r="O130" s="82">
        <v>0</v>
      </c>
      <c r="P130" s="82">
        <v>0</v>
      </c>
      <c r="Q130" s="82">
        <v>0</v>
      </c>
      <c r="AB130" s="277"/>
      <c r="AC130" s="277"/>
      <c r="AD130" s="277"/>
    </row>
    <row r="131" spans="1:30" ht="33" customHeight="1" thickBot="1" x14ac:dyDescent="0.3">
      <c r="A131" s="131" t="s">
        <v>344</v>
      </c>
      <c r="B131" s="392"/>
      <c r="C131" s="394"/>
      <c r="D131" s="384"/>
      <c r="E131" s="384"/>
      <c r="F131" s="390"/>
      <c r="G131" s="390"/>
      <c r="H131" s="384"/>
      <c r="I131" s="384"/>
      <c r="J131" s="394"/>
      <c r="N131" s="82">
        <v>0</v>
      </c>
      <c r="O131" s="82">
        <v>0</v>
      </c>
      <c r="P131" s="82">
        <v>0</v>
      </c>
      <c r="Q131" s="82">
        <v>0</v>
      </c>
      <c r="AB131" s="277"/>
      <c r="AC131" s="277"/>
      <c r="AD131" s="277"/>
    </row>
    <row r="132" spans="1:30" ht="33" customHeight="1" thickBot="1" x14ac:dyDescent="0.3">
      <c r="A132" s="131" t="s">
        <v>345</v>
      </c>
      <c r="B132" s="88">
        <v>2420</v>
      </c>
      <c r="C132" s="87">
        <v>623</v>
      </c>
      <c r="D132" s="263">
        <v>0</v>
      </c>
      <c r="E132" s="263">
        <v>0</v>
      </c>
      <c r="F132" s="77">
        <v>0</v>
      </c>
      <c r="G132" s="77">
        <v>0</v>
      </c>
      <c r="H132" s="263">
        <v>0</v>
      </c>
      <c r="I132" s="263">
        <v>0</v>
      </c>
      <c r="J132" s="87"/>
      <c r="N132" s="82">
        <v>0</v>
      </c>
      <c r="O132" s="82">
        <v>0</v>
      </c>
      <c r="P132" s="82">
        <v>0</v>
      </c>
      <c r="Q132" s="82">
        <v>0</v>
      </c>
      <c r="AB132" s="277"/>
      <c r="AC132" s="277"/>
      <c r="AD132" s="277"/>
    </row>
    <row r="133" spans="1:30" ht="72" customHeight="1" thickBot="1" x14ac:dyDescent="0.3">
      <c r="A133" s="131" t="s">
        <v>346</v>
      </c>
      <c r="B133" s="88">
        <v>2430</v>
      </c>
      <c r="C133" s="87">
        <v>643</v>
      </c>
      <c r="D133" s="263">
        <v>0</v>
      </c>
      <c r="E133" s="263">
        <v>0</v>
      </c>
      <c r="F133" s="77">
        <v>0</v>
      </c>
      <c r="G133" s="77">
        <v>0</v>
      </c>
      <c r="H133" s="263">
        <v>0</v>
      </c>
      <c r="I133" s="263">
        <v>0</v>
      </c>
      <c r="J133" s="87"/>
      <c r="N133" s="82">
        <v>0</v>
      </c>
      <c r="O133" s="82">
        <v>0</v>
      </c>
      <c r="P133" s="82">
        <v>0</v>
      </c>
      <c r="Q133" s="82">
        <v>0</v>
      </c>
      <c r="AB133" s="277"/>
      <c r="AC133" s="277"/>
      <c r="AD133" s="277"/>
    </row>
    <row r="134" spans="1:30" ht="33" customHeight="1" thickBot="1" x14ac:dyDescent="0.3">
      <c r="A134" s="131" t="s">
        <v>149</v>
      </c>
      <c r="B134" s="88">
        <v>2440</v>
      </c>
      <c r="C134" s="87">
        <v>810</v>
      </c>
      <c r="D134" s="263">
        <v>0</v>
      </c>
      <c r="E134" s="263">
        <v>0</v>
      </c>
      <c r="F134" s="77">
        <v>0</v>
      </c>
      <c r="G134" s="77">
        <v>0</v>
      </c>
      <c r="H134" s="263">
        <v>0</v>
      </c>
      <c r="I134" s="263">
        <v>0</v>
      </c>
      <c r="J134" s="87"/>
      <c r="N134" s="82">
        <v>0</v>
      </c>
      <c r="O134" s="82">
        <v>0</v>
      </c>
      <c r="P134" s="82">
        <v>0</v>
      </c>
      <c r="Q134" s="82">
        <v>0</v>
      </c>
      <c r="AB134" s="277"/>
      <c r="AC134" s="277"/>
      <c r="AD134" s="277"/>
    </row>
    <row r="135" spans="1:30" ht="34.200000000000003" customHeight="1" thickBot="1" x14ac:dyDescent="0.3">
      <c r="A135" s="131" t="s">
        <v>150</v>
      </c>
      <c r="B135" s="88">
        <v>2450</v>
      </c>
      <c r="C135" s="87">
        <v>862</v>
      </c>
      <c r="D135" s="263">
        <v>0</v>
      </c>
      <c r="E135" s="263">
        <v>0</v>
      </c>
      <c r="F135" s="77">
        <v>0</v>
      </c>
      <c r="G135" s="77">
        <v>0</v>
      </c>
      <c r="H135" s="263">
        <v>0</v>
      </c>
      <c r="I135" s="263">
        <v>0</v>
      </c>
      <c r="J135" s="87"/>
      <c r="N135" s="82">
        <v>0</v>
      </c>
      <c r="O135" s="82">
        <v>0</v>
      </c>
      <c r="P135" s="82">
        <v>0</v>
      </c>
      <c r="Q135" s="82">
        <v>0</v>
      </c>
      <c r="AB135" s="277"/>
      <c r="AC135" s="277"/>
      <c r="AD135" s="277"/>
    </row>
    <row r="136" spans="1:30" ht="81.75" customHeight="1" thickBot="1" x14ac:dyDescent="0.3">
      <c r="A136" s="131" t="s">
        <v>151</v>
      </c>
      <c r="B136" s="88">
        <v>2460</v>
      </c>
      <c r="C136" s="87">
        <v>863</v>
      </c>
      <c r="D136" s="263">
        <v>0</v>
      </c>
      <c r="E136" s="263">
        <v>0</v>
      </c>
      <c r="F136" s="77">
        <v>0</v>
      </c>
      <c r="G136" s="77">
        <v>0</v>
      </c>
      <c r="H136" s="263">
        <v>0</v>
      </c>
      <c r="I136" s="263">
        <v>0</v>
      </c>
      <c r="J136" s="87" t="s">
        <v>112</v>
      </c>
      <c r="N136" s="82">
        <v>0</v>
      </c>
      <c r="O136" s="82">
        <v>0</v>
      </c>
      <c r="P136" s="82">
        <v>0</v>
      </c>
      <c r="Q136" s="82">
        <v>0</v>
      </c>
      <c r="AB136" s="277"/>
      <c r="AC136" s="277"/>
      <c r="AD136" s="277"/>
    </row>
    <row r="137" spans="1:30" ht="42.75" customHeight="1" thickBot="1" x14ac:dyDescent="0.3">
      <c r="A137" s="272" t="s">
        <v>152</v>
      </c>
      <c r="B137" s="88">
        <v>2500</v>
      </c>
      <c r="C137" s="87" t="s">
        <v>112</v>
      </c>
      <c r="D137" s="274">
        <f>D138+D139+D140</f>
        <v>0</v>
      </c>
      <c r="E137" s="274">
        <f t="shared" ref="E137" si="50">E138+E139+E140</f>
        <v>0</v>
      </c>
      <c r="F137" s="281">
        <f>SUM('[1] расходов 2023'!CH297:CY297)</f>
        <v>8914</v>
      </c>
      <c r="G137" s="281">
        <f>SUM(' расходов 2024'!CI297:CZ297)</f>
        <v>0</v>
      </c>
      <c r="H137" s="274">
        <f t="shared" ref="H137:I137" si="51">H138+H139+H140</f>
        <v>0</v>
      </c>
      <c r="I137" s="274">
        <f t="shared" si="51"/>
        <v>0</v>
      </c>
      <c r="J137" s="87" t="s">
        <v>112</v>
      </c>
      <c r="N137" s="82">
        <v>0</v>
      </c>
      <c r="O137" s="82">
        <v>8914</v>
      </c>
      <c r="P137" s="82">
        <v>0</v>
      </c>
      <c r="Q137" s="82">
        <v>0</v>
      </c>
      <c r="AA137" s="264">
        <f>G138+G139+G140</f>
        <v>0</v>
      </c>
      <c r="AB137" s="277"/>
      <c r="AC137" s="277"/>
      <c r="AD137" s="277"/>
    </row>
    <row r="138" spans="1:30" ht="14.4" thickBot="1" x14ac:dyDescent="0.3">
      <c r="A138" s="140" t="s">
        <v>113</v>
      </c>
      <c r="B138" s="131"/>
      <c r="C138" s="193"/>
      <c r="D138" s="265">
        <v>0</v>
      </c>
      <c r="E138" s="265">
        <v>0</v>
      </c>
      <c r="F138" s="252">
        <v>0</v>
      </c>
      <c r="G138" s="252">
        <v>0</v>
      </c>
      <c r="H138" s="265">
        <v>0</v>
      </c>
      <c r="I138" s="265">
        <v>0</v>
      </c>
      <c r="J138" s="196"/>
      <c r="N138" s="82">
        <v>0</v>
      </c>
      <c r="O138" s="82">
        <v>0</v>
      </c>
      <c r="P138" s="82">
        <v>0</v>
      </c>
      <c r="Q138" s="82">
        <v>0</v>
      </c>
      <c r="AB138" s="277"/>
      <c r="AC138" s="277"/>
      <c r="AD138" s="277"/>
    </row>
    <row r="139" spans="1:30" ht="14.4" thickBot="1" x14ac:dyDescent="0.3">
      <c r="A139" s="131" t="s">
        <v>114</v>
      </c>
      <c r="B139" s="115"/>
      <c r="C139" s="196"/>
      <c r="D139" s="263">
        <v>0</v>
      </c>
      <c r="E139" s="263">
        <v>0</v>
      </c>
      <c r="F139" s="77">
        <v>0</v>
      </c>
      <c r="G139" s="77">
        <v>0</v>
      </c>
      <c r="H139" s="263">
        <v>0</v>
      </c>
      <c r="I139" s="263">
        <v>0</v>
      </c>
      <c r="J139" s="196"/>
      <c r="N139" s="82">
        <v>0</v>
      </c>
      <c r="O139" s="82">
        <v>0</v>
      </c>
      <c r="P139" s="82">
        <v>0</v>
      </c>
      <c r="Q139" s="82">
        <v>0</v>
      </c>
      <c r="AB139" s="277"/>
      <c r="AC139" s="277"/>
      <c r="AD139" s="277"/>
    </row>
    <row r="140" spans="1:30" ht="14.4" thickBot="1" x14ac:dyDescent="0.3">
      <c r="A140" s="131" t="s">
        <v>115</v>
      </c>
      <c r="B140" s="115"/>
      <c r="C140" s="196"/>
      <c r="D140" s="263">
        <v>0</v>
      </c>
      <c r="E140" s="263">
        <v>0</v>
      </c>
      <c r="F140" s="77">
        <f>SUM('[1] расходов 2023'!CH297:CY297)</f>
        <v>8914</v>
      </c>
      <c r="G140" s="77">
        <f>SUM(' расходов 2024'!CI297:CZ297)</f>
        <v>0</v>
      </c>
      <c r="H140" s="263">
        <v>0</v>
      </c>
      <c r="I140" s="263">
        <v>0</v>
      </c>
      <c r="J140" s="196"/>
      <c r="N140" s="82">
        <v>0</v>
      </c>
      <c r="O140" s="82">
        <v>8914</v>
      </c>
      <c r="P140" s="82">
        <v>0</v>
      </c>
      <c r="Q140" s="82">
        <v>0</v>
      </c>
      <c r="AB140" s="277"/>
      <c r="AC140" s="277"/>
      <c r="AD140" s="277"/>
    </row>
    <row r="141" spans="1:30" ht="81.75" customHeight="1" thickBot="1" x14ac:dyDescent="0.3">
      <c r="A141" s="131" t="s">
        <v>153</v>
      </c>
      <c r="B141" s="88">
        <v>2520</v>
      </c>
      <c r="C141" s="87">
        <v>831</v>
      </c>
      <c r="D141" s="263">
        <v>0</v>
      </c>
      <c r="E141" s="263">
        <v>0</v>
      </c>
      <c r="F141" s="77">
        <f>SUM('[1] расходов 2023'!CH295:CY295)</f>
        <v>8914</v>
      </c>
      <c r="G141" s="77">
        <f>SUM(' расходов 2024'!CI295:CZ295)</f>
        <v>0</v>
      </c>
      <c r="H141" s="263">
        <v>0</v>
      </c>
      <c r="I141" s="263">
        <v>0</v>
      </c>
      <c r="J141" s="87" t="s">
        <v>112</v>
      </c>
      <c r="K141" s="82">
        <f>I142+I87+I118</f>
        <v>137757600</v>
      </c>
      <c r="L141" s="82">
        <f>K141-I27</f>
        <v>0</v>
      </c>
      <c r="N141" s="82">
        <v>0</v>
      </c>
      <c r="O141" s="82">
        <v>8914</v>
      </c>
      <c r="P141" s="82">
        <v>0</v>
      </c>
      <c r="Q141" s="82">
        <v>0</v>
      </c>
      <c r="AB141" s="277"/>
      <c r="AC141" s="277"/>
      <c r="AD141" s="277"/>
    </row>
    <row r="142" spans="1:30" ht="38.25" customHeight="1" thickBot="1" x14ac:dyDescent="0.3">
      <c r="A142" s="305" t="s">
        <v>319</v>
      </c>
      <c r="B142" s="88">
        <v>2600</v>
      </c>
      <c r="C142" s="87" t="s">
        <v>112</v>
      </c>
      <c r="D142" s="274">
        <f t="shared" ref="D142" si="52">D143+D144+D145</f>
        <v>23632860.100000001</v>
      </c>
      <c r="E142" s="274">
        <f>E143+E144+E145</f>
        <v>31293968</v>
      </c>
      <c r="F142" s="281">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81">
        <f>SUM(' расходов 2024'!CK319:CZ319)+SUM(' расходов 2024'!CI344:CZ344)+SUM(' расходов 2024'!CK371:CZ371)+SUM(' расходов 2024'!CK413:CZ413)+SUM(' расходов 2024'!CK433:CZ433)+SUM(' расходов 2024'!CI503:CZ503)+SUM(' расходов 2024'!CI573:CZ573)+SUM(' расходов 2024'!CI682:CZ682)+SUM(' расходов 2024'!CI893:CZ893)+SUM(' расходов 2024'!CI913:CZ913)</f>
        <v>62188936.170020014</v>
      </c>
      <c r="H142" s="281">
        <f>H143+H144+H145</f>
        <v>20777061.579999998</v>
      </c>
      <c r="I142" s="281">
        <f>I143+I144+I145</f>
        <v>21389920.789999999</v>
      </c>
      <c r="J142" s="196"/>
      <c r="K142" s="79" t="s">
        <v>408</v>
      </c>
      <c r="N142" s="82">
        <v>12797519.390000001</v>
      </c>
      <c r="O142" s="276">
        <v>19416065.571000002</v>
      </c>
      <c r="P142" s="82">
        <v>-718669.50000000373</v>
      </c>
      <c r="Q142" s="82">
        <v>-2225724.8300000019</v>
      </c>
      <c r="S142" s="82">
        <f t="shared" ref="S142:X142" si="53">D142-D143-D144-D145</f>
        <v>0</v>
      </c>
      <c r="T142" s="82">
        <f t="shared" si="53"/>
        <v>0</v>
      </c>
      <c r="U142" s="82" t="e">
        <f t="shared" si="53"/>
        <v>#REF!</v>
      </c>
      <c r="V142" s="82">
        <f t="shared" si="53"/>
        <v>0</v>
      </c>
      <c r="W142" s="82">
        <f t="shared" si="53"/>
        <v>0</v>
      </c>
      <c r="X142" s="82">
        <f t="shared" si="53"/>
        <v>0</v>
      </c>
      <c r="AA142" s="264">
        <f>G143+G144+G145</f>
        <v>62188936.170019999</v>
      </c>
      <c r="AB142" s="277"/>
      <c r="AC142" s="277"/>
      <c r="AD142" s="277"/>
    </row>
    <row r="143" spans="1:30" ht="14.4" thickBot="1" x14ac:dyDescent="0.3">
      <c r="A143" s="140" t="s">
        <v>113</v>
      </c>
      <c r="B143" s="131"/>
      <c r="C143" s="193"/>
      <c r="D143" s="265">
        <v>2484300</v>
      </c>
      <c r="E143" s="265">
        <v>0</v>
      </c>
      <c r="F143" s="252">
        <v>0</v>
      </c>
      <c r="G143" s="252">
        <v>0</v>
      </c>
      <c r="H143" s="265">
        <v>0</v>
      </c>
      <c r="I143" s="265">
        <v>0</v>
      </c>
      <c r="J143" s="196"/>
      <c r="N143" s="82">
        <v>0</v>
      </c>
      <c r="O143" s="82">
        <v>-361563.6</v>
      </c>
      <c r="P143" s="82">
        <v>0</v>
      </c>
      <c r="Q143" s="82">
        <v>0</v>
      </c>
      <c r="S143" s="82">
        <f>D142-D150</f>
        <v>0</v>
      </c>
      <c r="T143" s="82">
        <f>E142-E150</f>
        <v>3368563.1100000031</v>
      </c>
      <c r="U143" s="82">
        <f>F142-F150</f>
        <v>5986162.0810000002</v>
      </c>
      <c r="V143" s="82">
        <f>G142-G150-G170</f>
        <v>8.3819031715393066E-9</v>
      </c>
      <c r="W143" s="82">
        <f>H142-H150-H170</f>
        <v>0</v>
      </c>
      <c r="X143" s="82">
        <f>I142-I150-I170</f>
        <v>0</v>
      </c>
      <c r="AB143" s="277"/>
      <c r="AC143" s="277"/>
      <c r="AD143" s="277"/>
    </row>
    <row r="144" spans="1:30" ht="14.4" thickBot="1" x14ac:dyDescent="0.3">
      <c r="A144" s="131" t="s">
        <v>114</v>
      </c>
      <c r="B144" s="115"/>
      <c r="C144" s="196"/>
      <c r="D144" s="263">
        <f>12050924.77+(3393117-D143)-488-10-257.26-24.14-472</f>
        <v>12958490.369999999</v>
      </c>
      <c r="E144" s="263">
        <f>20013761.62-8679.69</f>
        <v>20005081.93</v>
      </c>
      <c r="F144" s="77"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7">
        <f>SUM(' расходов 2024'!CK313:CZ313)+SUM(' расходов 2024'!CK361:CZ361)+SUM(' расходов 2024'!CK407:CZ407)+SUM(' расходов 2024'!CK426:CZ426)+SUM(' расходов 2024'!CI482:CZ482)+SUM(' расходов 2024'!CI502:CZ502)+SUM(' расходов 2024'!CI551:CZ551)+SUM(' расходов 2024'!CI572:CZ572)+SUM(' расходов 2024'!CI674:CZ674)+SUM(' расходов 2024'!CI768:CZ768)+SUM(' расходов 2024'!CI889:CZ889)+SUM(' расходов 2024'!CI903:CZ903)+SUM(' расходов 2024'!CI912:CZ912)+SUM(' расходов 2024'!CI618:CZ618)</f>
        <v>45797559.270020001</v>
      </c>
      <c r="H144" s="77">
        <f>8303061.58+3000</f>
        <v>8306061.5800000001</v>
      </c>
      <c r="I144" s="77">
        <f>8415920.79+3000</f>
        <v>8418920.7899999991</v>
      </c>
      <c r="J144" s="196"/>
      <c r="K144" s="82"/>
      <c r="L144" s="82"/>
      <c r="N144" s="82">
        <v>8738978.1099999994</v>
      </c>
      <c r="O144" s="276">
        <v>16640147.620000001</v>
      </c>
      <c r="P144" s="82">
        <v>-2182489.5000000019</v>
      </c>
      <c r="Q144" s="82">
        <v>-3744717.6199999992</v>
      </c>
      <c r="S144" s="306"/>
      <c r="AB144" s="277"/>
      <c r="AC144" s="277"/>
      <c r="AD144" s="277"/>
    </row>
    <row r="145" spans="1:30" ht="14.4" thickBot="1" x14ac:dyDescent="0.3">
      <c r="A145" s="131" t="s">
        <v>115</v>
      </c>
      <c r="B145" s="115"/>
      <c r="C145" s="196"/>
      <c r="D145" s="263">
        <f>8878055.06-16100-661085.33-10800</f>
        <v>8190069.7300000004</v>
      </c>
      <c r="E145" s="263">
        <f>15034226.14-3745340.07</f>
        <v>11288886.07</v>
      </c>
      <c r="F145" s="77">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7">
        <f>SUM(' расходов 2024'!CI343:CZ343)+SUM(' расходов 2024'!CK318:CZ318)+SUM(' расходов 2024'!CK370:CZ370)+SUM(' расходов 2024'!CK412:CZ412)+SUM(' расходов 2024'!CK432:CZ432)+SUM(' расходов 2024'!CI489:CZ489)+SUM(' расходов 2024'!CI557:CZ557)+SUM(' расходов 2024'!CI593:CZ593)+SUM(' расходов 2024'!CI874:CZ874)</f>
        <v>16391376.9</v>
      </c>
      <c r="H145" s="263">
        <v>12471000</v>
      </c>
      <c r="I145" s="263">
        <v>12971000</v>
      </c>
      <c r="J145" s="196"/>
      <c r="L145" s="82"/>
      <c r="N145" s="82">
        <v>4058541.2800000012</v>
      </c>
      <c r="O145" s="276">
        <v>3137481.550999999</v>
      </c>
      <c r="P145" s="82">
        <v>1463820</v>
      </c>
      <c r="Q145" s="82">
        <v>1518992.79</v>
      </c>
      <c r="S145" s="82"/>
      <c r="AB145" s="277"/>
      <c r="AC145" s="277"/>
      <c r="AD145" s="277"/>
    </row>
    <row r="146" spans="1:30" ht="18.75" customHeight="1" x14ac:dyDescent="0.25">
      <c r="A146" s="254" t="s">
        <v>3</v>
      </c>
      <c r="B146" s="391">
        <v>2610</v>
      </c>
      <c r="C146" s="393">
        <v>241</v>
      </c>
      <c r="D146" s="383">
        <v>0</v>
      </c>
      <c r="E146" s="383">
        <v>0</v>
      </c>
      <c r="F146" s="389">
        <v>0</v>
      </c>
      <c r="G146" s="389">
        <v>0</v>
      </c>
      <c r="H146" s="383">
        <v>0</v>
      </c>
      <c r="I146" s="383">
        <v>0</v>
      </c>
      <c r="J146" s="385"/>
      <c r="N146" s="82">
        <v>0</v>
      </c>
      <c r="O146" s="82">
        <v>0</v>
      </c>
      <c r="P146" s="82">
        <v>0</v>
      </c>
      <c r="Q146" s="82">
        <v>0</v>
      </c>
      <c r="AB146" s="277"/>
      <c r="AC146" s="277"/>
      <c r="AD146" s="277"/>
    </row>
    <row r="147" spans="1:30" ht="42.75" customHeight="1" thickBot="1" x14ac:dyDescent="0.3">
      <c r="A147" s="131" t="s">
        <v>154</v>
      </c>
      <c r="B147" s="392"/>
      <c r="C147" s="394"/>
      <c r="D147" s="384"/>
      <c r="E147" s="384"/>
      <c r="F147" s="390"/>
      <c r="G147" s="390"/>
      <c r="H147" s="384"/>
      <c r="I147" s="384"/>
      <c r="J147" s="386"/>
      <c r="L147" s="89">
        <v>0</v>
      </c>
      <c r="M147" s="89">
        <v>560</v>
      </c>
      <c r="N147" s="82">
        <v>0</v>
      </c>
      <c r="O147" s="82">
        <v>0</v>
      </c>
      <c r="P147" s="82">
        <v>0</v>
      </c>
      <c r="Q147" s="82">
        <v>0</v>
      </c>
      <c r="R147" s="89">
        <v>500</v>
      </c>
      <c r="S147" s="83" t="s">
        <v>409</v>
      </c>
      <c r="AB147" s="277"/>
      <c r="AC147" s="277"/>
      <c r="AD147" s="277"/>
    </row>
    <row r="148" spans="1:30" ht="48.75" customHeight="1" thickBot="1" x14ac:dyDescent="0.3">
      <c r="A148" s="131" t="s">
        <v>410</v>
      </c>
      <c r="B148" s="88">
        <v>2620</v>
      </c>
      <c r="C148" s="87">
        <v>242</v>
      </c>
      <c r="D148" s="263">
        <v>0</v>
      </c>
      <c r="E148" s="263">
        <v>0</v>
      </c>
      <c r="F148" s="77">
        <v>0</v>
      </c>
      <c r="G148" s="77">
        <v>0</v>
      </c>
      <c r="H148" s="263">
        <v>0</v>
      </c>
      <c r="I148" s="263">
        <v>0</v>
      </c>
      <c r="J148" s="196"/>
      <c r="K148" s="82">
        <f>F150-K149-F170</f>
        <v>-5970159.5709999949</v>
      </c>
      <c r="L148" s="82">
        <f>G150-L149-G170</f>
        <v>-4652611.96</v>
      </c>
      <c r="M148" s="82">
        <f t="shared" ref="M148" si="54">H150-M149-H170</f>
        <v>-4823891.4800000004</v>
      </c>
      <c r="N148" s="82">
        <v>0</v>
      </c>
      <c r="O148" s="82">
        <v>0</v>
      </c>
      <c r="P148" s="82">
        <v>0</v>
      </c>
      <c r="Q148" s="82">
        <v>0</v>
      </c>
      <c r="R148" s="82">
        <f>I150-R149-I170</f>
        <v>-4995605.5599999996</v>
      </c>
      <c r="AB148" s="277"/>
      <c r="AC148" s="277"/>
      <c r="AD148" s="277"/>
    </row>
    <row r="149" spans="1:30" ht="65.25" customHeight="1" thickBot="1" x14ac:dyDescent="0.3">
      <c r="A149" s="131" t="s">
        <v>155</v>
      </c>
      <c r="B149" s="88">
        <v>2630</v>
      </c>
      <c r="C149" s="87">
        <v>243</v>
      </c>
      <c r="D149" s="263">
        <v>0</v>
      </c>
      <c r="E149" s="263">
        <v>0</v>
      </c>
      <c r="F149" s="77">
        <v>0</v>
      </c>
      <c r="G149" s="77">
        <v>0</v>
      </c>
      <c r="H149" s="263">
        <v>0</v>
      </c>
      <c r="I149" s="263">
        <v>0</v>
      </c>
      <c r="J149" s="196"/>
      <c r="K149" s="121">
        <f>F151+F153+F154+F156+F155+F160+F163+F164</f>
        <v>41855233.589999996</v>
      </c>
      <c r="L149" s="121">
        <f>G151+G153+G154+G156+G155+G160+G163+G164</f>
        <v>57474324.210020006</v>
      </c>
      <c r="M149" s="121">
        <f t="shared" ref="M149" si="55">H151+H153+H154+H156+H155+H160+H163+H164</f>
        <v>15903170.1</v>
      </c>
      <c r="N149" s="82">
        <v>0</v>
      </c>
      <c r="O149" s="82">
        <v>0</v>
      </c>
      <c r="P149" s="82">
        <v>0</v>
      </c>
      <c r="Q149" s="82">
        <v>0</v>
      </c>
      <c r="R149" s="121">
        <f>I151+I153+I154+I156+I155+I160+I163+I164</f>
        <v>16344315.23</v>
      </c>
      <c r="S149" s="81"/>
      <c r="AB149" s="277"/>
      <c r="AC149" s="277"/>
      <c r="AD149" s="277"/>
    </row>
    <row r="150" spans="1:30" ht="34.5" customHeight="1" thickBot="1" x14ac:dyDescent="0.3">
      <c r="A150" s="253" t="s">
        <v>156</v>
      </c>
      <c r="B150" s="307">
        <v>2640</v>
      </c>
      <c r="C150" s="308">
        <v>244</v>
      </c>
      <c r="D150" s="263">
        <f>D151+D153+D154+D155+D156+D160+D163+D164+20082.05</f>
        <v>23632860.099999998</v>
      </c>
      <c r="E150" s="263">
        <f>E151+E153+E154+E155+E156+E160+E163+E164+8780.88+4434.04</f>
        <v>27925404.889999997</v>
      </c>
      <c r="F150" s="77">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7">
        <f>SUM(' расходов 2024'!CK319:CZ319)+SUM(' расходов 2024'!CI344:CZ344)+SUM(' расходов 2024'!CK371:CZ371)+SUM(' расходов 2024'!CK433:CZ433)+SUM(' расходов 2024'!CI503:CZ503)+SUM(' расходов 2024'!CI573:CZ573)+SUM(' расходов 2024'!CI682:CZ682)+SUM(' расходов 2024'!CI893:CZ893)+SUM(' расходов 2024'!CI913:CZ913)</f>
        <v>57505324.210020006</v>
      </c>
      <c r="H150" s="77">
        <f>H151+H153+H154+H155+H156+H160+H163+H164+25000</f>
        <v>15928170.1</v>
      </c>
      <c r="I150" s="263">
        <f>I151+I153+I154+I155+I156+I160+I163+I164+25000</f>
        <v>16369315.23</v>
      </c>
      <c r="J150" s="309"/>
      <c r="K150" s="310">
        <f>K149+K148</f>
        <v>35885074.019000001</v>
      </c>
      <c r="L150" s="311">
        <f t="shared" ref="L150:R150" si="56">L149+L148</f>
        <v>52821712.250020005</v>
      </c>
      <c r="M150" s="311">
        <f t="shared" si="56"/>
        <v>11079278.619999999</v>
      </c>
      <c r="N150" s="82">
        <v>9428956.2799999975</v>
      </c>
      <c r="O150" s="276">
        <v>18646186.259999998</v>
      </c>
      <c r="P150" s="82">
        <v>-1115401.910000002</v>
      </c>
      <c r="Q150" s="82">
        <v>-2713740.8899999969</v>
      </c>
      <c r="R150" s="312">
        <f t="shared" si="56"/>
        <v>11348709.670000002</v>
      </c>
      <c r="S150" s="82">
        <f>D150-D151-D153-D154-D155-D156-D160-D163-D164</f>
        <v>20082.04999999702</v>
      </c>
      <c r="T150" s="82">
        <f>E150-E151-E153-E154-E155-E156-E160-E163-E164</f>
        <v>13214.920000002719</v>
      </c>
      <c r="U150" s="82">
        <f>F150-F151-F153-F154-F155-F156-F160-F163-F164</f>
        <v>16002.510000003502</v>
      </c>
      <c r="V150" s="82">
        <f>G150-G151-G153-G154-G155-G156-G160-G163-G164</f>
        <v>31000.000000003725</v>
      </c>
      <c r="W150" s="82">
        <f t="shared" ref="W150:X150" si="57">H150-H151-H153-H154-H155-H156-H160-H163-H164</f>
        <v>24999.999999999709</v>
      </c>
      <c r="X150" s="82">
        <f t="shared" si="57"/>
        <v>25000.000000001426</v>
      </c>
      <c r="AA150" s="264">
        <f>G151+G153+G154+G155+G156+G160+G163+G164+25000</f>
        <v>57499324.210020006</v>
      </c>
      <c r="AB150" s="277"/>
      <c r="AC150" s="277"/>
      <c r="AD150" s="277"/>
    </row>
    <row r="151" spans="1:30" x14ac:dyDescent="0.25">
      <c r="A151" s="253" t="s">
        <v>3</v>
      </c>
      <c r="B151" s="401">
        <v>2641</v>
      </c>
      <c r="C151" s="391">
        <v>244</v>
      </c>
      <c r="D151" s="395">
        <f>207626.89+7474.07</f>
        <v>215100.96000000002</v>
      </c>
      <c r="E151" s="395">
        <f>260387.99-30000</f>
        <v>230387.99</v>
      </c>
      <c r="F151" s="397">
        <f>SUM('[1] расходов 2023'!CJ318:CY318)</f>
        <v>348506.42</v>
      </c>
      <c r="G151" s="397">
        <f>SUM(' расходов 2024'!CK319:CZ319)</f>
        <v>356300</v>
      </c>
      <c r="H151" s="395">
        <v>33200</v>
      </c>
      <c r="I151" s="395">
        <v>46400</v>
      </c>
      <c r="J151" s="403"/>
      <c r="K151" s="313" t="s">
        <v>411</v>
      </c>
      <c r="L151" s="79"/>
      <c r="M151" s="79" t="s">
        <v>412</v>
      </c>
      <c r="N151" s="82">
        <v>821.76000000000931</v>
      </c>
      <c r="O151" s="82">
        <v>32712.419999999984</v>
      </c>
      <c r="P151" s="82">
        <v>-9811.5900000000256</v>
      </c>
      <c r="Q151" s="82">
        <v>-19985.669999999984</v>
      </c>
      <c r="R151" s="314"/>
      <c r="AB151" s="277"/>
      <c r="AC151" s="277"/>
      <c r="AD151" s="277"/>
    </row>
    <row r="152" spans="1:30" ht="17.25" customHeight="1" thickBot="1" x14ac:dyDescent="0.3">
      <c r="A152" s="131" t="s">
        <v>217</v>
      </c>
      <c r="B152" s="402"/>
      <c r="C152" s="392"/>
      <c r="D152" s="396"/>
      <c r="E152" s="396"/>
      <c r="F152" s="398"/>
      <c r="G152" s="398"/>
      <c r="H152" s="396"/>
      <c r="I152" s="396"/>
      <c r="J152" s="404"/>
      <c r="K152" s="315"/>
      <c r="L152" s="316"/>
      <c r="M152" s="316"/>
      <c r="N152" s="82">
        <v>0</v>
      </c>
      <c r="O152" s="82">
        <v>0</v>
      </c>
      <c r="P152" s="82">
        <v>0</v>
      </c>
      <c r="Q152" s="82">
        <v>0</v>
      </c>
      <c r="R152" s="317"/>
      <c r="S152" s="82">
        <f>G156+G160+G163+G164+G170</f>
        <v>60629912.520020016</v>
      </c>
      <c r="AB152" s="277"/>
      <c r="AC152" s="277"/>
      <c r="AD152" s="277"/>
    </row>
    <row r="153" spans="1:30" ht="14.4" thickBot="1" x14ac:dyDescent="0.3">
      <c r="A153" s="131" t="s">
        <v>218</v>
      </c>
      <c r="B153" s="88">
        <v>2642</v>
      </c>
      <c r="C153" s="88">
        <v>244</v>
      </c>
      <c r="D153" s="263">
        <v>0</v>
      </c>
      <c r="E153" s="263">
        <v>860</v>
      </c>
      <c r="F153" s="77">
        <f>SUM('[1] расходов 2023'!CH343:CY343)</f>
        <v>0</v>
      </c>
      <c r="G153" s="77">
        <f>SUM(' расходов 2024'!CI344:CZ344)</f>
        <v>40000</v>
      </c>
      <c r="H153" s="263">
        <v>0</v>
      </c>
      <c r="I153" s="263">
        <v>0</v>
      </c>
      <c r="J153" s="196"/>
      <c r="N153" s="82">
        <v>860</v>
      </c>
      <c r="O153" s="82">
        <v>0</v>
      </c>
      <c r="P153" s="82">
        <v>1000</v>
      </c>
      <c r="Q153" s="82">
        <v>1000</v>
      </c>
      <c r="AB153" s="277"/>
      <c r="AC153" s="277"/>
      <c r="AD153" s="277"/>
    </row>
    <row r="154" spans="1:30" ht="14.4" thickBot="1" x14ac:dyDescent="0.3">
      <c r="A154" s="131" t="s">
        <v>219</v>
      </c>
      <c r="B154" s="88">
        <v>2643</v>
      </c>
      <c r="C154" s="88">
        <v>244</v>
      </c>
      <c r="D154" s="263">
        <f>2328861.47+2356833.55-661085.33</f>
        <v>4024609.6899999995</v>
      </c>
      <c r="E154" s="263">
        <f>1298412.77-313223.53</f>
        <v>985189.24</v>
      </c>
      <c r="F154" s="77">
        <f>SUM('[1] расходов 2023'!CJ370:CY370)</f>
        <v>1564986.7999999998</v>
      </c>
      <c r="G154" s="77">
        <f>SUM(' расходов 2024'!CK371:CZ371)</f>
        <v>765352.92</v>
      </c>
      <c r="H154" s="77">
        <v>795976.35</v>
      </c>
      <c r="I154" s="77">
        <v>827841.02</v>
      </c>
      <c r="J154" s="196"/>
      <c r="K154" s="82">
        <f>F154+F170</f>
        <v>7551148.8810000001</v>
      </c>
      <c r="L154" s="82">
        <f t="shared" ref="L154:M154" si="58">G154+G170</f>
        <v>5448964.8799999999</v>
      </c>
      <c r="M154" s="82">
        <f t="shared" si="58"/>
        <v>5644867.8300000001</v>
      </c>
      <c r="N154" s="82">
        <v>-3127374.290000001</v>
      </c>
      <c r="O154" s="82">
        <v>-444472.62999999989</v>
      </c>
      <c r="P154" s="82">
        <v>-136928.3600000001</v>
      </c>
      <c r="Q154" s="82">
        <v>-125098.42000000004</v>
      </c>
      <c r="R154" s="82"/>
      <c r="S154" s="82">
        <f>I154+I170</f>
        <v>5848446.5800000001</v>
      </c>
      <c r="AB154" s="277"/>
      <c r="AC154" s="277"/>
      <c r="AD154" s="277"/>
    </row>
    <row r="155" spans="1:30" ht="28.2" thickBot="1" x14ac:dyDescent="0.3">
      <c r="A155" s="131" t="s">
        <v>220</v>
      </c>
      <c r="B155" s="88">
        <v>2644</v>
      </c>
      <c r="C155" s="88">
        <v>244</v>
      </c>
      <c r="D155" s="263">
        <v>0</v>
      </c>
      <c r="E155" s="263">
        <v>0</v>
      </c>
      <c r="F155" s="77">
        <f>SUM('[1] расходов 2023'!CJ431:CY431)</f>
        <v>158267.78</v>
      </c>
      <c r="G155" s="77">
        <f>SUM(' расходов 2024'!CK433:CZ433)</f>
        <v>366370.73</v>
      </c>
      <c r="H155" s="263">
        <v>74945.990000000005</v>
      </c>
      <c r="I155" s="263">
        <v>77943.839999999997</v>
      </c>
      <c r="J155" s="196"/>
      <c r="N155" s="82">
        <v>0</v>
      </c>
      <c r="O155" s="82">
        <v>104292.02</v>
      </c>
      <c r="P155" s="82">
        <v>207182.09</v>
      </c>
      <c r="Q155" s="82">
        <v>217892.77</v>
      </c>
      <c r="AB155" s="277"/>
      <c r="AC155" s="277"/>
      <c r="AD155" s="277"/>
    </row>
    <row r="156" spans="1:30" ht="28.2" thickBot="1" x14ac:dyDescent="0.3">
      <c r="A156" s="131" t="s">
        <v>231</v>
      </c>
      <c r="B156" s="88">
        <v>2645</v>
      </c>
      <c r="C156" s="88">
        <v>244</v>
      </c>
      <c r="D156" s="263">
        <f>1838667.9+352508-488+1119831.66</f>
        <v>3310519.5599999996</v>
      </c>
      <c r="E156" s="263">
        <f>9419107.92-381.3-0.33-2822131.58</f>
        <v>6596594.709999999</v>
      </c>
      <c r="F156" s="77">
        <f>SUM('[1] расходов 2023'!CH501:CY501)</f>
        <v>14186898.620000001</v>
      </c>
      <c r="G156" s="77">
        <f>SUM(' расходов 2024'!CI503:CZ503)</f>
        <v>15424018.860000001</v>
      </c>
      <c r="H156" s="263">
        <v>210200</v>
      </c>
      <c r="I156" s="263">
        <v>204426.6</v>
      </c>
      <c r="J156" s="196"/>
      <c r="K156" s="82"/>
      <c r="N156" s="82">
        <v>4299996.2899999991</v>
      </c>
      <c r="O156" s="276">
        <v>9464355.3900000006</v>
      </c>
      <c r="P156" s="82">
        <v>270406.37000000011</v>
      </c>
      <c r="Q156" s="82">
        <v>-933693.62999999989</v>
      </c>
      <c r="AB156" s="277"/>
      <c r="AC156" s="277"/>
      <c r="AD156" s="277"/>
    </row>
    <row r="157" spans="1:30" x14ac:dyDescent="0.25">
      <c r="A157" s="254" t="s">
        <v>3</v>
      </c>
      <c r="B157" s="391"/>
      <c r="C157" s="391"/>
      <c r="D157" s="399">
        <f>49897.4</f>
        <v>49897.4</v>
      </c>
      <c r="E157" s="395">
        <f>260570-101204+7010</f>
        <v>166376</v>
      </c>
      <c r="F157" s="397">
        <f>SUM('[1] расходов 2023'!CH440:CY443)+SUM('[1] расходов 2023'!CH496:CY497)</f>
        <v>184524.52</v>
      </c>
      <c r="G157" s="397">
        <f>SUM(' расходов 2024'!CI442:CZ445)+SUM(' расходов 2024'!CI499:CZ500)</f>
        <v>306428.64</v>
      </c>
      <c r="H157" s="395">
        <v>7000</v>
      </c>
      <c r="I157" s="395">
        <v>7000</v>
      </c>
      <c r="J157" s="393"/>
      <c r="N157" s="82">
        <v>124186.1</v>
      </c>
      <c r="O157" s="82">
        <v>43034.109999999986</v>
      </c>
      <c r="P157" s="82">
        <v>-60000</v>
      </c>
      <c r="Q157" s="82">
        <v>-140000</v>
      </c>
      <c r="AA157" s="377">
        <f>30000+15000+32000+20000</f>
        <v>97000</v>
      </c>
      <c r="AB157" s="277"/>
      <c r="AC157" s="277"/>
      <c r="AD157" s="277"/>
    </row>
    <row r="158" spans="1:30" ht="28.2" thickBot="1" x14ac:dyDescent="0.3">
      <c r="A158" s="254" t="s">
        <v>222</v>
      </c>
      <c r="B158" s="392"/>
      <c r="C158" s="392"/>
      <c r="D158" s="400"/>
      <c r="E158" s="396"/>
      <c r="F158" s="398"/>
      <c r="G158" s="398"/>
      <c r="H158" s="396"/>
      <c r="I158" s="396"/>
      <c r="J158" s="394"/>
      <c r="N158" s="82">
        <v>0</v>
      </c>
      <c r="O158" s="82">
        <v>0</v>
      </c>
      <c r="P158" s="82">
        <v>0</v>
      </c>
      <c r="Q158" s="82">
        <v>0</v>
      </c>
      <c r="AA158" s="378"/>
      <c r="AB158" s="277"/>
      <c r="AC158" s="277"/>
      <c r="AD158" s="277"/>
    </row>
    <row r="159" spans="1:30" ht="28.2" thickBot="1" x14ac:dyDescent="0.3">
      <c r="A159" s="282" t="s">
        <v>223</v>
      </c>
      <c r="B159" s="88"/>
      <c r="C159" s="88"/>
      <c r="D159" s="263">
        <f>658373.5+352508-488+75000</f>
        <v>1085393.5</v>
      </c>
      <c r="E159" s="263">
        <f>6985238.64-2822131.58</f>
        <v>4163107.0599999996</v>
      </c>
      <c r="F159" s="77">
        <f>SUM('[1] расходов 2023'!CH489:CY495)+SUM('[1] расходов 2023'!CH484:CY484)</f>
        <v>11161509.23</v>
      </c>
      <c r="G159" s="77">
        <f>SUM(' расходов 2024'!CI446:CZ446)+SUM(' расходов 2024'!CI486:CZ486)+SUM(' расходов 2024'!CI491:CZ492)+(SUM(' расходов 2024'!CI494:CZ494))</f>
        <v>12027307.470000001</v>
      </c>
      <c r="H159" s="263">
        <v>0</v>
      </c>
      <c r="I159" s="263">
        <v>0</v>
      </c>
      <c r="J159" s="196"/>
      <c r="L159" s="82"/>
      <c r="N159" s="82">
        <v>3951307.0599999996</v>
      </c>
      <c r="O159" s="82">
        <v>8810459.5800000001</v>
      </c>
      <c r="P159" s="82">
        <v>-15000</v>
      </c>
      <c r="Q159" s="82">
        <v>-15000</v>
      </c>
      <c r="AB159" s="277"/>
      <c r="AC159" s="277"/>
      <c r="AD159" s="277"/>
    </row>
    <row r="160" spans="1:30" s="81" customFormat="1" ht="14.4" thickBot="1" x14ac:dyDescent="0.3">
      <c r="A160" s="282" t="s">
        <v>221</v>
      </c>
      <c r="B160" s="88">
        <v>2646</v>
      </c>
      <c r="C160" s="88">
        <v>244</v>
      </c>
      <c r="D160" s="77">
        <f>3715252.75+92632-10+47788-10800</f>
        <v>3844862.75</v>
      </c>
      <c r="E160" s="77">
        <f>15717192.05-5465.3-10000</f>
        <v>15701726.75</v>
      </c>
      <c r="F160" s="77">
        <f>SUM('[1] расходов 2023'!CH571:CY571)</f>
        <v>18611655.549999997</v>
      </c>
      <c r="G160" s="77">
        <f>SUM(' расходов 2024'!CI573:CZ573)</f>
        <v>20795697.350020003</v>
      </c>
      <c r="H160" s="77">
        <v>14502048.58</v>
      </c>
      <c r="I160" s="77">
        <v>14994267</v>
      </c>
      <c r="J160" s="115"/>
      <c r="N160" s="121">
        <v>11777208.83</v>
      </c>
      <c r="O160" s="121">
        <v>8060374.4199999981</v>
      </c>
      <c r="P160" s="121">
        <v>2594259.34</v>
      </c>
      <c r="Q160" s="121">
        <v>2251418.9500000002</v>
      </c>
      <c r="AA160" s="255"/>
      <c r="AB160" s="277"/>
      <c r="AC160" s="277"/>
      <c r="AD160" s="277"/>
    </row>
    <row r="161" spans="1:30" x14ac:dyDescent="0.25">
      <c r="A161" s="254" t="s">
        <v>44</v>
      </c>
      <c r="B161" s="391"/>
      <c r="C161" s="391"/>
      <c r="D161" s="399">
        <v>0</v>
      </c>
      <c r="E161" s="399">
        <v>10524305</v>
      </c>
      <c r="F161" s="397">
        <f>SUM('[1] расходов 2023'!CH553:CY553)+SUM('[1] расходов 2023'!CH527:CY527)</f>
        <v>11352630</v>
      </c>
      <c r="G161" s="397">
        <f>SUM(' расходов 2024'!CI555:CZ555)+SUM(' расходов 2024'!CI529:CZ529)</f>
        <v>14001460.000019999</v>
      </c>
      <c r="H161" s="395">
        <f>4809522+9608042.3</f>
        <v>14417564.300000001</v>
      </c>
      <c r="I161" s="399">
        <f>5001903+9992364</f>
        <v>14994267</v>
      </c>
      <c r="J161" s="393"/>
      <c r="N161" s="82">
        <v>9732805</v>
      </c>
      <c r="O161" s="82">
        <v>5157370</v>
      </c>
      <c r="P161" s="82">
        <v>4853383.58</v>
      </c>
      <c r="Q161" s="82">
        <v>5055310.8900000006</v>
      </c>
      <c r="AB161" s="277"/>
      <c r="AC161" s="277"/>
      <c r="AD161" s="277"/>
    </row>
    <row r="162" spans="1:30" ht="14.4" thickBot="1" x14ac:dyDescent="0.3">
      <c r="A162" s="254" t="s">
        <v>224</v>
      </c>
      <c r="B162" s="392"/>
      <c r="C162" s="392"/>
      <c r="D162" s="400"/>
      <c r="E162" s="400"/>
      <c r="F162" s="398"/>
      <c r="G162" s="398"/>
      <c r="H162" s="396"/>
      <c r="I162" s="400"/>
      <c r="J162" s="394"/>
      <c r="N162" s="82">
        <v>0</v>
      </c>
      <c r="O162" s="82">
        <v>0</v>
      </c>
      <c r="P162" s="82">
        <v>0</v>
      </c>
      <c r="Q162" s="82">
        <v>0</v>
      </c>
      <c r="AB162" s="277"/>
      <c r="AC162" s="277"/>
      <c r="AD162" s="277"/>
    </row>
    <row r="163" spans="1:30" s="81" customFormat="1" ht="28.2" thickBot="1" x14ac:dyDescent="0.3">
      <c r="A163" s="282" t="s">
        <v>230</v>
      </c>
      <c r="B163" s="88">
        <v>2647</v>
      </c>
      <c r="C163" s="88">
        <v>244</v>
      </c>
      <c r="D163" s="77">
        <f>851785.45+2664000-257.26+62890</f>
        <v>3578418.1900000004</v>
      </c>
      <c r="E163" s="136">
        <v>1832039</v>
      </c>
      <c r="F163" s="78">
        <f>SUM('[1] расходов 2023'!CH624:CY624)</f>
        <v>4276277</v>
      </c>
      <c r="G163" s="78">
        <f>SUM(' расходов 2024'!CI682:CZ682)</f>
        <v>16571542.760000002</v>
      </c>
      <c r="H163" s="77">
        <v>0</v>
      </c>
      <c r="I163" s="77">
        <v>0</v>
      </c>
      <c r="J163" s="115"/>
      <c r="N163" s="121">
        <v>1724237</v>
      </c>
      <c r="O163" s="121">
        <v>3028829.5300000003</v>
      </c>
      <c r="P163" s="121">
        <v>0</v>
      </c>
      <c r="Q163" s="121">
        <v>0</v>
      </c>
      <c r="AA163" s="255"/>
      <c r="AB163" s="277"/>
      <c r="AC163" s="277"/>
      <c r="AD163" s="277"/>
    </row>
    <row r="164" spans="1:30" ht="28.2" thickBot="1" x14ac:dyDescent="0.3">
      <c r="A164" s="282" t="s">
        <v>229</v>
      </c>
      <c r="B164" s="88">
        <v>2648</v>
      </c>
      <c r="C164" s="88">
        <v>244</v>
      </c>
      <c r="D164" s="263">
        <f>3092631.23+283977-24.14-472+5263154.81</f>
        <v>8639266.8999999985</v>
      </c>
      <c r="E164" s="136">
        <f>2568225.04-2832.76</f>
        <v>2565392.2800000003</v>
      </c>
      <c r="F164" s="78">
        <f>SUM('[1] расходов 2023'!CH830:CY830)</f>
        <v>2708641.42</v>
      </c>
      <c r="G164" s="78">
        <f>SUM(' расходов 2024'!CI893:CZ893)</f>
        <v>3155041.59</v>
      </c>
      <c r="H164" s="263">
        <v>286799.18</v>
      </c>
      <c r="I164" s="77">
        <v>193436.77</v>
      </c>
      <c r="J164" s="196"/>
      <c r="K164" s="82"/>
      <c r="N164" s="82">
        <v>-5247180.83</v>
      </c>
      <c r="O164" s="276">
        <v>-1620797.0999999996</v>
      </c>
      <c r="P164" s="82">
        <v>-4042509.7600000002</v>
      </c>
      <c r="Q164" s="82">
        <v>-4106274.89</v>
      </c>
      <c r="S164" s="82"/>
      <c r="T164" s="82"/>
      <c r="U164" s="82"/>
      <c r="V164" s="82"/>
      <c r="W164" s="82"/>
      <c r="AB164" s="277"/>
      <c r="AC164" s="277"/>
      <c r="AD164" s="277"/>
    </row>
    <row r="165" spans="1:30" x14ac:dyDescent="0.25">
      <c r="A165" s="254" t="s">
        <v>3</v>
      </c>
      <c r="B165" s="391"/>
      <c r="C165" s="391"/>
      <c r="D165" s="395">
        <v>15669.56</v>
      </c>
      <c r="E165" s="395">
        <f>30000-15462.9</f>
        <v>14537.1</v>
      </c>
      <c r="F165" s="397">
        <f>SUM('[1] расходов 2023'!CH708:CY708)+SUM('[1] расходов 2023'!CH633:CY633)</f>
        <v>46165</v>
      </c>
      <c r="G165" s="397">
        <f>SUM(' расходов 2024'!CI771:CZ771)+SUM(' расходов 2024'!CI691:CZ691)</f>
        <v>45000</v>
      </c>
      <c r="H165" s="395">
        <v>0</v>
      </c>
      <c r="I165" s="395">
        <v>20000</v>
      </c>
      <c r="J165" s="393"/>
      <c r="N165" s="82">
        <v>6429.8600000000006</v>
      </c>
      <c r="O165" s="82">
        <v>22545</v>
      </c>
      <c r="P165" s="82">
        <v>-3420</v>
      </c>
      <c r="Q165" s="82">
        <v>0</v>
      </c>
      <c r="AB165" s="277"/>
      <c r="AC165" s="277"/>
      <c r="AD165" s="277"/>
    </row>
    <row r="166" spans="1:30" ht="28.2" thickBot="1" x14ac:dyDescent="0.3">
      <c r="A166" s="254" t="s">
        <v>225</v>
      </c>
      <c r="B166" s="392"/>
      <c r="C166" s="392"/>
      <c r="D166" s="396"/>
      <c r="E166" s="396"/>
      <c r="F166" s="398"/>
      <c r="G166" s="398"/>
      <c r="H166" s="396"/>
      <c r="I166" s="396"/>
      <c r="J166" s="394"/>
      <c r="N166" s="82">
        <v>0</v>
      </c>
      <c r="O166" s="82">
        <v>0</v>
      </c>
      <c r="P166" s="82">
        <v>0</v>
      </c>
      <c r="Q166" s="82">
        <v>0</v>
      </c>
      <c r="S166" s="82"/>
      <c r="AB166" s="277"/>
      <c r="AC166" s="277"/>
      <c r="AD166" s="277"/>
    </row>
    <row r="167" spans="1:30" ht="17.25" customHeight="1" thickBot="1" x14ac:dyDescent="0.3">
      <c r="A167" s="282" t="s">
        <v>226</v>
      </c>
      <c r="B167" s="88"/>
      <c r="C167" s="88"/>
      <c r="D167" s="263">
        <f>493297.36</f>
        <v>493297.36</v>
      </c>
      <c r="E167" s="263">
        <f>506256.76-2832.76</f>
        <v>503424</v>
      </c>
      <c r="F167" s="77">
        <f>SUM('[1] расходов 2023'!CH654:CY654)+SUM('[1] расходов 2023'!CH774:CY774)+SUM('[1] расходов 2023'!CH813:CY813)</f>
        <v>526612.20000000007</v>
      </c>
      <c r="G167" s="77">
        <f>SUM(' расходов 2024'!CI712:CZ712)+SUM(' расходов 2024'!CI837:CZ837)+SUM(' расходов 2024'!CI876:CZ876)</f>
        <v>606261.36</v>
      </c>
      <c r="H167" s="263">
        <v>50000</v>
      </c>
      <c r="I167" s="263">
        <v>69000</v>
      </c>
      <c r="J167" s="196"/>
      <c r="N167" s="82">
        <v>107271.43999999994</v>
      </c>
      <c r="O167" s="82">
        <v>-111431.29999999999</v>
      </c>
      <c r="P167" s="82">
        <v>-85620</v>
      </c>
      <c r="Q167" s="82">
        <v>-133420</v>
      </c>
      <c r="AB167" s="277"/>
      <c r="AC167" s="277"/>
      <c r="AD167" s="277"/>
    </row>
    <row r="168" spans="1:30" ht="14.4" thickBot="1" x14ac:dyDescent="0.3">
      <c r="A168" s="131" t="s">
        <v>227</v>
      </c>
      <c r="B168" s="88"/>
      <c r="C168" s="88"/>
      <c r="D168" s="263">
        <f>1588541.02+4422708.94</f>
        <v>6011249.9600000009</v>
      </c>
      <c r="E168" s="263">
        <v>24099.41</v>
      </c>
      <c r="F168" s="77">
        <f>SUM('[1] расходов 2023'!CH756:CY756)</f>
        <v>17261.589999999997</v>
      </c>
      <c r="G168" s="77">
        <f>SUM(' расходов 2024'!CI819:CZ819)</f>
        <v>34398.99</v>
      </c>
      <c r="H168" s="263">
        <v>0</v>
      </c>
      <c r="I168" s="263">
        <v>0</v>
      </c>
      <c r="J168" s="196"/>
      <c r="N168" s="82">
        <v>-5598508.4000000004</v>
      </c>
      <c r="O168" s="82">
        <v>-2457452.36</v>
      </c>
      <c r="P168" s="82">
        <v>-4830000</v>
      </c>
      <c r="Q168" s="82">
        <v>-4830000</v>
      </c>
      <c r="AB168" s="277"/>
      <c r="AC168" s="277"/>
      <c r="AD168" s="277"/>
    </row>
    <row r="169" spans="1:30" ht="14.4" thickBot="1" x14ac:dyDescent="0.3">
      <c r="A169" s="131" t="s">
        <v>228</v>
      </c>
      <c r="B169" s="88"/>
      <c r="C169" s="88"/>
      <c r="D169" s="263">
        <f>139060+239170</f>
        <v>378230</v>
      </c>
      <c r="E169" s="263">
        <f>477376+23968.5</f>
        <v>501344.5</v>
      </c>
      <c r="F169" s="77">
        <f>SUM('[1] расходов 2023'!CH656:CY656)+SUM('[1] расходов 2023'!CH666:CY666)+SUM('[1] расходов 2023'!CH776:CY776)+SUM('[1] расходов 2023'!CH799:CY799)</f>
        <v>577802</v>
      </c>
      <c r="G169" s="77">
        <f>SUM(' расходов 2024'!CI714:CZ714)+SUM(' расходов 2024'!CI728:CZ728)+SUM(' расходов 2024'!CI839:CZ839)+SUM(' расходов 2024'!CI862:CZ862)</f>
        <v>575160</v>
      </c>
      <c r="H169" s="263">
        <v>150520</v>
      </c>
      <c r="I169" s="263">
        <v>89510</v>
      </c>
      <c r="J169" s="196"/>
      <c r="N169" s="82">
        <v>140099.5</v>
      </c>
      <c r="O169" s="82">
        <v>196288.36</v>
      </c>
      <c r="P169" s="82">
        <v>119760</v>
      </c>
      <c r="Q169" s="82">
        <v>119760</v>
      </c>
      <c r="AB169" s="277"/>
      <c r="AC169" s="277"/>
      <c r="AD169" s="277"/>
    </row>
    <row r="170" spans="1:30" ht="14.4" thickBot="1" x14ac:dyDescent="0.3">
      <c r="A170" s="131" t="s">
        <v>357</v>
      </c>
      <c r="B170" s="88">
        <v>2650</v>
      </c>
      <c r="C170" s="88">
        <v>247</v>
      </c>
      <c r="D170" s="263"/>
      <c r="E170" s="263">
        <f>3938548.07-569984.96</f>
        <v>3368563.11</v>
      </c>
      <c r="F170" s="77">
        <f>SUM('[1] расходов 2023'!CJ412:CY412)</f>
        <v>5986162.0810000002</v>
      </c>
      <c r="G170" s="77">
        <f>SUM(' расходов 2024'!CK413:CZ413)</f>
        <v>4683611.96</v>
      </c>
      <c r="H170" s="77">
        <v>4848891.4800000004</v>
      </c>
      <c r="I170" s="77">
        <v>5020605.5599999996</v>
      </c>
      <c r="J170" s="196"/>
      <c r="N170" s="82">
        <v>3368563.11</v>
      </c>
      <c r="O170" s="82">
        <v>769879.31099999975</v>
      </c>
      <c r="P170" s="82">
        <v>396732.41000000015</v>
      </c>
      <c r="Q170" s="82">
        <v>488016.06000000006</v>
      </c>
      <c r="AB170" s="277"/>
      <c r="AC170" s="277"/>
      <c r="AD170" s="277"/>
    </row>
    <row r="171" spans="1:30" ht="54.75" customHeight="1" thickBot="1" x14ac:dyDescent="0.3">
      <c r="A171" s="131" t="s">
        <v>157</v>
      </c>
      <c r="B171" s="88">
        <v>2660</v>
      </c>
      <c r="C171" s="87">
        <v>400</v>
      </c>
      <c r="D171" s="263">
        <v>0</v>
      </c>
      <c r="E171" s="263">
        <v>0</v>
      </c>
      <c r="F171" s="77">
        <v>0</v>
      </c>
      <c r="G171" s="77">
        <v>0</v>
      </c>
      <c r="H171" s="263">
        <v>0</v>
      </c>
      <c r="I171" s="263">
        <v>0</v>
      </c>
      <c r="J171" s="196"/>
      <c r="N171" s="82">
        <v>0</v>
      </c>
      <c r="O171" s="82">
        <v>0</v>
      </c>
      <c r="P171" s="82">
        <v>0</v>
      </c>
      <c r="Q171" s="82">
        <v>0</v>
      </c>
      <c r="AB171" s="277"/>
      <c r="AC171" s="277"/>
      <c r="AD171" s="277"/>
    </row>
    <row r="172" spans="1:30" ht="16.5" customHeight="1" x14ac:dyDescent="0.25">
      <c r="A172" s="254" t="s">
        <v>3</v>
      </c>
      <c r="B172" s="391">
        <v>2661</v>
      </c>
      <c r="C172" s="393">
        <v>406</v>
      </c>
      <c r="D172" s="383">
        <v>0</v>
      </c>
      <c r="E172" s="383">
        <v>0</v>
      </c>
      <c r="F172" s="389">
        <v>0</v>
      </c>
      <c r="G172" s="389">
        <v>0</v>
      </c>
      <c r="H172" s="383">
        <v>0</v>
      </c>
      <c r="I172" s="383">
        <v>0</v>
      </c>
      <c r="J172" s="385"/>
      <c r="N172" s="82">
        <v>0</v>
      </c>
      <c r="O172" s="82">
        <v>0</v>
      </c>
      <c r="P172" s="82">
        <v>0</v>
      </c>
      <c r="Q172" s="82">
        <v>0</v>
      </c>
      <c r="AB172" s="277"/>
      <c r="AC172" s="277"/>
      <c r="AD172" s="277"/>
    </row>
    <row r="173" spans="1:30" ht="60.75" customHeight="1" thickBot="1" x14ac:dyDescent="0.3">
      <c r="A173" s="131" t="s">
        <v>158</v>
      </c>
      <c r="B173" s="392"/>
      <c r="C173" s="394"/>
      <c r="D173" s="384"/>
      <c r="E173" s="384"/>
      <c r="F173" s="390"/>
      <c r="G173" s="390"/>
      <c r="H173" s="384"/>
      <c r="I173" s="384"/>
      <c r="J173" s="386"/>
      <c r="N173" s="82">
        <v>0</v>
      </c>
      <c r="O173" s="82">
        <v>0</v>
      </c>
      <c r="P173" s="82">
        <v>0</v>
      </c>
      <c r="Q173" s="82">
        <v>0</v>
      </c>
      <c r="AB173" s="277"/>
      <c r="AC173" s="277"/>
      <c r="AD173" s="277"/>
    </row>
    <row r="174" spans="1:30" ht="69" customHeight="1" thickBot="1" x14ac:dyDescent="0.3">
      <c r="A174" s="131" t="s">
        <v>159</v>
      </c>
      <c r="B174" s="88">
        <v>2662</v>
      </c>
      <c r="C174" s="87">
        <v>407</v>
      </c>
      <c r="D174" s="263">
        <v>0</v>
      </c>
      <c r="E174" s="263">
        <v>0</v>
      </c>
      <c r="F174" s="77">
        <v>0</v>
      </c>
      <c r="G174" s="77">
        <v>0</v>
      </c>
      <c r="H174" s="263">
        <v>0</v>
      </c>
      <c r="I174" s="263">
        <v>0</v>
      </c>
      <c r="J174" s="196"/>
      <c r="N174" s="82">
        <v>0</v>
      </c>
      <c r="O174" s="82">
        <v>0</v>
      </c>
      <c r="P174" s="82">
        <v>0</v>
      </c>
      <c r="Q174" s="82">
        <v>0</v>
      </c>
      <c r="AB174" s="277"/>
      <c r="AC174" s="277"/>
      <c r="AD174" s="277"/>
    </row>
    <row r="175" spans="1:30" ht="22.95" customHeight="1" thickBot="1" x14ac:dyDescent="0.3">
      <c r="A175" s="272" t="s">
        <v>365</v>
      </c>
      <c r="B175" s="88">
        <v>2700</v>
      </c>
      <c r="C175" s="87">
        <v>880</v>
      </c>
      <c r="D175" s="263"/>
      <c r="E175" s="263"/>
      <c r="F175" s="77">
        <v>0</v>
      </c>
      <c r="G175" s="77">
        <v>0</v>
      </c>
      <c r="H175" s="263">
        <v>0</v>
      </c>
      <c r="I175" s="263">
        <v>0</v>
      </c>
      <c r="J175" s="196"/>
      <c r="N175" s="82"/>
      <c r="O175" s="82"/>
      <c r="P175" s="82"/>
      <c r="Q175" s="82"/>
      <c r="AB175" s="277"/>
      <c r="AC175" s="277"/>
      <c r="AD175" s="277"/>
    </row>
    <row r="176" spans="1:30" ht="36" customHeight="1" thickBot="1" x14ac:dyDescent="0.3">
      <c r="A176" s="305" t="s">
        <v>320</v>
      </c>
      <c r="B176" s="88">
        <v>3000</v>
      </c>
      <c r="C176" s="87">
        <v>100</v>
      </c>
      <c r="D176" s="274">
        <f>D177+D179+D180</f>
        <v>-3868</v>
      </c>
      <c r="E176" s="263">
        <v>0</v>
      </c>
      <c r="F176" s="77">
        <v>0</v>
      </c>
      <c r="G176" s="77">
        <v>0</v>
      </c>
      <c r="H176" s="263">
        <v>0</v>
      </c>
      <c r="I176" s="263">
        <v>0</v>
      </c>
      <c r="J176" s="87" t="s">
        <v>112</v>
      </c>
      <c r="N176" s="82">
        <v>0</v>
      </c>
      <c r="O176" s="82">
        <v>0</v>
      </c>
      <c r="P176" s="82">
        <v>0</v>
      </c>
      <c r="Q176" s="82">
        <v>0</v>
      </c>
      <c r="AB176" s="277"/>
      <c r="AC176" s="277"/>
      <c r="AD176" s="277"/>
    </row>
    <row r="177" spans="1:30" ht="19.5" customHeight="1" x14ac:dyDescent="0.25">
      <c r="A177" s="254" t="s">
        <v>3</v>
      </c>
      <c r="B177" s="391">
        <v>3010</v>
      </c>
      <c r="C177" s="385"/>
      <c r="D177" s="383">
        <v>-3868</v>
      </c>
      <c r="E177" s="383">
        <v>0</v>
      </c>
      <c r="F177" s="389">
        <v>0</v>
      </c>
      <c r="G177" s="389">
        <v>0</v>
      </c>
      <c r="H177" s="383">
        <v>0</v>
      </c>
      <c r="I177" s="383">
        <v>0</v>
      </c>
      <c r="J177" s="393" t="s">
        <v>112</v>
      </c>
      <c r="N177" s="82">
        <v>0</v>
      </c>
      <c r="O177" s="82">
        <v>0</v>
      </c>
      <c r="P177" s="82">
        <v>0</v>
      </c>
      <c r="Q177" s="82">
        <v>0</v>
      </c>
      <c r="AB177" s="277"/>
      <c r="AC177" s="277"/>
      <c r="AD177" s="277"/>
    </row>
    <row r="178" spans="1:30" ht="17.25" customHeight="1" thickBot="1" x14ac:dyDescent="0.3">
      <c r="A178" s="131" t="s">
        <v>160</v>
      </c>
      <c r="B178" s="392"/>
      <c r="C178" s="386"/>
      <c r="D178" s="384"/>
      <c r="E178" s="384"/>
      <c r="F178" s="390"/>
      <c r="G178" s="390"/>
      <c r="H178" s="384"/>
      <c r="I178" s="384"/>
      <c r="J178" s="394"/>
      <c r="N178" s="82">
        <v>0</v>
      </c>
      <c r="O178" s="82">
        <v>0</v>
      </c>
      <c r="P178" s="82">
        <v>0</v>
      </c>
      <c r="Q178" s="82">
        <v>0</v>
      </c>
      <c r="AB178" s="277"/>
      <c r="AC178" s="277"/>
      <c r="AD178" s="277"/>
    </row>
    <row r="179" spans="1:30" ht="20.25" customHeight="1" thickBot="1" x14ac:dyDescent="0.3">
      <c r="A179" s="131" t="s">
        <v>161</v>
      </c>
      <c r="B179" s="88">
        <v>3020</v>
      </c>
      <c r="C179" s="196"/>
      <c r="D179" s="263">
        <v>0</v>
      </c>
      <c r="E179" s="263">
        <v>0</v>
      </c>
      <c r="F179" s="77">
        <v>0</v>
      </c>
      <c r="G179" s="77">
        <v>0</v>
      </c>
      <c r="H179" s="263">
        <v>0</v>
      </c>
      <c r="I179" s="263">
        <v>0</v>
      </c>
      <c r="J179" s="87" t="s">
        <v>112</v>
      </c>
      <c r="N179" s="82">
        <v>0</v>
      </c>
      <c r="O179" s="82">
        <v>0</v>
      </c>
      <c r="P179" s="82">
        <v>0</v>
      </c>
      <c r="Q179" s="82">
        <v>0</v>
      </c>
      <c r="AB179" s="277"/>
      <c r="AC179" s="277"/>
      <c r="AD179" s="277"/>
    </row>
    <row r="180" spans="1:30" ht="32.25" customHeight="1" thickBot="1" x14ac:dyDescent="0.3">
      <c r="A180" s="131" t="s">
        <v>162</v>
      </c>
      <c r="B180" s="88">
        <v>3030</v>
      </c>
      <c r="C180" s="196"/>
      <c r="D180" s="263">
        <v>0</v>
      </c>
      <c r="E180" s="263">
        <v>0</v>
      </c>
      <c r="F180" s="77">
        <v>0</v>
      </c>
      <c r="G180" s="77">
        <v>0</v>
      </c>
      <c r="H180" s="263">
        <v>0</v>
      </c>
      <c r="I180" s="263">
        <v>0</v>
      </c>
      <c r="J180" s="87" t="s">
        <v>112</v>
      </c>
      <c r="N180" s="82">
        <v>0</v>
      </c>
      <c r="O180" s="82">
        <v>0</v>
      </c>
      <c r="P180" s="82">
        <v>0</v>
      </c>
      <c r="Q180" s="82">
        <v>0</v>
      </c>
      <c r="AB180" s="277"/>
      <c r="AC180" s="277"/>
      <c r="AD180" s="277"/>
    </row>
    <row r="181" spans="1:30" ht="21" customHeight="1" thickBot="1" x14ac:dyDescent="0.3">
      <c r="A181" s="305" t="s">
        <v>321</v>
      </c>
      <c r="B181" s="88">
        <v>4000</v>
      </c>
      <c r="C181" s="87" t="s">
        <v>112</v>
      </c>
      <c r="D181" s="263">
        <f>D182+D184+D186</f>
        <v>0</v>
      </c>
      <c r="E181" s="263">
        <f>E182</f>
        <v>0</v>
      </c>
      <c r="F181" s="77">
        <f>F182</f>
        <v>15358.68</v>
      </c>
      <c r="G181" s="77">
        <f>G182</f>
        <v>43333.97</v>
      </c>
      <c r="H181" s="263">
        <v>0</v>
      </c>
      <c r="I181" s="263">
        <v>0</v>
      </c>
      <c r="J181" s="87" t="s">
        <v>112</v>
      </c>
      <c r="N181" s="82">
        <v>0</v>
      </c>
      <c r="O181" s="82">
        <v>-1128747.1000000001</v>
      </c>
      <c r="P181" s="82">
        <v>0</v>
      </c>
      <c r="Q181" s="82">
        <v>0</v>
      </c>
      <c r="AB181" s="277"/>
      <c r="AC181" s="277"/>
      <c r="AD181" s="277"/>
    </row>
    <row r="182" spans="1:30" x14ac:dyDescent="0.25">
      <c r="A182" s="254" t="s">
        <v>5</v>
      </c>
      <c r="B182" s="391">
        <v>4010</v>
      </c>
      <c r="C182" s="393">
        <v>610</v>
      </c>
      <c r="D182" s="383">
        <v>0</v>
      </c>
      <c r="E182" s="383">
        <v>0</v>
      </c>
      <c r="F182" s="389">
        <f>F186</f>
        <v>15358.68</v>
      </c>
      <c r="G182" s="389">
        <f>G186</f>
        <v>43333.97</v>
      </c>
      <c r="H182" s="383">
        <v>0</v>
      </c>
      <c r="I182" s="383">
        <v>0</v>
      </c>
      <c r="J182" s="393" t="s">
        <v>112</v>
      </c>
      <c r="N182" s="82">
        <v>0</v>
      </c>
      <c r="O182" s="82">
        <v>-1128747.1000000001</v>
      </c>
      <c r="P182" s="82">
        <v>0</v>
      </c>
      <c r="Q182" s="82">
        <v>0</v>
      </c>
      <c r="AB182" s="277"/>
      <c r="AC182" s="277"/>
      <c r="AD182" s="277"/>
    </row>
    <row r="183" spans="1:30" ht="30" customHeight="1" thickBot="1" x14ac:dyDescent="0.3">
      <c r="A183" s="131" t="s">
        <v>163</v>
      </c>
      <c r="B183" s="392"/>
      <c r="C183" s="394"/>
      <c r="D183" s="384"/>
      <c r="E183" s="384"/>
      <c r="F183" s="390"/>
      <c r="G183" s="390"/>
      <c r="H183" s="384"/>
      <c r="I183" s="384"/>
      <c r="J183" s="394"/>
      <c r="N183" s="82">
        <v>0</v>
      </c>
      <c r="O183" s="82">
        <v>0</v>
      </c>
      <c r="P183" s="82">
        <v>0</v>
      </c>
      <c r="Q183" s="82">
        <v>0</v>
      </c>
      <c r="AB183" s="277"/>
      <c r="AC183" s="277"/>
      <c r="AD183" s="277"/>
    </row>
    <row r="184" spans="1:30" ht="16.5" customHeight="1" x14ac:dyDescent="0.25">
      <c r="A184" s="254" t="s">
        <v>3</v>
      </c>
      <c r="B184" s="387"/>
      <c r="C184" s="385"/>
      <c r="D184" s="383">
        <v>0</v>
      </c>
      <c r="E184" s="383">
        <v>0</v>
      </c>
      <c r="F184" s="389">
        <v>0</v>
      </c>
      <c r="G184" s="389">
        <v>0</v>
      </c>
      <c r="H184" s="383">
        <v>0</v>
      </c>
      <c r="I184" s="383">
        <v>0</v>
      </c>
      <c r="J184" s="385"/>
      <c r="N184" s="82">
        <v>0</v>
      </c>
      <c r="O184" s="82">
        <v>0</v>
      </c>
      <c r="P184" s="82">
        <v>0</v>
      </c>
      <c r="Q184" s="82">
        <v>0</v>
      </c>
      <c r="AB184" s="277"/>
      <c r="AC184" s="277"/>
      <c r="AD184" s="277"/>
    </row>
    <row r="185" spans="1:30" ht="33" customHeight="1" thickBot="1" x14ac:dyDescent="0.3">
      <c r="A185" s="131" t="s">
        <v>128</v>
      </c>
      <c r="B185" s="388"/>
      <c r="C185" s="386"/>
      <c r="D185" s="384"/>
      <c r="E185" s="384"/>
      <c r="F185" s="390"/>
      <c r="G185" s="390"/>
      <c r="H185" s="384"/>
      <c r="I185" s="384"/>
      <c r="J185" s="386"/>
      <c r="N185" s="82">
        <v>0</v>
      </c>
      <c r="O185" s="82">
        <v>0</v>
      </c>
      <c r="P185" s="82">
        <v>0</v>
      </c>
      <c r="Q185" s="82">
        <v>0</v>
      </c>
      <c r="AB185" s="277"/>
      <c r="AC185" s="277"/>
      <c r="AD185" s="277"/>
    </row>
    <row r="186" spans="1:30" ht="38.25" customHeight="1" thickBot="1" x14ac:dyDescent="0.3">
      <c r="A186" s="131" t="s">
        <v>129</v>
      </c>
      <c r="B186" s="115"/>
      <c r="C186" s="196"/>
      <c r="D186" s="263">
        <v>0</v>
      </c>
      <c r="E186" s="263">
        <v>0</v>
      </c>
      <c r="F186" s="77">
        <f>11376.8+3981.88</f>
        <v>15358.68</v>
      </c>
      <c r="G186" s="77">
        <v>43333.97</v>
      </c>
      <c r="H186" s="263">
        <v>0</v>
      </c>
      <c r="I186" s="263">
        <v>0</v>
      </c>
      <c r="J186" s="196"/>
      <c r="N186" s="82">
        <v>0</v>
      </c>
      <c r="O186" s="82">
        <v>-1128747.1000000001</v>
      </c>
      <c r="P186" s="82">
        <v>0</v>
      </c>
      <c r="Q186" s="82">
        <v>0</v>
      </c>
      <c r="AB186" s="277"/>
      <c r="AC186" s="277"/>
      <c r="AD186" s="277"/>
    </row>
    <row r="187" spans="1:30" hidden="1" x14ac:dyDescent="0.25">
      <c r="A187" s="81">
        <v>133148565.48999999</v>
      </c>
      <c r="B187" s="318">
        <f>A187-F187</f>
        <v>-19238706.266790405</v>
      </c>
      <c r="C187" s="80">
        <v>13214.92</v>
      </c>
      <c r="D187" s="82">
        <f>D92+D94+D97+D112+D114+D122+D124+D125+D151+D154+D156+D160+D163+D164</f>
        <v>100690720.68999997</v>
      </c>
      <c r="E187" s="82">
        <f>E92+E94+E97+E112+E114+E122+E124+E125+E151+E154+E156+E160+E163+E164</f>
        <v>120555077.66999999</v>
      </c>
      <c r="F187" s="82">
        <f>F92+F94+F97+F99+F112+F122+F124+F125+F151+F154+F156+F160+F164+F114+F163+F170+F153</f>
        <v>152387271.7567904</v>
      </c>
      <c r="G187" s="82">
        <f>AA92+G94+G97+G99+G112+G122+G124+G125+G151+G153+G154+G156+G160+G164+G114+G163+G170</f>
        <v>90393975.456260011</v>
      </c>
      <c r="H187" s="82">
        <f>H92+H94+H97+H112+H122+H124+H125+H151+H154+H156+H160+H164+H114+H163+H170+H153</f>
        <v>134801754.00999999</v>
      </c>
      <c r="I187" s="82">
        <f>I92+I94+I97+I112+I122+I124+I125+I151+I154+I156+I160+I164+I114+I163+I170+I153</f>
        <v>137654656.16</v>
      </c>
    </row>
    <row r="188" spans="1:30" hidden="1" x14ac:dyDescent="0.25">
      <c r="A188" s="81" t="s">
        <v>164</v>
      </c>
      <c r="B188" s="81" t="s">
        <v>413</v>
      </c>
      <c r="D188" s="82">
        <f t="shared" ref="D188:I188" si="59">D82-D187</f>
        <v>20082.050000041723</v>
      </c>
      <c r="E188" s="82">
        <f t="shared" si="59"/>
        <v>3384914.8100000024</v>
      </c>
      <c r="F188" s="82">
        <f>A187-F187</f>
        <v>-19238706.266790405</v>
      </c>
      <c r="G188" s="82">
        <f>G82-G187</f>
        <v>86982230.949999973</v>
      </c>
      <c r="H188" s="82">
        <f>H82-H187</f>
        <v>99945.988460034132</v>
      </c>
      <c r="I188" s="82">
        <f t="shared" si="59"/>
        <v>102943.84046000242</v>
      </c>
    </row>
    <row r="189" spans="1:30" ht="29.1" hidden="1" customHeight="1" x14ac:dyDescent="0.25">
      <c r="A189" s="81" t="s">
        <v>165</v>
      </c>
      <c r="C189" s="319">
        <f>F189-F142</f>
        <v>-174270.28999999911</v>
      </c>
      <c r="F189" s="82">
        <f>F151+F154+F156+F160+F163+F164+F170</f>
        <v>47683127.891000003</v>
      </c>
      <c r="G189" s="82">
        <f>G6+G16-G82-G186</f>
        <v>-43333.966259987355</v>
      </c>
      <c r="H189" s="82"/>
      <c r="I189" s="82"/>
    </row>
    <row r="190" spans="1:30" ht="15" customHeight="1" x14ac:dyDescent="0.25">
      <c r="A190" s="382" t="s">
        <v>166</v>
      </c>
      <c r="B190" s="382"/>
      <c r="C190" s="382"/>
      <c r="D190" s="382"/>
      <c r="E190" s="382"/>
      <c r="F190" s="382"/>
      <c r="G190" s="382"/>
      <c r="H190" s="382"/>
      <c r="I190" s="382"/>
      <c r="J190" s="382"/>
    </row>
    <row r="191" spans="1:30" ht="28.5" customHeight="1" x14ac:dyDescent="0.25">
      <c r="A191" s="382" t="s">
        <v>167</v>
      </c>
      <c r="B191" s="382"/>
      <c r="C191" s="382"/>
      <c r="D191" s="382"/>
      <c r="E191" s="382"/>
      <c r="F191" s="382"/>
      <c r="G191" s="382"/>
      <c r="H191" s="382"/>
      <c r="I191" s="382"/>
      <c r="J191" s="382"/>
    </row>
    <row r="192" spans="1:30" ht="15" customHeight="1" x14ac:dyDescent="0.25">
      <c r="A192" s="382" t="s">
        <v>168</v>
      </c>
      <c r="B192" s="382"/>
      <c r="C192" s="382"/>
      <c r="D192" s="382"/>
      <c r="E192" s="382"/>
      <c r="F192" s="382"/>
      <c r="G192" s="382"/>
      <c r="H192" s="382"/>
      <c r="I192" s="382"/>
      <c r="J192" s="382"/>
    </row>
    <row r="193" spans="1:10" ht="43.5" customHeight="1" x14ac:dyDescent="0.25">
      <c r="A193" s="382" t="s">
        <v>169</v>
      </c>
      <c r="B193" s="382"/>
      <c r="C193" s="382"/>
      <c r="D193" s="382"/>
      <c r="E193" s="382"/>
      <c r="F193" s="382"/>
      <c r="G193" s="382"/>
      <c r="H193" s="382"/>
      <c r="I193" s="382"/>
      <c r="J193" s="382"/>
    </row>
    <row r="194" spans="1:10" ht="27.75" customHeight="1" x14ac:dyDescent="0.25">
      <c r="A194" s="382" t="s">
        <v>170</v>
      </c>
      <c r="B194" s="382"/>
      <c r="C194" s="382"/>
      <c r="D194" s="382"/>
      <c r="E194" s="382"/>
      <c r="F194" s="382"/>
      <c r="G194" s="382"/>
      <c r="H194" s="382"/>
      <c r="I194" s="382"/>
      <c r="J194" s="382"/>
    </row>
    <row r="195" spans="1:10" ht="33" customHeight="1" x14ac:dyDescent="0.25">
      <c r="A195" s="382" t="s">
        <v>313</v>
      </c>
      <c r="B195" s="382"/>
      <c r="C195" s="382"/>
      <c r="D195" s="382"/>
      <c r="E195" s="382"/>
      <c r="F195" s="382"/>
      <c r="G195" s="382"/>
      <c r="H195" s="382"/>
      <c r="I195" s="382"/>
      <c r="J195" s="382"/>
    </row>
    <row r="196" spans="1:10" ht="45" customHeight="1" x14ac:dyDescent="0.25">
      <c r="A196" s="382" t="s">
        <v>314</v>
      </c>
      <c r="B196" s="382"/>
      <c r="C196" s="382"/>
      <c r="D196" s="382"/>
      <c r="E196" s="382"/>
      <c r="F196" s="382"/>
      <c r="G196" s="382"/>
      <c r="H196" s="382"/>
      <c r="I196" s="382"/>
      <c r="J196" s="382"/>
    </row>
    <row r="197" spans="1:10" ht="34.5" customHeight="1" x14ac:dyDescent="0.25">
      <c r="A197" s="382" t="s">
        <v>315</v>
      </c>
      <c r="B197" s="382"/>
      <c r="C197" s="382"/>
      <c r="D197" s="382"/>
      <c r="E197" s="382"/>
      <c r="F197" s="382"/>
      <c r="G197" s="382"/>
      <c r="H197" s="382"/>
      <c r="I197" s="382"/>
      <c r="J197" s="382"/>
    </row>
    <row r="198" spans="1:10" ht="15" customHeight="1" x14ac:dyDescent="0.25">
      <c r="A198" s="382" t="s">
        <v>316</v>
      </c>
      <c r="B198" s="382"/>
      <c r="C198" s="382"/>
      <c r="D198" s="382"/>
      <c r="E198" s="382"/>
      <c r="F198" s="382"/>
      <c r="G198" s="382"/>
      <c r="H198" s="382"/>
      <c r="I198" s="382"/>
      <c r="J198" s="382"/>
    </row>
    <row r="199" spans="1:10" ht="61.5" customHeight="1" x14ac:dyDescent="0.25">
      <c r="A199" s="382" t="s">
        <v>317</v>
      </c>
      <c r="B199" s="382"/>
      <c r="C199" s="382"/>
      <c r="D199" s="382"/>
      <c r="E199" s="382"/>
      <c r="F199" s="382"/>
      <c r="G199" s="382"/>
      <c r="H199" s="382"/>
      <c r="I199" s="382"/>
      <c r="J199" s="382"/>
    </row>
    <row r="200" spans="1:10" x14ac:dyDescent="0.25">
      <c r="A200" s="320"/>
      <c r="B200" s="91">
        <f t="shared" ref="B200:B201" si="60">F11</f>
        <v>0</v>
      </c>
      <c r="C200" s="270"/>
      <c r="F200" s="89">
        <f>F6+F16-F82</f>
        <v>-7.1999430656433105E-4</v>
      </c>
      <c r="G200" s="89">
        <f>G6+G16-G82</f>
        <v>3.7400126457214355E-3</v>
      </c>
      <c r="H200" s="89">
        <f>H6+H16-H82</f>
        <v>1.5399754047393799E-3</v>
      </c>
      <c r="I200" s="89">
        <f>I6+I16-I82</f>
        <v>-4.5999884605407715E-4</v>
      </c>
    </row>
    <row r="201" spans="1:10" x14ac:dyDescent="0.25">
      <c r="A201" s="321"/>
      <c r="B201" s="89">
        <f t="shared" si="60"/>
        <v>0</v>
      </c>
      <c r="C201" s="322"/>
      <c r="F201" s="89">
        <f>F7+F17-F83</f>
        <v>0</v>
      </c>
      <c r="G201" s="89">
        <f>G7+G17-G83</f>
        <v>0</v>
      </c>
      <c r="H201" s="89">
        <f t="shared" ref="H201:I201" si="61">H7+H17-H83</f>
        <v>0</v>
      </c>
      <c r="I201" s="89">
        <f t="shared" si="61"/>
        <v>0</v>
      </c>
    </row>
    <row r="202" spans="1:10" x14ac:dyDescent="0.25">
      <c r="A202" s="321"/>
      <c r="B202" s="89">
        <f>F14</f>
        <v>0</v>
      </c>
      <c r="C202" s="322"/>
      <c r="F202" s="89">
        <f t="shared" ref="F202:F203" si="62">F9+F19-F85</f>
        <v>2.3495852947235107E-3</v>
      </c>
      <c r="G202" s="89">
        <f>G9+G19-G85</f>
        <v>6.7999958992004395E-4</v>
      </c>
      <c r="H202" s="89">
        <f>H9+H19-H85</f>
        <v>0</v>
      </c>
      <c r="I202" s="89">
        <f>I9+I19-I85</f>
        <v>0</v>
      </c>
    </row>
    <row r="203" spans="1:10" x14ac:dyDescent="0.25">
      <c r="A203" s="323"/>
      <c r="B203" s="324">
        <f>F15</f>
        <v>0</v>
      </c>
      <c r="C203" s="95"/>
      <c r="F203" s="89">
        <f t="shared" si="62"/>
        <v>8.5999816656112671E-4</v>
      </c>
      <c r="G203" s="89">
        <f>G10+G20-G86</f>
        <v>-2.3400001227855682E-3</v>
      </c>
      <c r="H203" s="89">
        <f>H10+H20-H86</f>
        <v>0</v>
      </c>
      <c r="I203" s="89">
        <f t="shared" ref="I203" si="63">I10+I20-I86</f>
        <v>0</v>
      </c>
    </row>
    <row r="205" spans="1:10" x14ac:dyDescent="0.25">
      <c r="B205" s="121"/>
    </row>
    <row r="206" spans="1:10" x14ac:dyDescent="0.25">
      <c r="B206" s="121"/>
    </row>
    <row r="207" spans="1:10" x14ac:dyDescent="0.25">
      <c r="B207" s="121"/>
    </row>
    <row r="1369" spans="22:22" x14ac:dyDescent="0.25">
      <c r="V1369" s="260"/>
    </row>
  </sheetData>
  <mergeCells count="260">
    <mergeCell ref="A1:J1"/>
    <mergeCell ref="A3:A4"/>
    <mergeCell ref="B3:B4"/>
    <mergeCell ref="C3:C4"/>
    <mergeCell ref="D3:J3"/>
    <mergeCell ref="B7:B8"/>
    <mergeCell ref="C7:C8"/>
    <mergeCell ref="D7:D8"/>
    <mergeCell ref="E7:E8"/>
    <mergeCell ref="F7:F8"/>
    <mergeCell ref="G7:G8"/>
    <mergeCell ref="H7:H8"/>
    <mergeCell ref="I7:I8"/>
    <mergeCell ref="J7:J8"/>
    <mergeCell ref="B12:B13"/>
    <mergeCell ref="C12:C13"/>
    <mergeCell ref="D12:D13"/>
    <mergeCell ref="E12:E13"/>
    <mergeCell ref="F12:F13"/>
    <mergeCell ref="G12:G13"/>
    <mergeCell ref="H12:H13"/>
    <mergeCell ref="I12:I13"/>
    <mergeCell ref="J12:J13"/>
    <mergeCell ref="B17:B18"/>
    <mergeCell ref="C17:C18"/>
    <mergeCell ref="D17:D18"/>
    <mergeCell ref="E17:E18"/>
    <mergeCell ref="F17:F18"/>
    <mergeCell ref="G17:G18"/>
    <mergeCell ref="H17:H18"/>
    <mergeCell ref="I17:I18"/>
    <mergeCell ref="J17:J18"/>
    <mergeCell ref="B21:B22"/>
    <mergeCell ref="C21:C22"/>
    <mergeCell ref="D21:D22"/>
    <mergeCell ref="E21:E22"/>
    <mergeCell ref="F21:F22"/>
    <mergeCell ref="G21:G22"/>
    <mergeCell ref="H21:H22"/>
    <mergeCell ref="I21:I22"/>
    <mergeCell ref="J21:J22"/>
    <mergeCell ref="B31:B32"/>
    <mergeCell ref="C31:C32"/>
    <mergeCell ref="D31:D32"/>
    <mergeCell ref="E31:E32"/>
    <mergeCell ref="F31:F32"/>
    <mergeCell ref="G31:G32"/>
    <mergeCell ref="H31:H32"/>
    <mergeCell ref="I31:I32"/>
    <mergeCell ref="J31:J32"/>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63:B64"/>
    <mergeCell ref="C63:C64"/>
    <mergeCell ref="D63:D64"/>
    <mergeCell ref="E63:E64"/>
    <mergeCell ref="F63:F64"/>
    <mergeCell ref="G63:G64"/>
    <mergeCell ref="H63:H64"/>
    <mergeCell ref="I63:I64"/>
    <mergeCell ref="J63:J64"/>
    <mergeCell ref="B83:B84"/>
    <mergeCell ref="C83:C84"/>
    <mergeCell ref="D83:D84"/>
    <mergeCell ref="E83:E84"/>
    <mergeCell ref="F83:F84"/>
    <mergeCell ref="G83:G84"/>
    <mergeCell ref="H83:H84"/>
    <mergeCell ref="I83:I84"/>
    <mergeCell ref="J83:J84"/>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97:B98"/>
    <mergeCell ref="C97:C98"/>
    <mergeCell ref="D97:D98"/>
    <mergeCell ref="E97:E98"/>
    <mergeCell ref="F97:F98"/>
    <mergeCell ref="G97:G98"/>
    <mergeCell ref="H97:H98"/>
    <mergeCell ref="I97:I98"/>
    <mergeCell ref="J97:J98"/>
    <mergeCell ref="B104:B105"/>
    <mergeCell ref="C104:C105"/>
    <mergeCell ref="D104:D105"/>
    <mergeCell ref="E104:E105"/>
    <mergeCell ref="F104:F105"/>
    <mergeCell ref="G104:G105"/>
    <mergeCell ref="H104:H105"/>
    <mergeCell ref="I104:I105"/>
    <mergeCell ref="J104:J10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22:B123"/>
    <mergeCell ref="C122:C123"/>
    <mergeCell ref="D122:D123"/>
    <mergeCell ref="E122:E123"/>
    <mergeCell ref="F122:F123"/>
    <mergeCell ref="G122:G123"/>
    <mergeCell ref="H122:H123"/>
    <mergeCell ref="I122:I123"/>
    <mergeCell ref="J122:J123"/>
    <mergeCell ref="B130:B131"/>
    <mergeCell ref="C130:C131"/>
    <mergeCell ref="D130:D131"/>
    <mergeCell ref="E130:E131"/>
    <mergeCell ref="F130:F131"/>
    <mergeCell ref="G130:G131"/>
    <mergeCell ref="H130:H131"/>
    <mergeCell ref="I130:I131"/>
    <mergeCell ref="J130:J131"/>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57:B158"/>
    <mergeCell ref="C157:C158"/>
    <mergeCell ref="D157:D158"/>
    <mergeCell ref="E157:E158"/>
    <mergeCell ref="F157:F158"/>
    <mergeCell ref="G157:G158"/>
    <mergeCell ref="H157:H158"/>
    <mergeCell ref="I157:I158"/>
    <mergeCell ref="J157:J158"/>
    <mergeCell ref="B161:B162"/>
    <mergeCell ref="C161:C162"/>
    <mergeCell ref="D161:D162"/>
    <mergeCell ref="E161:E162"/>
    <mergeCell ref="F161:F162"/>
    <mergeCell ref="G161:G162"/>
    <mergeCell ref="H161:H162"/>
    <mergeCell ref="I161:I162"/>
    <mergeCell ref="J161:J162"/>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77:B178"/>
    <mergeCell ref="C177:C178"/>
    <mergeCell ref="D177:D178"/>
    <mergeCell ref="E177:E178"/>
    <mergeCell ref="F177:F178"/>
    <mergeCell ref="G177:G178"/>
    <mergeCell ref="H177:H178"/>
    <mergeCell ref="I177:I178"/>
    <mergeCell ref="J177:J178"/>
    <mergeCell ref="B182:B183"/>
    <mergeCell ref="C182:C183"/>
    <mergeCell ref="D182:D183"/>
    <mergeCell ref="E182:E183"/>
    <mergeCell ref="F182:F183"/>
    <mergeCell ref="G182:G183"/>
    <mergeCell ref="H182:H183"/>
    <mergeCell ref="I182:I183"/>
    <mergeCell ref="J182:J183"/>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AA110:AA111"/>
    <mergeCell ref="AA157:AA158"/>
    <mergeCell ref="AA7:AA8"/>
    <mergeCell ref="AA12:AA13"/>
    <mergeCell ref="AA17:AA18"/>
    <mergeCell ref="AA21:AA22"/>
    <mergeCell ref="AA31:AA32"/>
    <mergeCell ref="AA33:AA34"/>
    <mergeCell ref="AA83:AA84"/>
    <mergeCell ref="AA87:AA88"/>
    <mergeCell ref="AA92:AA93"/>
  </mergeCells>
  <pageMargins left="0.98425196850393704" right="0.59055118110236227" top="0.59055118110236227" bottom="0.39370078740157483" header="0.31496062992125984" footer="0.11811023622047245"/>
  <pageSetup paperSize="9" scale="69" fitToHeight="0" orientation="portrait" r:id="rId1"/>
  <rowBreaks count="6" manualBreakCount="6">
    <brk id="41" max="9" man="1"/>
    <brk id="94" max="9" man="1"/>
    <brk id="122" max="9" man="1"/>
    <brk id="154" max="9" man="1"/>
    <brk id="186" max="9" man="1"/>
    <brk id="188" max="9" man="1"/>
  </rowBreaks>
  <colBreaks count="1" manualBreakCount="1">
    <brk id="10" max="19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80" zoomScaleNormal="131" zoomScaleSheetLayoutView="80" workbookViewId="0">
      <pane xSplit="15" ySplit="5" topLeftCell="P42" activePane="bottomRight" state="frozenSplit"/>
      <selection pane="topRight" activeCell="N1" sqref="N1"/>
      <selection pane="bottomLeft" activeCell="A9" sqref="A9"/>
      <selection pane="bottomRight" activeCell="I20" sqref="I20"/>
    </sheetView>
  </sheetViews>
  <sheetFormatPr defaultColWidth="9.109375" defaultRowHeight="13.8" x14ac:dyDescent="0.25"/>
  <cols>
    <col min="1" max="1" width="10.88671875" style="81" customWidth="1"/>
    <col min="2" max="2" width="34.88671875" style="81" customWidth="1"/>
    <col min="3" max="4" width="10.109375" style="81" customWidth="1"/>
    <col min="5" max="5" width="15" style="81" customWidth="1"/>
    <col min="6" max="8" width="14.6640625" style="81" hidden="1" customWidth="1"/>
    <col min="9" max="12" width="14.6640625" style="81" customWidth="1"/>
    <col min="13" max="13" width="10.6640625" style="81" customWidth="1"/>
    <col min="14" max="14" width="14" style="26" hidden="1" customWidth="1"/>
    <col min="15" max="15" width="14.6640625" style="26" hidden="1" customWidth="1"/>
    <col min="16" max="17" width="13.44140625" style="26" customWidth="1"/>
    <col min="18" max="18" width="14.44140625" style="26" customWidth="1"/>
    <col min="19" max="21" width="9.109375" style="26" customWidth="1"/>
    <col min="22" max="24" width="9.109375" style="26"/>
    <col min="25" max="25" width="13.44140625" style="26" bestFit="1" customWidth="1"/>
    <col min="26" max="16384" width="9.109375" style="26"/>
  </cols>
  <sheetData>
    <row r="1" spans="1:25" x14ac:dyDescent="0.25">
      <c r="A1" s="437" t="s">
        <v>188</v>
      </c>
      <c r="B1" s="438"/>
      <c r="C1" s="438"/>
      <c r="D1" s="438"/>
      <c r="E1" s="438"/>
      <c r="F1" s="438"/>
      <c r="G1" s="438"/>
      <c r="H1" s="438"/>
      <c r="I1" s="438"/>
      <c r="J1" s="438"/>
      <c r="K1" s="438"/>
      <c r="L1" s="438"/>
      <c r="M1" s="118"/>
      <c r="N1" s="19"/>
    </row>
    <row r="2" spans="1:25" s="81" customFormat="1" ht="14.4" thickBot="1" x14ac:dyDescent="0.3">
      <c r="D2" s="119"/>
      <c r="E2" s="119"/>
      <c r="F2" s="43"/>
    </row>
    <row r="3" spans="1:25" s="81" customFormat="1" ht="15.75" customHeight="1" thickBot="1" x14ac:dyDescent="0.3">
      <c r="A3" s="418" t="s">
        <v>171</v>
      </c>
      <c r="B3" s="418" t="s">
        <v>0</v>
      </c>
      <c r="C3" s="418" t="s">
        <v>172</v>
      </c>
      <c r="D3" s="418" t="s">
        <v>6</v>
      </c>
      <c r="E3" s="418" t="s">
        <v>355</v>
      </c>
      <c r="F3" s="439" t="s">
        <v>390</v>
      </c>
      <c r="G3" s="440"/>
      <c r="H3" s="440"/>
      <c r="I3" s="440"/>
      <c r="J3" s="440"/>
      <c r="K3" s="440"/>
      <c r="L3" s="441"/>
      <c r="M3" s="120"/>
      <c r="N3" s="121">
        <f>N5-G6</f>
        <v>7661107.8999999985</v>
      </c>
      <c r="O3" s="121">
        <f>O5-H6</f>
        <v>16563430.181000002</v>
      </c>
      <c r="P3" s="121">
        <f>P5-I6</f>
        <v>2.0012259483337402E-5</v>
      </c>
      <c r="Q3" s="121">
        <f>Q5-J6</f>
        <v>0</v>
      </c>
      <c r="R3" s="121">
        <f>R5-K6</f>
        <v>0</v>
      </c>
    </row>
    <row r="4" spans="1:25" s="81" customFormat="1" ht="67.5" customHeight="1" thickBot="1" x14ac:dyDescent="0.3">
      <c r="A4" s="419"/>
      <c r="B4" s="419"/>
      <c r="C4" s="419"/>
      <c r="D4" s="419"/>
      <c r="E4" s="419"/>
      <c r="F4" s="122" t="s">
        <v>392</v>
      </c>
      <c r="G4" s="122" t="s">
        <v>394</v>
      </c>
      <c r="H4" s="122" t="s">
        <v>1001</v>
      </c>
      <c r="I4" s="122" t="s">
        <v>943</v>
      </c>
      <c r="J4" s="122" t="s">
        <v>941</v>
      </c>
      <c r="K4" s="122" t="s">
        <v>942</v>
      </c>
      <c r="L4" s="122" t="s">
        <v>111</v>
      </c>
      <c r="M4" s="120"/>
      <c r="N4" s="81">
        <v>2022</v>
      </c>
      <c r="O4" s="81">
        <v>2023</v>
      </c>
      <c r="P4" s="81">
        <v>2024</v>
      </c>
      <c r="Q4" s="81">
        <v>2025</v>
      </c>
      <c r="R4" s="81">
        <v>2026</v>
      </c>
    </row>
    <row r="5" spans="1:25" s="81" customFormat="1" ht="14.4" thickBot="1" x14ac:dyDescent="0.3">
      <c r="A5" s="123">
        <v>1</v>
      </c>
      <c r="B5" s="88">
        <v>2</v>
      </c>
      <c r="C5" s="88">
        <v>3</v>
      </c>
      <c r="D5" s="88">
        <v>4</v>
      </c>
      <c r="E5" s="88" t="s">
        <v>414</v>
      </c>
      <c r="F5" s="88">
        <v>5</v>
      </c>
      <c r="G5" s="88">
        <v>5</v>
      </c>
      <c r="H5" s="88">
        <v>6</v>
      </c>
      <c r="I5" s="88">
        <v>5</v>
      </c>
      <c r="J5" s="88">
        <v>7</v>
      </c>
      <c r="K5" s="88">
        <v>8</v>
      </c>
      <c r="L5" s="88">
        <v>9</v>
      </c>
      <c r="M5" s="21"/>
      <c r="N5" s="124">
        <f>'Раздел 1'!E142</f>
        <v>31293968</v>
      </c>
      <c r="O5" s="124">
        <f>'Раздел 1'!F142</f>
        <v>47857398.181000002</v>
      </c>
      <c r="P5" s="124">
        <f>'Раздел 1'!G142</f>
        <v>62188936.170020014</v>
      </c>
      <c r="Q5" s="124">
        <f>'Раздел 1'!H142</f>
        <v>20777061.579999998</v>
      </c>
      <c r="R5" s="124">
        <f>'Раздел 1'!I142</f>
        <v>21389920.789999999</v>
      </c>
      <c r="S5" s="125"/>
      <c r="T5" s="125"/>
      <c r="U5" s="125"/>
      <c r="V5" s="125"/>
      <c r="W5" s="125"/>
      <c r="X5" s="125"/>
      <c r="Y5" s="125"/>
    </row>
    <row r="6" spans="1:25" s="81" customFormat="1" ht="43.5" customHeight="1" thickBot="1" x14ac:dyDescent="0.3">
      <c r="A6" s="126">
        <v>1</v>
      </c>
      <c r="B6" s="127" t="s">
        <v>328</v>
      </c>
      <c r="C6" s="88">
        <v>26000</v>
      </c>
      <c r="D6" s="88" t="s">
        <v>112</v>
      </c>
      <c r="E6" s="88"/>
      <c r="F6" s="77">
        <f t="shared" ref="F6:K6" si="0">F10+F16+F21+F32</f>
        <v>17505323.579999998</v>
      </c>
      <c r="G6" s="77">
        <f t="shared" si="0"/>
        <v>23632860.100000001</v>
      </c>
      <c r="H6" s="77">
        <f>H10+H16+H21+H32</f>
        <v>31293968</v>
      </c>
      <c r="I6" s="54">
        <f>I10+I16+I21+I32</f>
        <v>62188936.170000002</v>
      </c>
      <c r="J6" s="77">
        <f>J10+J16+J21+J32</f>
        <v>20777061.579999998</v>
      </c>
      <c r="K6" s="77">
        <f t="shared" si="0"/>
        <v>21389920.789999999</v>
      </c>
      <c r="L6" s="115"/>
      <c r="M6" s="128"/>
      <c r="N6" s="124">
        <f>G6-'[2]Раздел 1'!D142</f>
        <v>6127536.5200000033</v>
      </c>
      <c r="O6" s="124">
        <f>H6-'[2]Раздел 1'!E142</f>
        <v>7661107.8999999985</v>
      </c>
      <c r="P6" s="124">
        <f>I6-'Раздел 1'!G142</f>
        <v>-2.0012259483337402E-5</v>
      </c>
      <c r="Q6" s="124">
        <f>J6-'Раздел 1'!H142</f>
        <v>0</v>
      </c>
      <c r="R6" s="124">
        <f>K6-'Раздел 1'!I142</f>
        <v>0</v>
      </c>
      <c r="S6" s="125"/>
      <c r="T6" s="125"/>
      <c r="U6" s="125"/>
      <c r="V6" s="125"/>
      <c r="W6" s="125"/>
      <c r="X6" s="125"/>
      <c r="Y6" s="125"/>
    </row>
    <row r="7" spans="1:25" s="81" customFormat="1" ht="21.75" customHeight="1" x14ac:dyDescent="0.25">
      <c r="A7" s="429" t="s">
        <v>68</v>
      </c>
      <c r="B7" s="129" t="s">
        <v>3</v>
      </c>
      <c r="C7" s="391">
        <v>26100</v>
      </c>
      <c r="D7" s="391" t="s">
        <v>112</v>
      </c>
      <c r="E7" s="391"/>
      <c r="F7" s="389">
        <v>0</v>
      </c>
      <c r="G7" s="389">
        <v>0</v>
      </c>
      <c r="H7" s="413">
        <v>0</v>
      </c>
      <c r="I7" s="397">
        <v>0</v>
      </c>
      <c r="J7" s="397">
        <v>0</v>
      </c>
      <c r="K7" s="397">
        <v>0</v>
      </c>
      <c r="L7" s="387"/>
      <c r="M7" s="128"/>
      <c r="N7" s="124">
        <f>G6-G7-G9-G10-G15</f>
        <v>0</v>
      </c>
      <c r="O7" s="124">
        <f>H6-H7-H9-H10-H15</f>
        <v>0</v>
      </c>
      <c r="P7" s="124">
        <f>I6-I7-I9-I10-I15</f>
        <v>0</v>
      </c>
      <c r="Q7" s="124">
        <f>J6-J7-J9-J10-J15</f>
        <v>0</v>
      </c>
      <c r="R7" s="124">
        <f>K6-K7-K9-K10-K15</f>
        <v>0</v>
      </c>
      <c r="S7" s="125"/>
      <c r="T7" s="125"/>
      <c r="U7" s="125"/>
      <c r="V7" s="125"/>
      <c r="W7" s="125"/>
      <c r="X7" s="125"/>
      <c r="Y7" s="125"/>
    </row>
    <row r="8" spans="1:25" s="81" customFormat="1" ht="225" customHeight="1" thickBot="1" x14ac:dyDescent="0.3">
      <c r="A8" s="430"/>
      <c r="B8" s="115" t="s">
        <v>329</v>
      </c>
      <c r="C8" s="392"/>
      <c r="D8" s="392"/>
      <c r="E8" s="392"/>
      <c r="F8" s="390"/>
      <c r="G8" s="390"/>
      <c r="H8" s="414"/>
      <c r="I8" s="398"/>
      <c r="J8" s="398"/>
      <c r="K8" s="398"/>
      <c r="L8" s="388"/>
      <c r="M8" s="128"/>
    </row>
    <row r="9" spans="1:25" s="81" customFormat="1" ht="93" customHeight="1" thickBot="1" x14ac:dyDescent="0.3">
      <c r="A9" s="126" t="s">
        <v>69</v>
      </c>
      <c r="B9" s="115" t="s">
        <v>415</v>
      </c>
      <c r="C9" s="88">
        <v>26200</v>
      </c>
      <c r="D9" s="88" t="s">
        <v>112</v>
      </c>
      <c r="E9" s="88"/>
      <c r="F9" s="77">
        <v>0</v>
      </c>
      <c r="G9" s="77">
        <v>0</v>
      </c>
      <c r="H9" s="77">
        <v>0</v>
      </c>
      <c r="I9" s="77">
        <v>0</v>
      </c>
      <c r="J9" s="77">
        <v>0</v>
      </c>
      <c r="K9" s="77">
        <v>0</v>
      </c>
      <c r="L9" s="115"/>
      <c r="M9" s="128"/>
    </row>
    <row r="10" spans="1:25" s="81" customFormat="1" ht="74.25" customHeight="1" thickBot="1" x14ac:dyDescent="0.3">
      <c r="A10" s="126" t="s">
        <v>70</v>
      </c>
      <c r="B10" s="115" t="s">
        <v>330</v>
      </c>
      <c r="C10" s="88">
        <v>26300</v>
      </c>
      <c r="D10" s="88" t="s">
        <v>112</v>
      </c>
      <c r="E10" s="88"/>
      <c r="F10" s="77">
        <v>7567231.9699999997</v>
      </c>
      <c r="G10" s="77">
        <v>9760384.9499999993</v>
      </c>
      <c r="H10" s="77">
        <f>9169221.35+9733580.9-261112.14-1110546.99</f>
        <v>17531143.120000001</v>
      </c>
      <c r="I10" s="77">
        <f>7423240.07+2996.21+11102420-304092.14-304092.13+29236.79</f>
        <v>17949708.800000001</v>
      </c>
      <c r="J10" s="77">
        <v>304092.14</v>
      </c>
      <c r="K10" s="77">
        <v>304092.13</v>
      </c>
      <c r="L10" s="115"/>
      <c r="M10" s="133" t="s">
        <v>416</v>
      </c>
    </row>
    <row r="11" spans="1:25" s="81" customFormat="1" ht="22.5" customHeight="1" x14ac:dyDescent="0.25">
      <c r="A11" s="429" t="s">
        <v>347</v>
      </c>
      <c r="B11" s="129" t="s">
        <v>3</v>
      </c>
      <c r="C11" s="391">
        <v>26310</v>
      </c>
      <c r="D11" s="391" t="s">
        <v>4</v>
      </c>
      <c r="E11" s="391" t="s">
        <v>4</v>
      </c>
      <c r="F11" s="134"/>
      <c r="G11" s="397">
        <v>0</v>
      </c>
      <c r="H11" s="413"/>
      <c r="I11" s="431"/>
      <c r="J11" s="433"/>
      <c r="K11" s="433"/>
      <c r="L11" s="435"/>
      <c r="M11" s="135"/>
    </row>
    <row r="12" spans="1:25" s="81" customFormat="1" ht="33.75" customHeight="1" thickBot="1" x14ac:dyDescent="0.3">
      <c r="A12" s="430"/>
      <c r="B12" s="131" t="s">
        <v>174</v>
      </c>
      <c r="C12" s="392"/>
      <c r="D12" s="392"/>
      <c r="E12" s="392"/>
      <c r="F12" s="77"/>
      <c r="G12" s="398"/>
      <c r="H12" s="414"/>
      <c r="I12" s="432"/>
      <c r="J12" s="434"/>
      <c r="K12" s="434"/>
      <c r="L12" s="436"/>
      <c r="M12" s="135"/>
    </row>
    <row r="13" spans="1:25" s="81" customFormat="1" ht="23.25" customHeight="1" thickBot="1" x14ac:dyDescent="0.3">
      <c r="A13" s="126"/>
      <c r="B13" s="115" t="s">
        <v>354</v>
      </c>
      <c r="C13" s="88" t="s">
        <v>350</v>
      </c>
      <c r="D13" s="88"/>
      <c r="E13" s="88"/>
      <c r="F13" s="77"/>
      <c r="G13" s="77">
        <v>0</v>
      </c>
      <c r="H13" s="77"/>
      <c r="I13" s="132"/>
      <c r="J13" s="132"/>
      <c r="K13" s="132"/>
      <c r="L13" s="115"/>
      <c r="M13" s="128"/>
    </row>
    <row r="14" spans="1:25" s="81" customFormat="1" ht="46.5" customHeight="1" thickBot="1" x14ac:dyDescent="0.3">
      <c r="A14" s="126" t="s">
        <v>348</v>
      </c>
      <c r="B14" s="115" t="s">
        <v>349</v>
      </c>
      <c r="C14" s="88">
        <v>26320</v>
      </c>
      <c r="D14" s="88" t="s">
        <v>4</v>
      </c>
      <c r="E14" s="88" t="s">
        <v>4</v>
      </c>
      <c r="F14" s="77"/>
      <c r="G14" s="77">
        <f>G10</f>
        <v>9760384.9499999993</v>
      </c>
      <c r="H14" s="77">
        <f>H10</f>
        <v>17531143.120000001</v>
      </c>
      <c r="I14" s="77">
        <f>I10</f>
        <v>17949708.800000001</v>
      </c>
      <c r="J14" s="77">
        <f t="shared" ref="J14" si="1">J10</f>
        <v>304092.14</v>
      </c>
      <c r="K14" s="77">
        <f>K10</f>
        <v>304092.13</v>
      </c>
      <c r="L14" s="115"/>
      <c r="M14" s="128"/>
      <c r="N14" s="121"/>
    </row>
    <row r="15" spans="1:25" s="81" customFormat="1" ht="91.5" customHeight="1" thickBot="1" x14ac:dyDescent="0.3">
      <c r="A15" s="126" t="s">
        <v>189</v>
      </c>
      <c r="B15" s="115" t="s">
        <v>417</v>
      </c>
      <c r="C15" s="88">
        <v>26400</v>
      </c>
      <c r="D15" s="88" t="s">
        <v>112</v>
      </c>
      <c r="E15" s="136"/>
      <c r="F15" s="77">
        <v>9938091.6099999994</v>
      </c>
      <c r="G15" s="77">
        <f>14561711.88-689236.73</f>
        <v>13872475.15</v>
      </c>
      <c r="H15" s="77">
        <f>'[2]Раздел 1'!F142-H14</f>
        <v>13762824.879999999</v>
      </c>
      <c r="I15" s="77">
        <f>I6-I14</f>
        <v>44239227.370000005</v>
      </c>
      <c r="J15" s="77">
        <f>J6-J14</f>
        <v>20472969.439999998</v>
      </c>
      <c r="K15" s="77">
        <f>K6-K14</f>
        <v>21085828.66</v>
      </c>
      <c r="L15" s="115"/>
      <c r="M15" s="128" t="s">
        <v>418</v>
      </c>
      <c r="N15" s="121">
        <f>F15-F16-F21-F26-F28-F32</f>
        <v>0</v>
      </c>
      <c r="O15" s="121">
        <f>G15-G16-G21-G26-G28-G32</f>
        <v>0</v>
      </c>
      <c r="P15" s="121">
        <f>H15-H16-H21-H26-H28-H32</f>
        <v>0</v>
      </c>
      <c r="Q15" s="121">
        <f t="shared" ref="Q15:R15" si="2">J15-J16-J21-J26-J28-J32</f>
        <v>0</v>
      </c>
      <c r="R15" s="121">
        <f t="shared" si="2"/>
        <v>0</v>
      </c>
    </row>
    <row r="16" spans="1:25" s="81" customFormat="1" ht="57.75" customHeight="1" x14ac:dyDescent="0.25">
      <c r="A16" s="429" t="s">
        <v>190</v>
      </c>
      <c r="B16" s="129" t="s">
        <v>3</v>
      </c>
      <c r="C16" s="391">
        <v>26410</v>
      </c>
      <c r="D16" s="391" t="s">
        <v>112</v>
      </c>
      <c r="E16" s="130"/>
      <c r="F16" s="389">
        <f>F15-F21-F36</f>
        <v>5095058.5599999996</v>
      </c>
      <c r="G16" s="389">
        <f>G15-G21-G36</f>
        <v>5682541.2300000004</v>
      </c>
      <c r="H16" s="413">
        <f>9890081.44-9169221.35+261112.14+1110546.99</f>
        <v>2092519.2199999997</v>
      </c>
      <c r="I16" s="397">
        <f>7198148.99+304092.14+304092.13-38330</f>
        <v>7768003.2599999998</v>
      </c>
      <c r="J16" s="389">
        <f>'Раздел 1'!H144-J14</f>
        <v>8001969.4400000004</v>
      </c>
      <c r="K16" s="389">
        <f>'Раздел 1'!I144-K14</f>
        <v>8114828.6599999992</v>
      </c>
      <c r="L16" s="387"/>
      <c r="M16" s="128"/>
    </row>
    <row r="17" spans="1:25" s="81" customFormat="1" ht="60.75" customHeight="1" thickBot="1" x14ac:dyDescent="0.3">
      <c r="A17" s="430"/>
      <c r="B17" s="115" t="s">
        <v>173</v>
      </c>
      <c r="C17" s="392"/>
      <c r="D17" s="392"/>
      <c r="E17" s="123"/>
      <c r="F17" s="390"/>
      <c r="G17" s="390"/>
      <c r="H17" s="414"/>
      <c r="I17" s="398"/>
      <c r="J17" s="390"/>
      <c r="K17" s="390"/>
      <c r="L17" s="388"/>
      <c r="M17" s="128"/>
      <c r="N17" s="121">
        <f>F16-F18-F20</f>
        <v>0</v>
      </c>
      <c r="O17" s="121">
        <f>G16-G18-G20</f>
        <v>0</v>
      </c>
      <c r="P17" s="121">
        <f>H16-H18-H20</f>
        <v>0</v>
      </c>
      <c r="Q17" s="121">
        <f t="shared" ref="Q17:R17" si="3">J16-J18-J20</f>
        <v>0</v>
      </c>
      <c r="R17" s="121">
        <f t="shared" si="3"/>
        <v>0</v>
      </c>
      <c r="Y17" s="121">
        <f>H16+H21+H36</f>
        <v>13762824.879999999</v>
      </c>
    </row>
    <row r="18" spans="1:25" s="81" customFormat="1" ht="22.5" customHeight="1" x14ac:dyDescent="0.25">
      <c r="A18" s="429" t="s">
        <v>191</v>
      </c>
      <c r="B18" s="129" t="s">
        <v>3</v>
      </c>
      <c r="C18" s="391">
        <v>26411</v>
      </c>
      <c r="D18" s="391" t="s">
        <v>112</v>
      </c>
      <c r="E18" s="130"/>
      <c r="F18" s="389">
        <v>0</v>
      </c>
      <c r="G18" s="389">
        <v>0</v>
      </c>
      <c r="H18" s="413">
        <v>0</v>
      </c>
      <c r="I18" s="397">
        <v>0</v>
      </c>
      <c r="J18" s="397">
        <v>0</v>
      </c>
      <c r="K18" s="397">
        <v>0</v>
      </c>
      <c r="L18" s="387"/>
      <c r="M18" s="128"/>
    </row>
    <row r="19" spans="1:25" s="81" customFormat="1" ht="39" customHeight="1" thickBot="1" x14ac:dyDescent="0.3">
      <c r="A19" s="430"/>
      <c r="B19" s="127" t="s">
        <v>174</v>
      </c>
      <c r="C19" s="392"/>
      <c r="D19" s="392"/>
      <c r="E19" s="123"/>
      <c r="F19" s="390"/>
      <c r="G19" s="390"/>
      <c r="H19" s="414"/>
      <c r="I19" s="398"/>
      <c r="J19" s="398"/>
      <c r="K19" s="398"/>
      <c r="L19" s="388"/>
      <c r="M19" s="128"/>
    </row>
    <row r="20" spans="1:25" s="81" customFormat="1" ht="41.25" customHeight="1" thickBot="1" x14ac:dyDescent="0.3">
      <c r="A20" s="126" t="s">
        <v>175</v>
      </c>
      <c r="B20" s="115" t="s">
        <v>331</v>
      </c>
      <c r="C20" s="88">
        <v>26412</v>
      </c>
      <c r="D20" s="88" t="s">
        <v>112</v>
      </c>
      <c r="E20" s="88"/>
      <c r="F20" s="77">
        <f t="shared" ref="F20:H20" si="4">F16</f>
        <v>5095058.5599999996</v>
      </c>
      <c r="G20" s="77">
        <f t="shared" si="4"/>
        <v>5682541.2300000004</v>
      </c>
      <c r="H20" s="77">
        <f t="shared" si="4"/>
        <v>2092519.2199999997</v>
      </c>
      <c r="I20" s="77">
        <f>I16</f>
        <v>7768003.2599999998</v>
      </c>
      <c r="J20" s="77">
        <f>J16</f>
        <v>8001969.4400000004</v>
      </c>
      <c r="K20" s="77">
        <f>K16</f>
        <v>8114828.6599999992</v>
      </c>
      <c r="L20" s="115"/>
      <c r="M20" s="128"/>
    </row>
    <row r="21" spans="1:25" s="81" customFormat="1" ht="68.25" customHeight="1" thickBot="1" x14ac:dyDescent="0.3">
      <c r="A21" s="126" t="s">
        <v>192</v>
      </c>
      <c r="B21" s="127" t="s">
        <v>176</v>
      </c>
      <c r="C21" s="88">
        <v>26420</v>
      </c>
      <c r="D21" s="88" t="s">
        <v>112</v>
      </c>
      <c r="E21" s="88"/>
      <c r="F21" s="77">
        <f>1355836-106-2</f>
        <v>1355728</v>
      </c>
      <c r="G21" s="77">
        <v>3391865.6</v>
      </c>
      <c r="H21" s="77">
        <f>8166200-17300-15785-57262-8679.69</f>
        <v>8067173.3099999996</v>
      </c>
      <c r="I21" s="77">
        <f>I25</f>
        <v>31211504</v>
      </c>
      <c r="J21" s="77">
        <v>0</v>
      </c>
      <c r="K21" s="77">
        <v>0</v>
      </c>
      <c r="L21" s="115"/>
      <c r="M21" s="128"/>
      <c r="N21" s="121">
        <f>F21-F22-F25</f>
        <v>0</v>
      </c>
      <c r="O21" s="121">
        <f>G21-G22-G25</f>
        <v>0</v>
      </c>
      <c r="P21" s="121">
        <f>H21-H22-H25</f>
        <v>0</v>
      </c>
      <c r="Q21" s="121">
        <f t="shared" ref="Q21:S21" si="5">J21-J22-J25</f>
        <v>0</v>
      </c>
      <c r="R21" s="121">
        <f t="shared" si="5"/>
        <v>0</v>
      </c>
      <c r="S21" s="121">
        <f t="shared" si="5"/>
        <v>0</v>
      </c>
    </row>
    <row r="22" spans="1:25" s="81" customFormat="1" ht="19.5" customHeight="1" x14ac:dyDescent="0.25">
      <c r="A22" s="429" t="s">
        <v>177</v>
      </c>
      <c r="B22" s="129" t="s">
        <v>3</v>
      </c>
      <c r="C22" s="391">
        <v>26421</v>
      </c>
      <c r="D22" s="391" t="s">
        <v>112</v>
      </c>
      <c r="E22" s="130"/>
      <c r="F22" s="389">
        <v>0</v>
      </c>
      <c r="G22" s="389">
        <v>0</v>
      </c>
      <c r="H22" s="413">
        <v>0</v>
      </c>
      <c r="I22" s="397">
        <v>0</v>
      </c>
      <c r="J22" s="397">
        <v>0</v>
      </c>
      <c r="K22" s="397">
        <v>0</v>
      </c>
      <c r="L22" s="387"/>
      <c r="M22" s="128"/>
    </row>
    <row r="23" spans="1:25" s="81" customFormat="1" ht="39.75" customHeight="1" thickBot="1" x14ac:dyDescent="0.3">
      <c r="A23" s="430"/>
      <c r="B23" s="127" t="s">
        <v>174</v>
      </c>
      <c r="C23" s="392"/>
      <c r="D23" s="392"/>
      <c r="E23" s="123"/>
      <c r="F23" s="390"/>
      <c r="G23" s="390"/>
      <c r="H23" s="414"/>
      <c r="I23" s="398"/>
      <c r="J23" s="398"/>
      <c r="K23" s="398"/>
      <c r="L23" s="388"/>
      <c r="M23" s="128"/>
    </row>
    <row r="24" spans="1:25" s="81" customFormat="1" ht="27" customHeight="1" thickBot="1" x14ac:dyDescent="0.3">
      <c r="A24" s="126"/>
      <c r="B24" s="127" t="s">
        <v>354</v>
      </c>
      <c r="C24" s="88" t="s">
        <v>351</v>
      </c>
      <c r="D24" s="88" t="s">
        <v>4</v>
      </c>
      <c r="E24" s="88"/>
      <c r="F24" s="77"/>
      <c r="G24" s="77">
        <v>0</v>
      </c>
      <c r="H24" s="78">
        <v>0</v>
      </c>
      <c r="I24" s="78">
        <v>0</v>
      </c>
      <c r="J24" s="78">
        <v>0</v>
      </c>
      <c r="K24" s="78">
        <v>0</v>
      </c>
      <c r="L24" s="115"/>
      <c r="M24" s="128"/>
    </row>
    <row r="25" spans="1:25" s="81" customFormat="1" ht="34.5" customHeight="1" thickBot="1" x14ac:dyDescent="0.3">
      <c r="A25" s="126" t="s">
        <v>178</v>
      </c>
      <c r="B25" s="115" t="s">
        <v>419</v>
      </c>
      <c r="C25" s="88">
        <v>26422</v>
      </c>
      <c r="D25" s="88" t="s">
        <v>112</v>
      </c>
      <c r="E25" s="88"/>
      <c r="F25" s="77">
        <f>1355836-106-2</f>
        <v>1355728</v>
      </c>
      <c r="G25" s="77">
        <v>3391865.6</v>
      </c>
      <c r="H25" s="77">
        <f>H21</f>
        <v>8067173.3099999996</v>
      </c>
      <c r="I25" s="77">
        <f>20017800-11500+14000000-2200000-594796</f>
        <v>31211504</v>
      </c>
      <c r="J25" s="77">
        <v>0</v>
      </c>
      <c r="K25" s="77">
        <v>0</v>
      </c>
      <c r="L25" s="115"/>
      <c r="M25" s="128"/>
    </row>
    <row r="26" spans="1:25" s="81" customFormat="1" ht="52.5" customHeight="1" thickBot="1" x14ac:dyDescent="0.3">
      <c r="A26" s="126" t="s">
        <v>193</v>
      </c>
      <c r="B26" s="127" t="s">
        <v>332</v>
      </c>
      <c r="C26" s="88">
        <v>26430</v>
      </c>
      <c r="D26" s="88" t="s">
        <v>112</v>
      </c>
      <c r="E26" s="88"/>
      <c r="F26" s="77">
        <v>0</v>
      </c>
      <c r="G26" s="77">
        <v>0</v>
      </c>
      <c r="H26" s="77">
        <v>0</v>
      </c>
      <c r="I26" s="77">
        <v>0</v>
      </c>
      <c r="J26" s="77">
        <v>0</v>
      </c>
      <c r="K26" s="77">
        <v>0</v>
      </c>
      <c r="L26" s="115"/>
      <c r="M26" s="128"/>
      <c r="N26" s="121"/>
    </row>
    <row r="27" spans="1:25" s="81" customFormat="1" ht="30.75" customHeight="1" thickBot="1" x14ac:dyDescent="0.3">
      <c r="A27" s="126"/>
      <c r="B27" s="127" t="s">
        <v>354</v>
      </c>
      <c r="C27" s="88" t="s">
        <v>352</v>
      </c>
      <c r="D27" s="88" t="s">
        <v>4</v>
      </c>
      <c r="E27" s="88"/>
      <c r="F27" s="77"/>
      <c r="G27" s="77">
        <v>0</v>
      </c>
      <c r="H27" s="77">
        <v>0</v>
      </c>
      <c r="I27" s="77">
        <v>0</v>
      </c>
      <c r="J27" s="77">
        <v>0</v>
      </c>
      <c r="K27" s="77">
        <v>0</v>
      </c>
      <c r="L27" s="115"/>
      <c r="M27" s="128"/>
      <c r="N27" s="121"/>
    </row>
    <row r="28" spans="1:25" s="81" customFormat="1" ht="36.75" customHeight="1" thickBot="1" x14ac:dyDescent="0.3">
      <c r="A28" s="126" t="s">
        <v>194</v>
      </c>
      <c r="B28" s="115" t="s">
        <v>179</v>
      </c>
      <c r="C28" s="88">
        <v>26440</v>
      </c>
      <c r="D28" s="88" t="s">
        <v>112</v>
      </c>
      <c r="E28" s="88"/>
      <c r="F28" s="77">
        <v>0</v>
      </c>
      <c r="G28" s="77">
        <v>0</v>
      </c>
      <c r="H28" s="77">
        <v>0</v>
      </c>
      <c r="I28" s="77">
        <v>0</v>
      </c>
      <c r="J28" s="77">
        <v>0</v>
      </c>
      <c r="K28" s="77">
        <v>0</v>
      </c>
      <c r="L28" s="115"/>
      <c r="M28" s="128"/>
      <c r="N28" s="121">
        <f>F28-F29-F31</f>
        <v>0</v>
      </c>
      <c r="O28" s="121">
        <f>G28-G29-G31</f>
        <v>0</v>
      </c>
      <c r="P28" s="121">
        <f>H28-H29-H31</f>
        <v>0</v>
      </c>
      <c r="Q28" s="121">
        <f t="shared" ref="Q28:R28" si="6">J28-J29-J31</f>
        <v>0</v>
      </c>
      <c r="R28" s="121">
        <f t="shared" si="6"/>
        <v>0</v>
      </c>
    </row>
    <row r="29" spans="1:25" s="81" customFormat="1" ht="21" customHeight="1" x14ac:dyDescent="0.25">
      <c r="A29" s="429" t="s">
        <v>180</v>
      </c>
      <c r="B29" s="129" t="s">
        <v>3</v>
      </c>
      <c r="C29" s="391">
        <v>26441</v>
      </c>
      <c r="D29" s="391" t="s">
        <v>112</v>
      </c>
      <c r="E29" s="391"/>
      <c r="F29" s="389">
        <v>0</v>
      </c>
      <c r="G29" s="389">
        <v>0</v>
      </c>
      <c r="H29" s="413">
        <v>0</v>
      </c>
      <c r="I29" s="397">
        <v>0</v>
      </c>
      <c r="J29" s="397">
        <v>0</v>
      </c>
      <c r="K29" s="397">
        <v>0</v>
      </c>
      <c r="L29" s="387"/>
      <c r="M29" s="128"/>
    </row>
    <row r="30" spans="1:25" s="81" customFormat="1" ht="34.5" customHeight="1" thickBot="1" x14ac:dyDescent="0.3">
      <c r="A30" s="430"/>
      <c r="B30" s="127" t="s">
        <v>174</v>
      </c>
      <c r="C30" s="392"/>
      <c r="D30" s="392"/>
      <c r="E30" s="392"/>
      <c r="F30" s="390"/>
      <c r="G30" s="390"/>
      <c r="H30" s="414"/>
      <c r="I30" s="398"/>
      <c r="J30" s="398"/>
      <c r="K30" s="398"/>
      <c r="L30" s="388"/>
      <c r="M30" s="128"/>
    </row>
    <row r="31" spans="1:25" s="81" customFormat="1" ht="40.5" customHeight="1" thickBot="1" x14ac:dyDescent="0.3">
      <c r="A31" s="126" t="s">
        <v>181</v>
      </c>
      <c r="B31" s="115" t="s">
        <v>419</v>
      </c>
      <c r="C31" s="88">
        <v>26442</v>
      </c>
      <c r="D31" s="88" t="s">
        <v>112</v>
      </c>
      <c r="E31" s="88"/>
      <c r="F31" s="77">
        <v>0</v>
      </c>
      <c r="G31" s="77">
        <v>0</v>
      </c>
      <c r="H31" s="77">
        <v>0</v>
      </c>
      <c r="I31" s="77">
        <v>0</v>
      </c>
      <c r="J31" s="77">
        <v>0</v>
      </c>
      <c r="K31" s="77">
        <v>0</v>
      </c>
      <c r="L31" s="115"/>
      <c r="M31" s="128"/>
    </row>
    <row r="32" spans="1:25" s="81" customFormat="1" ht="37.5" customHeight="1" thickBot="1" x14ac:dyDescent="0.3">
      <c r="A32" s="126" t="s">
        <v>195</v>
      </c>
      <c r="B32" s="115" t="s">
        <v>182</v>
      </c>
      <c r="C32" s="88">
        <v>26450</v>
      </c>
      <c r="D32" s="88" t="s">
        <v>112</v>
      </c>
      <c r="E32" s="88"/>
      <c r="F32" s="77">
        <v>3487305.05</v>
      </c>
      <c r="G32" s="77">
        <f>5487305.05-689236.73</f>
        <v>4798068.32</v>
      </c>
      <c r="H32" s="77">
        <f>3544153.2-39060+113000+100000+80000+254297.69+897041.77-1346300.31</f>
        <v>3603132.35</v>
      </c>
      <c r="I32" s="77">
        <f>5260672.35-952.24</f>
        <v>5259720.1099999994</v>
      </c>
      <c r="J32" s="77">
        <f>'Раздел 1'!H145</f>
        <v>12471000</v>
      </c>
      <c r="K32" s="77">
        <f>'Раздел 1'!I145</f>
        <v>12971000</v>
      </c>
      <c r="L32" s="115"/>
      <c r="M32" s="128"/>
      <c r="N32" s="121">
        <f>F32-F33-F36</f>
        <v>0</v>
      </c>
      <c r="O32" s="121">
        <f>G32-G33-G36</f>
        <v>0</v>
      </c>
      <c r="P32" s="121">
        <f>H32-H33-H36</f>
        <v>0</v>
      </c>
      <c r="Q32" s="121">
        <f t="shared" ref="Q32:R32" si="7">J32-J33-J36</f>
        <v>0</v>
      </c>
      <c r="R32" s="121">
        <f t="shared" si="7"/>
        <v>0</v>
      </c>
    </row>
    <row r="33" spans="1:20" s="81" customFormat="1" ht="21" customHeight="1" x14ac:dyDescent="0.25">
      <c r="A33" s="429" t="s">
        <v>183</v>
      </c>
      <c r="B33" s="129" t="s">
        <v>3</v>
      </c>
      <c r="C33" s="391">
        <v>26451</v>
      </c>
      <c r="D33" s="391" t="s">
        <v>112</v>
      </c>
      <c r="E33" s="391"/>
      <c r="F33" s="389">
        <v>0</v>
      </c>
      <c r="G33" s="389">
        <v>0</v>
      </c>
      <c r="H33" s="413">
        <v>0</v>
      </c>
      <c r="I33" s="397">
        <v>0</v>
      </c>
      <c r="J33" s="397">
        <v>0</v>
      </c>
      <c r="K33" s="397">
        <v>0</v>
      </c>
      <c r="L33" s="387"/>
      <c r="M33" s="128"/>
    </row>
    <row r="34" spans="1:20" s="81" customFormat="1" ht="37.5" customHeight="1" thickBot="1" x14ac:dyDescent="0.3">
      <c r="A34" s="430"/>
      <c r="B34" s="127" t="s">
        <v>174</v>
      </c>
      <c r="C34" s="392"/>
      <c r="D34" s="392"/>
      <c r="E34" s="392"/>
      <c r="F34" s="390"/>
      <c r="G34" s="390"/>
      <c r="H34" s="414"/>
      <c r="I34" s="398"/>
      <c r="J34" s="398"/>
      <c r="K34" s="398"/>
      <c r="L34" s="388"/>
      <c r="M34" s="128"/>
    </row>
    <row r="35" spans="1:20" s="81" customFormat="1" ht="23.25" customHeight="1" thickBot="1" x14ac:dyDescent="0.3">
      <c r="A35" s="126"/>
      <c r="B35" s="127" t="s">
        <v>354</v>
      </c>
      <c r="C35" s="88" t="s">
        <v>353</v>
      </c>
      <c r="D35" s="88" t="s">
        <v>4</v>
      </c>
      <c r="E35" s="88"/>
      <c r="F35" s="77"/>
      <c r="G35" s="77">
        <v>0</v>
      </c>
      <c r="H35" s="78">
        <v>0</v>
      </c>
      <c r="I35" s="78">
        <v>0</v>
      </c>
      <c r="J35" s="78">
        <v>0</v>
      </c>
      <c r="K35" s="78">
        <v>0</v>
      </c>
      <c r="L35" s="115"/>
      <c r="M35" s="128"/>
    </row>
    <row r="36" spans="1:20" s="81" customFormat="1" ht="38.25" customHeight="1" thickBot="1" x14ac:dyDescent="0.3">
      <c r="A36" s="126" t="s">
        <v>184</v>
      </c>
      <c r="B36" s="127" t="s">
        <v>185</v>
      </c>
      <c r="C36" s="88">
        <v>26452</v>
      </c>
      <c r="D36" s="88" t="s">
        <v>112</v>
      </c>
      <c r="E36" s="88"/>
      <c r="F36" s="77">
        <v>3487305.05</v>
      </c>
      <c r="G36" s="77">
        <f>5487305.05-689236.73</f>
        <v>4798068.32</v>
      </c>
      <c r="H36" s="77">
        <f>H32</f>
        <v>3603132.35</v>
      </c>
      <c r="I36" s="77">
        <f>I32</f>
        <v>5259720.1099999994</v>
      </c>
      <c r="J36" s="77">
        <f>J32</f>
        <v>12471000</v>
      </c>
      <c r="K36" s="77">
        <f>K32</f>
        <v>12971000</v>
      </c>
      <c r="L36" s="115"/>
      <c r="M36" s="128"/>
    </row>
    <row r="37" spans="1:20" s="81" customFormat="1" ht="90" customHeight="1" thickBot="1" x14ac:dyDescent="0.3">
      <c r="A37" s="123">
        <v>2</v>
      </c>
      <c r="B37" s="115" t="s">
        <v>333</v>
      </c>
      <c r="C37" s="88">
        <v>26500</v>
      </c>
      <c r="D37" s="88" t="s">
        <v>112</v>
      </c>
      <c r="E37" s="88"/>
      <c r="F37" s="77">
        <v>0</v>
      </c>
      <c r="G37" s="77">
        <v>0</v>
      </c>
      <c r="H37" s="77">
        <v>0</v>
      </c>
      <c r="I37" s="77">
        <v>0</v>
      </c>
      <c r="J37" s="77">
        <v>0</v>
      </c>
      <c r="K37" s="77">
        <v>0</v>
      </c>
      <c r="L37" s="115"/>
      <c r="M37" s="128"/>
    </row>
    <row r="38" spans="1:20" s="81" customFormat="1" ht="24" customHeight="1" thickBot="1" x14ac:dyDescent="0.3">
      <c r="A38" s="387"/>
      <c r="B38" s="88" t="s">
        <v>186</v>
      </c>
      <c r="C38" s="391">
        <v>26510</v>
      </c>
      <c r="D38" s="387"/>
      <c r="E38" s="391"/>
      <c r="F38" s="397">
        <v>0</v>
      </c>
      <c r="G38" s="397">
        <v>0</v>
      </c>
      <c r="H38" s="413">
        <v>0</v>
      </c>
      <c r="I38" s="397">
        <v>0</v>
      </c>
      <c r="J38" s="397">
        <v>0</v>
      </c>
      <c r="K38" s="397">
        <v>0</v>
      </c>
      <c r="L38" s="387"/>
      <c r="M38" s="128"/>
      <c r="N38" s="121"/>
    </row>
    <row r="39" spans="1:20" s="81" customFormat="1" ht="26.25" customHeight="1" thickBot="1" x14ac:dyDescent="0.3">
      <c r="A39" s="388"/>
      <c r="B39" s="115"/>
      <c r="C39" s="392"/>
      <c r="D39" s="388"/>
      <c r="E39" s="392"/>
      <c r="F39" s="398"/>
      <c r="G39" s="398"/>
      <c r="H39" s="414"/>
      <c r="I39" s="398"/>
      <c r="J39" s="398"/>
      <c r="K39" s="398"/>
      <c r="L39" s="388"/>
      <c r="M39" s="128"/>
    </row>
    <row r="40" spans="1:20" s="81" customFormat="1" ht="92.1" customHeight="1" thickBot="1" x14ac:dyDescent="0.3">
      <c r="A40" s="123">
        <v>3</v>
      </c>
      <c r="B40" s="127" t="s">
        <v>187</v>
      </c>
      <c r="C40" s="88">
        <v>26600</v>
      </c>
      <c r="D40" s="88" t="s">
        <v>112</v>
      </c>
      <c r="E40" s="88"/>
      <c r="F40" s="77">
        <f>F20+F25+F36</f>
        <v>9938091.6099999994</v>
      </c>
      <c r="G40" s="77">
        <f>G6</f>
        <v>23632860.100000001</v>
      </c>
      <c r="H40" s="77">
        <f>H6</f>
        <v>31293968</v>
      </c>
      <c r="I40" s="77">
        <f>I6</f>
        <v>62188936.170000002</v>
      </c>
      <c r="J40" s="77">
        <f t="shared" ref="J40:K40" si="8">J6</f>
        <v>20777061.579999998</v>
      </c>
      <c r="K40" s="77">
        <f t="shared" si="8"/>
        <v>21389920.789999999</v>
      </c>
      <c r="L40" s="115"/>
      <c r="M40" s="128"/>
      <c r="N40" s="121">
        <f>F40-F41</f>
        <v>0</v>
      </c>
      <c r="O40" s="121">
        <f>G40-G42-G41</f>
        <v>0</v>
      </c>
      <c r="P40" s="121">
        <f>I40-I44-I45</f>
        <v>0</v>
      </c>
      <c r="Q40" s="121">
        <f>J40-J45-J46</f>
        <v>0</v>
      </c>
      <c r="R40" s="121">
        <f>K40-K46-K47</f>
        <v>0</v>
      </c>
      <c r="S40" s="121">
        <f>L40-L41</f>
        <v>0</v>
      </c>
    </row>
    <row r="41" spans="1:20" s="81" customFormat="1" ht="21.75" customHeight="1" thickBot="1" x14ac:dyDescent="0.3">
      <c r="A41" s="387"/>
      <c r="B41" s="88"/>
      <c r="C41" s="391">
        <v>26610</v>
      </c>
      <c r="D41" s="137">
        <v>2020</v>
      </c>
      <c r="E41" s="130"/>
      <c r="F41" s="116">
        <f>F40</f>
        <v>9938091.6099999994</v>
      </c>
      <c r="G41" s="116">
        <v>9760384.9499999993</v>
      </c>
      <c r="H41" s="138"/>
      <c r="I41" s="139"/>
      <c r="J41" s="139"/>
      <c r="K41" s="139"/>
      <c r="L41" s="387"/>
      <c r="M41" s="128"/>
      <c r="N41" s="121">
        <f>F41-F15</f>
        <v>0</v>
      </c>
      <c r="O41" s="121">
        <f>G42-G15</f>
        <v>0</v>
      </c>
      <c r="P41" s="121">
        <f>H43-H14</f>
        <v>0</v>
      </c>
      <c r="Q41" s="121">
        <f>J45-J14</f>
        <v>0</v>
      </c>
      <c r="R41" s="121">
        <f>K46-K14</f>
        <v>0</v>
      </c>
      <c r="S41" s="121">
        <f t="shared" ref="S41" si="9">L41-L15</f>
        <v>0</v>
      </c>
      <c r="T41" s="121"/>
    </row>
    <row r="42" spans="1:20" s="81" customFormat="1" ht="21.75" customHeight="1" thickBot="1" x14ac:dyDescent="0.3">
      <c r="A42" s="426"/>
      <c r="B42" s="88" t="s">
        <v>186</v>
      </c>
      <c r="C42" s="427"/>
      <c r="D42" s="137">
        <v>2021</v>
      </c>
      <c r="E42" s="130"/>
      <c r="F42" s="116"/>
      <c r="G42" s="116">
        <v>13872475.15</v>
      </c>
      <c r="H42" s="138"/>
      <c r="I42" s="139"/>
      <c r="J42" s="139"/>
      <c r="K42" s="139"/>
      <c r="L42" s="426"/>
      <c r="M42" s="128"/>
      <c r="N42" s="121"/>
      <c r="O42" s="121"/>
      <c r="P42" s="121"/>
      <c r="Q42" s="121"/>
      <c r="R42" s="121"/>
      <c r="S42" s="121"/>
      <c r="T42" s="121"/>
    </row>
    <row r="43" spans="1:20" s="81" customFormat="1" ht="21.75" customHeight="1" thickBot="1" x14ac:dyDescent="0.3">
      <c r="A43" s="426"/>
      <c r="B43" s="88"/>
      <c r="C43" s="427"/>
      <c r="D43" s="137">
        <v>2022</v>
      </c>
      <c r="E43" s="130"/>
      <c r="F43" s="116"/>
      <c r="G43" s="116"/>
      <c r="H43" s="138">
        <f>H10</f>
        <v>17531143.120000001</v>
      </c>
      <c r="I43" s="139"/>
      <c r="J43" s="139"/>
      <c r="K43" s="79"/>
      <c r="L43" s="426"/>
      <c r="M43" s="128"/>
      <c r="N43" s="121"/>
      <c r="O43" s="121"/>
      <c r="P43" s="121"/>
      <c r="Q43" s="121"/>
      <c r="R43" s="121"/>
      <c r="S43" s="121"/>
      <c r="T43" s="121"/>
    </row>
    <row r="44" spans="1:20" s="81" customFormat="1" ht="21.75" customHeight="1" thickBot="1" x14ac:dyDescent="0.3">
      <c r="A44" s="426"/>
      <c r="B44" s="88"/>
      <c r="C44" s="427"/>
      <c r="D44" s="137">
        <v>2023</v>
      </c>
      <c r="E44" s="130"/>
      <c r="F44" s="116"/>
      <c r="G44" s="116"/>
      <c r="H44" s="138">
        <f>H15</f>
        <v>13762824.879999999</v>
      </c>
      <c r="I44" s="138">
        <f>I10</f>
        <v>17949708.800000001</v>
      </c>
      <c r="J44" s="138"/>
      <c r="K44" s="138"/>
      <c r="L44" s="426"/>
      <c r="M44" s="128"/>
      <c r="N44" s="121"/>
      <c r="O44" s="121"/>
      <c r="P44" s="121"/>
      <c r="Q44" s="121"/>
      <c r="R44" s="121"/>
      <c r="S44" s="121"/>
      <c r="T44" s="121"/>
    </row>
    <row r="45" spans="1:20" s="81" customFormat="1" ht="25.5" customHeight="1" thickBot="1" x14ac:dyDescent="0.3">
      <c r="A45" s="388"/>
      <c r="B45" s="115"/>
      <c r="C45" s="392"/>
      <c r="D45" s="137">
        <v>2024</v>
      </c>
      <c r="E45" s="137"/>
      <c r="F45" s="138"/>
      <c r="G45" s="138"/>
      <c r="H45" s="138"/>
      <c r="I45" s="138">
        <f>I15</f>
        <v>44239227.370000005</v>
      </c>
      <c r="J45" s="138">
        <f>J10</f>
        <v>304092.14</v>
      </c>
      <c r="K45" s="138"/>
      <c r="L45" s="388"/>
      <c r="M45" s="128"/>
    </row>
    <row r="46" spans="1:20" s="81" customFormat="1" ht="25.5" customHeight="1" thickBot="1" x14ac:dyDescent="0.3">
      <c r="A46" s="140"/>
      <c r="B46" s="115"/>
      <c r="C46" s="141"/>
      <c r="D46" s="142">
        <v>2025</v>
      </c>
      <c r="E46" s="143"/>
      <c r="F46" s="144"/>
      <c r="G46" s="144"/>
      <c r="H46" s="144"/>
      <c r="I46" s="145"/>
      <c r="J46" s="138">
        <f>J15</f>
        <v>20472969.439999998</v>
      </c>
      <c r="K46" s="138">
        <f>K10</f>
        <v>304092.13</v>
      </c>
      <c r="L46" s="115"/>
      <c r="M46" s="128"/>
    </row>
    <row r="47" spans="1:20" ht="22.5" customHeight="1" thickBot="1" x14ac:dyDescent="0.3">
      <c r="A47" s="146"/>
      <c r="B47" s="147"/>
      <c r="C47" s="143"/>
      <c r="D47" s="142">
        <v>2026</v>
      </c>
      <c r="E47" s="143"/>
      <c r="F47" s="144"/>
      <c r="G47" s="144"/>
      <c r="H47" s="144"/>
      <c r="I47" s="145"/>
      <c r="J47" s="144"/>
      <c r="K47" s="138">
        <f>K15</f>
        <v>21085828.66</v>
      </c>
      <c r="L47" s="148"/>
    </row>
    <row r="48" spans="1:20" ht="108.75" customHeight="1" x14ac:dyDescent="0.25">
      <c r="A48" s="428" t="s">
        <v>356</v>
      </c>
      <c r="B48" s="428"/>
      <c r="C48" s="428"/>
      <c r="D48" s="428"/>
      <c r="E48" s="428"/>
      <c r="F48" s="428"/>
      <c r="G48" s="428"/>
      <c r="H48" s="428"/>
      <c r="I48" s="428"/>
      <c r="J48" s="428"/>
      <c r="K48" s="428"/>
      <c r="L48" s="428"/>
      <c r="M48" s="117"/>
    </row>
    <row r="49" spans="1:14" ht="93.75" customHeight="1" x14ac:dyDescent="0.25">
      <c r="A49" s="425" t="s">
        <v>322</v>
      </c>
      <c r="B49" s="425"/>
      <c r="C49" s="425"/>
      <c r="D49" s="425"/>
      <c r="E49" s="425"/>
      <c r="F49" s="425"/>
      <c r="G49" s="425"/>
      <c r="H49" s="425"/>
      <c r="I49" s="425"/>
      <c r="J49" s="425"/>
      <c r="K49" s="425"/>
      <c r="L49" s="425"/>
      <c r="M49" s="149"/>
      <c r="N49" s="149"/>
    </row>
    <row r="50" spans="1:14" ht="36" customHeight="1" x14ac:dyDescent="0.25">
      <c r="A50" s="425" t="s">
        <v>323</v>
      </c>
      <c r="B50" s="425"/>
      <c r="C50" s="425"/>
      <c r="D50" s="425"/>
      <c r="E50" s="425"/>
      <c r="F50" s="425"/>
      <c r="G50" s="425"/>
      <c r="H50" s="425"/>
      <c r="I50" s="425"/>
      <c r="J50" s="425"/>
      <c r="K50" s="425"/>
      <c r="L50" s="425"/>
      <c r="M50" s="149"/>
      <c r="N50" s="149"/>
    </row>
    <row r="51" spans="1:14" ht="18" customHeight="1" x14ac:dyDescent="0.25">
      <c r="A51" s="425" t="s">
        <v>324</v>
      </c>
      <c r="B51" s="425"/>
      <c r="C51" s="425"/>
      <c r="D51" s="425"/>
      <c r="E51" s="425"/>
      <c r="F51" s="425"/>
      <c r="G51" s="425"/>
      <c r="H51" s="425"/>
      <c r="I51" s="425"/>
      <c r="J51" s="425"/>
      <c r="K51" s="425"/>
      <c r="L51" s="425"/>
      <c r="M51" s="149"/>
      <c r="N51" s="149"/>
    </row>
    <row r="52" spans="1:14" ht="15" customHeight="1" x14ac:dyDescent="0.25">
      <c r="A52" s="425" t="s">
        <v>325</v>
      </c>
      <c r="B52" s="425"/>
      <c r="C52" s="425"/>
      <c r="D52" s="425"/>
      <c r="E52" s="425"/>
      <c r="F52" s="425"/>
      <c r="G52" s="425"/>
      <c r="H52" s="425"/>
      <c r="I52" s="425"/>
      <c r="J52" s="425"/>
      <c r="K52" s="425"/>
      <c r="L52" s="425"/>
      <c r="M52" s="149"/>
      <c r="N52" s="149"/>
    </row>
    <row r="53" spans="1:14" ht="15" customHeight="1" x14ac:dyDescent="0.25">
      <c r="A53" s="425" t="s">
        <v>326</v>
      </c>
      <c r="B53" s="425"/>
      <c r="C53" s="425"/>
      <c r="D53" s="425"/>
      <c r="E53" s="425"/>
      <c r="F53" s="425"/>
      <c r="G53" s="425"/>
      <c r="H53" s="425"/>
      <c r="I53" s="425"/>
      <c r="J53" s="425"/>
      <c r="K53" s="425"/>
      <c r="L53" s="425"/>
      <c r="M53" s="149"/>
      <c r="N53" s="149"/>
    </row>
    <row r="54" spans="1:14" ht="48" customHeight="1" x14ac:dyDescent="0.25">
      <c r="A54" s="425" t="s">
        <v>327</v>
      </c>
      <c r="B54" s="425"/>
      <c r="C54" s="425"/>
      <c r="D54" s="425"/>
      <c r="E54" s="425"/>
      <c r="F54" s="425"/>
      <c r="G54" s="425"/>
      <c r="H54" s="425"/>
      <c r="I54" s="425"/>
      <c r="J54" s="425"/>
      <c r="K54" s="425"/>
      <c r="L54" s="425"/>
      <c r="M54" s="149"/>
      <c r="N54" s="149"/>
    </row>
  </sheetData>
  <mergeCells count="101">
    <mergeCell ref="A7:A8"/>
    <mergeCell ref="C7:C8"/>
    <mergeCell ref="D7:D8"/>
    <mergeCell ref="E7:E8"/>
    <mergeCell ref="F7:F8"/>
    <mergeCell ref="G7:G8"/>
    <mergeCell ref="A1:L1"/>
    <mergeCell ref="A3:A4"/>
    <mergeCell ref="B3:B4"/>
    <mergeCell ref="C3:C4"/>
    <mergeCell ref="D3:D4"/>
    <mergeCell ref="E3:E4"/>
    <mergeCell ref="F3:L3"/>
    <mergeCell ref="H7:H8"/>
    <mergeCell ref="I7:I8"/>
    <mergeCell ref="J7:J8"/>
    <mergeCell ref="K7:K8"/>
    <mergeCell ref="L7:L8"/>
    <mergeCell ref="H11:H12"/>
    <mergeCell ref="I11:I12"/>
    <mergeCell ref="J11:J12"/>
    <mergeCell ref="K11:K12"/>
    <mergeCell ref="L11:L12"/>
    <mergeCell ref="A16:A17"/>
    <mergeCell ref="C16:C17"/>
    <mergeCell ref="D16:D17"/>
    <mergeCell ref="F16:F17"/>
    <mergeCell ref="G16:G17"/>
    <mergeCell ref="A11:A12"/>
    <mergeCell ref="C11:C12"/>
    <mergeCell ref="D11:D12"/>
    <mergeCell ref="E11:E12"/>
    <mergeCell ref="G11:G12"/>
    <mergeCell ref="L18:L19"/>
    <mergeCell ref="A22:A23"/>
    <mergeCell ref="C22:C23"/>
    <mergeCell ref="D22:D23"/>
    <mergeCell ref="F22:F23"/>
    <mergeCell ref="G22:G23"/>
    <mergeCell ref="H16:H17"/>
    <mergeCell ref="I16:I17"/>
    <mergeCell ref="J16:J17"/>
    <mergeCell ref="K16:K17"/>
    <mergeCell ref="L16:L17"/>
    <mergeCell ref="A18:A19"/>
    <mergeCell ref="C18:C19"/>
    <mergeCell ref="D18:D19"/>
    <mergeCell ref="F18:F19"/>
    <mergeCell ref="G18:G19"/>
    <mergeCell ref="A29:A30"/>
    <mergeCell ref="C29:C30"/>
    <mergeCell ref="D29:D30"/>
    <mergeCell ref="E29:E30"/>
    <mergeCell ref="F29:F30"/>
    <mergeCell ref="H18:H19"/>
    <mergeCell ref="I18:I19"/>
    <mergeCell ref="J18:J19"/>
    <mergeCell ref="K18:K19"/>
    <mergeCell ref="G29:G30"/>
    <mergeCell ref="H29:H30"/>
    <mergeCell ref="I29:I30"/>
    <mergeCell ref="J29:J30"/>
    <mergeCell ref="K29:K30"/>
    <mergeCell ref="L29:L30"/>
    <mergeCell ref="H22:H23"/>
    <mergeCell ref="I22:I23"/>
    <mergeCell ref="J22:J23"/>
    <mergeCell ref="K22:K23"/>
    <mergeCell ref="L22:L23"/>
    <mergeCell ref="A38:A39"/>
    <mergeCell ref="C38:C39"/>
    <mergeCell ref="D38:D39"/>
    <mergeCell ref="E38:E39"/>
    <mergeCell ref="F38:F39"/>
    <mergeCell ref="A33:A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A51:L51"/>
    <mergeCell ref="A52:L52"/>
    <mergeCell ref="A53:L53"/>
    <mergeCell ref="A54:L54"/>
    <mergeCell ref="A41:A45"/>
    <mergeCell ref="C41:C45"/>
    <mergeCell ref="L41:L45"/>
    <mergeCell ref="A48:L48"/>
    <mergeCell ref="A49:L49"/>
    <mergeCell ref="A50:L50"/>
  </mergeCells>
  <pageMargins left="0.70866141732283472" right="0.70866141732283472" top="0.74803149606299213" bottom="0.74803149606299213" header="0.31496062992125984" footer="0.31496062992125984"/>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1"/>
  <sheetViews>
    <sheetView view="pageBreakPreview" zoomScaleNormal="100" zoomScaleSheetLayoutView="100" workbookViewId="0">
      <selection activeCell="W4" sqref="W4"/>
    </sheetView>
  </sheetViews>
  <sheetFormatPr defaultColWidth="9.109375" defaultRowHeight="13.8" x14ac:dyDescent="0.25"/>
  <cols>
    <col min="1" max="1" width="35" style="80" customWidth="1"/>
    <col min="2" max="2" width="11" style="80" customWidth="1"/>
    <col min="3" max="3" width="0.88671875" style="81" hidden="1" customWidth="1"/>
    <col min="4" max="5" width="14.5546875" style="80" hidden="1" customWidth="1"/>
    <col min="6" max="9" width="14.5546875" style="80" customWidth="1"/>
    <col min="10" max="10" width="18.6640625" style="80" hidden="1" customWidth="1"/>
    <col min="11" max="11" width="12.5546875" style="80" hidden="1" customWidth="1"/>
    <col min="12" max="12" width="13.6640625" style="80" hidden="1" customWidth="1"/>
    <col min="13" max="13" width="13.5546875" style="80" hidden="1" customWidth="1"/>
    <col min="14" max="14" width="13" style="80" hidden="1" customWidth="1"/>
    <col min="15" max="15" width="0" style="80" hidden="1" customWidth="1"/>
    <col min="16" max="16" width="14.109375" style="80" hidden="1" customWidth="1"/>
    <col min="17" max="17" width="17.44140625" style="80" hidden="1" customWidth="1"/>
    <col min="18" max="18" width="13" style="80" hidden="1" customWidth="1"/>
    <col min="19" max="20" width="0" style="80" hidden="1" customWidth="1"/>
    <col min="21" max="21" width="15.6640625" style="80" customWidth="1"/>
    <col min="22" max="22" width="15" style="80" customWidth="1"/>
    <col min="23" max="23" width="15.5546875" style="80" customWidth="1"/>
    <col min="24" max="16384" width="9.109375" style="80"/>
  </cols>
  <sheetData>
    <row r="1" spans="1:23" ht="42.75" customHeight="1" x14ac:dyDescent="0.25">
      <c r="A1" s="442" t="s">
        <v>1095</v>
      </c>
      <c r="B1" s="443"/>
      <c r="C1" s="443"/>
      <c r="D1" s="443"/>
      <c r="E1" s="443"/>
      <c r="F1" s="443"/>
      <c r="G1" s="443"/>
      <c r="H1" s="443"/>
      <c r="I1" s="443"/>
      <c r="J1" s="79"/>
    </row>
    <row r="2" spans="1:23" ht="14.4" thickBot="1" x14ac:dyDescent="0.3">
      <c r="K2" s="82"/>
      <c r="L2" s="82"/>
      <c r="M2" s="82"/>
    </row>
    <row r="3" spans="1:23" ht="89.25" customHeight="1" thickBot="1" x14ac:dyDescent="0.3">
      <c r="A3" s="189" t="s">
        <v>0</v>
      </c>
      <c r="B3" s="190" t="s">
        <v>196</v>
      </c>
      <c r="C3" s="188" t="s">
        <v>420</v>
      </c>
      <c r="D3" s="190" t="s">
        <v>421</v>
      </c>
      <c r="E3" s="190" t="s">
        <v>394</v>
      </c>
      <c r="F3" s="190" t="s">
        <v>943</v>
      </c>
      <c r="G3" s="190" t="s">
        <v>944</v>
      </c>
      <c r="H3" s="190" t="s">
        <v>945</v>
      </c>
      <c r="I3" s="190" t="s">
        <v>111</v>
      </c>
      <c r="J3" s="83"/>
      <c r="K3" s="84" t="e">
        <f>'[2] расходов ФОТ 2023 '!#REF!</f>
        <v>#REF!</v>
      </c>
      <c r="L3" s="85">
        <f>'[2] расходов ФОТ 2024'!$EW$107</f>
        <v>0</v>
      </c>
      <c r="M3" s="84">
        <f>'[2] расходов ФОТ 2025'!$EW$108</f>
        <v>0</v>
      </c>
      <c r="N3" s="86" t="s">
        <v>422</v>
      </c>
      <c r="O3" s="86"/>
      <c r="P3" s="86"/>
      <c r="Q3" s="86"/>
    </row>
    <row r="4" spans="1:23" ht="14.4" thickBot="1" x14ac:dyDescent="0.3">
      <c r="A4" s="191">
        <v>1</v>
      </c>
      <c r="B4" s="87">
        <v>2</v>
      </c>
      <c r="C4" s="88">
        <v>3</v>
      </c>
      <c r="D4" s="87">
        <v>3</v>
      </c>
      <c r="E4" s="87">
        <v>4</v>
      </c>
      <c r="F4" s="87"/>
      <c r="G4" s="87">
        <v>5</v>
      </c>
      <c r="H4" s="87">
        <v>6</v>
      </c>
      <c r="I4" s="87">
        <v>7</v>
      </c>
      <c r="J4" s="89">
        <f>'[2]Раздел 1'!F92</f>
        <v>69830840.359999999</v>
      </c>
      <c r="K4" s="89">
        <f>'[2]Раздел 1'!G92</f>
        <v>74242803.269999996</v>
      </c>
      <c r="L4" s="89">
        <f>'[2]Раздел 1'!H92</f>
        <v>76872738.439999998</v>
      </c>
      <c r="M4" s="89">
        <f>'[2]Раздел 1'!I92</f>
        <v>79485481.399999991</v>
      </c>
      <c r="N4" s="83" t="s">
        <v>423</v>
      </c>
    </row>
    <row r="5" spans="1:23" ht="62.25" customHeight="1" thickBot="1" x14ac:dyDescent="0.3">
      <c r="A5" s="192" t="s">
        <v>25</v>
      </c>
      <c r="B5" s="87" t="s">
        <v>112</v>
      </c>
      <c r="C5" s="88" t="s">
        <v>112</v>
      </c>
      <c r="D5" s="87" t="s">
        <v>112</v>
      </c>
      <c r="E5" s="87" t="s">
        <v>112</v>
      </c>
      <c r="F5" s="88"/>
      <c r="G5" s="88" t="s">
        <v>112</v>
      </c>
      <c r="H5" s="88" t="s">
        <v>112</v>
      </c>
      <c r="I5" s="88" t="s">
        <v>112</v>
      </c>
      <c r="J5" s="80">
        <v>2018</v>
      </c>
      <c r="K5" s="80">
        <v>2019</v>
      </c>
      <c r="L5" s="80">
        <v>2020</v>
      </c>
      <c r="M5" s="80">
        <v>2021</v>
      </c>
      <c r="N5" s="80">
        <v>2022</v>
      </c>
      <c r="U5" s="82">
        <f>F9+F11</f>
        <v>86677.560219999999</v>
      </c>
      <c r="V5" s="82">
        <f t="shared" ref="V5:W5" si="0">G9+G11</f>
        <v>87490.88973000001</v>
      </c>
      <c r="W5" s="82">
        <f t="shared" si="0"/>
        <v>89213.885730000009</v>
      </c>
    </row>
    <row r="6" spans="1:23" ht="32.25" customHeight="1" thickBot="1" x14ac:dyDescent="0.3">
      <c r="A6" s="193" t="s">
        <v>241</v>
      </c>
      <c r="B6" s="87" t="s">
        <v>17</v>
      </c>
      <c r="C6" s="194">
        <v>55806.32</v>
      </c>
      <c r="D6" s="195">
        <v>56756.19</v>
      </c>
      <c r="E6" s="194">
        <f>(69476863.68+353976.68+71320.08)/1000</f>
        <v>69902.160440000007</v>
      </c>
      <c r="F6" s="194">
        <f>(85907287.25+277572.97+400000+92700)/1000</f>
        <v>86677.560219999999</v>
      </c>
      <c r="G6" s="194">
        <f>(86813316.76+277572.97+400000)/1000</f>
        <v>87490.88973000001</v>
      </c>
      <c r="H6" s="194">
        <f>(88536312.76+277572.97+400000)/1000</f>
        <v>89213.885730000009</v>
      </c>
      <c r="I6" s="194"/>
      <c r="J6" s="82">
        <f>C6*1000-'[2]Раздел 1'!D92</f>
        <v>113998.77000000328</v>
      </c>
      <c r="K6" s="82">
        <f>D6*1000-'[2]Раздел 1'!E92</f>
        <v>110152.00999999791</v>
      </c>
      <c r="L6" s="82">
        <f>E6*1000-'[2]Раздел 1'!F92</f>
        <v>71320.080000013113</v>
      </c>
      <c r="M6" s="82">
        <f>F6*1000-'[2]Раздел 1'!G92</f>
        <v>12434756.950000003</v>
      </c>
      <c r="N6" s="82">
        <f>H6*1000-'[2]Раздел 1'!I92</f>
        <v>9728404.3300000131</v>
      </c>
      <c r="O6" s="82"/>
      <c r="P6" s="89">
        <f>E9+E11-E6</f>
        <v>0</v>
      </c>
      <c r="Q6" s="89">
        <f t="shared" ref="Q6:S7" si="1">F9+F11-F6</f>
        <v>0</v>
      </c>
      <c r="R6" s="89">
        <f t="shared" si="1"/>
        <v>0</v>
      </c>
      <c r="S6" s="89">
        <f t="shared" si="1"/>
        <v>0</v>
      </c>
      <c r="U6" s="82">
        <f>'Раздел 1'!G92</f>
        <v>86584860.225473195</v>
      </c>
      <c r="V6" s="82">
        <f>'Раздел 1'!H92</f>
        <v>87490889.730000004</v>
      </c>
      <c r="W6" s="82">
        <f>'Раздел 1'!I92</f>
        <v>89213885.730000004</v>
      </c>
    </row>
    <row r="7" spans="1:23" ht="34.200000000000003" customHeight="1" thickBot="1" x14ac:dyDescent="0.3">
      <c r="A7" s="193" t="s">
        <v>34</v>
      </c>
      <c r="B7" s="87" t="s">
        <v>17</v>
      </c>
      <c r="C7" s="194">
        <v>16741.900000000001</v>
      </c>
      <c r="D7" s="195">
        <v>16993.599999999999</v>
      </c>
      <c r="E7" s="194">
        <f>(E6-71320.08/1000)*32.21%</f>
        <v>22492.513679955999</v>
      </c>
      <c r="F7" s="194">
        <f>(F6-400-92.7)*30%</f>
        <v>25855.458065999999</v>
      </c>
      <c r="G7" s="194">
        <f t="shared" ref="G7:H7" si="2">(G6-400)*30%</f>
        <v>26127.266919000002</v>
      </c>
      <c r="H7" s="194">
        <f t="shared" si="2"/>
        <v>26644.165719000001</v>
      </c>
      <c r="I7" s="194"/>
      <c r="J7" s="82">
        <f>C6-C9-C11</f>
        <v>0</v>
      </c>
      <c r="K7" s="82">
        <f>D6-D9-D11</f>
        <v>0</v>
      </c>
      <c r="L7" s="82">
        <f>E6-E9-E11</f>
        <v>0</v>
      </c>
      <c r="M7" s="82">
        <f>G6-G9-G11</f>
        <v>0</v>
      </c>
      <c r="N7" s="82">
        <f t="shared" ref="N7" si="3">H6-H9-H11</f>
        <v>0</v>
      </c>
      <c r="P7" s="89">
        <f>E10+E12-E7</f>
        <v>0</v>
      </c>
      <c r="Q7" s="89">
        <f t="shared" si="1"/>
        <v>0</v>
      </c>
      <c r="R7" s="89">
        <f t="shared" si="1"/>
        <v>0</v>
      </c>
      <c r="S7" s="89">
        <f t="shared" si="1"/>
        <v>0</v>
      </c>
      <c r="U7" s="82">
        <f>'Раздел 1'!G93</f>
        <v>0</v>
      </c>
      <c r="V7" s="82">
        <f>'Раздел 1'!H93</f>
        <v>0</v>
      </c>
      <c r="W7" s="82">
        <f>'Раздел 1'!I93</f>
        <v>0</v>
      </c>
    </row>
    <row r="8" spans="1:23" ht="16.2" customHeight="1" thickBot="1" x14ac:dyDescent="0.3">
      <c r="A8" s="193" t="s">
        <v>3</v>
      </c>
      <c r="B8" s="196"/>
      <c r="C8" s="194"/>
      <c r="D8" s="195"/>
      <c r="E8" s="197"/>
      <c r="F8" s="194"/>
      <c r="G8" s="194"/>
      <c r="H8" s="194"/>
      <c r="I8" s="194"/>
    </row>
    <row r="9" spans="1:23" ht="59.25" customHeight="1" thickBot="1" x14ac:dyDescent="0.3">
      <c r="A9" s="193" t="s">
        <v>238</v>
      </c>
      <c r="B9" s="87" t="s">
        <v>17</v>
      </c>
      <c r="C9" s="194">
        <v>5527.15</v>
      </c>
      <c r="D9" s="195">
        <v>3899.02</v>
      </c>
      <c r="E9" s="194">
        <f>4688208.51/1000</f>
        <v>4688.2085099999995</v>
      </c>
      <c r="F9" s="194">
        <f>5553494.12/1000</f>
        <v>5553.4941200000003</v>
      </c>
      <c r="G9" s="194">
        <f>5235674.6/1000</f>
        <v>5235.6745999999994</v>
      </c>
      <c r="H9" s="194">
        <f>5235674.6/1000</f>
        <v>5235.6745999999994</v>
      </c>
      <c r="I9" s="194"/>
      <c r="K9" s="90">
        <f>'[2] расходов ФОТ 2023 '!$FN$14</f>
        <v>4554584.8716000002</v>
      </c>
      <c r="L9" s="91">
        <f>'[2] расходов ФОТ 2024'!$FO$14/1000</f>
        <v>0</v>
      </c>
      <c r="M9" s="92">
        <f>'[2] расходов ФОТ 2025'!$FO$14/1000</f>
        <v>0</v>
      </c>
    </row>
    <row r="10" spans="1:23" ht="30.6" customHeight="1" thickBot="1" x14ac:dyDescent="0.3">
      <c r="A10" s="193" t="s">
        <v>34</v>
      </c>
      <c r="B10" s="87" t="s">
        <v>17</v>
      </c>
      <c r="C10" s="194">
        <v>1983.5</v>
      </c>
      <c r="D10" s="195">
        <v>1469.42</v>
      </c>
      <c r="E10" s="194">
        <f>71655.25*2.3*12/1000</f>
        <v>1977.6849</v>
      </c>
      <c r="F10" s="194">
        <f>84458.56*2.3*12/1000</f>
        <v>2331.0562559999994</v>
      </c>
      <c r="G10" s="194">
        <f>82727.36*2.3*12/1000</f>
        <v>2283.2751359999997</v>
      </c>
      <c r="H10" s="194">
        <f>82727.36*2.3*12/1000</f>
        <v>2283.2751359999997</v>
      </c>
      <c r="I10" s="194"/>
      <c r="K10" s="93">
        <f>'[2] расходов ФОТ 2023 '!$FN$15*2.3/100</f>
        <v>17640.316716000001</v>
      </c>
      <c r="L10" s="94">
        <f>'[2] расходов ФОТ 2024'!$FO$15*2.3/1000</f>
        <v>0</v>
      </c>
      <c r="M10" s="95">
        <f>'[2] расходов ФОТ 2025'!$FO$15*2.3/1000</f>
        <v>0</v>
      </c>
    </row>
    <row r="11" spans="1:23" ht="45.75" customHeight="1" thickBot="1" x14ac:dyDescent="0.3">
      <c r="A11" s="193" t="s">
        <v>20</v>
      </c>
      <c r="B11" s="87" t="s">
        <v>17</v>
      </c>
      <c r="C11" s="194">
        <v>50279.17</v>
      </c>
      <c r="D11" s="195">
        <v>52857.17</v>
      </c>
      <c r="E11" s="194">
        <f>E6-E9</f>
        <v>65213.95193000001</v>
      </c>
      <c r="F11" s="194">
        <f>F6-F9</f>
        <v>81124.066099999996</v>
      </c>
      <c r="G11" s="194">
        <f t="shared" ref="G11:H12" si="4">G6-G9</f>
        <v>82255.215130000011</v>
      </c>
      <c r="H11" s="194">
        <f t="shared" si="4"/>
        <v>83978.211130000011</v>
      </c>
      <c r="I11" s="194"/>
    </row>
    <row r="12" spans="1:23" ht="31.2" customHeight="1" thickBot="1" x14ac:dyDescent="0.3">
      <c r="A12" s="193" t="s">
        <v>34</v>
      </c>
      <c r="B12" s="87" t="s">
        <v>17</v>
      </c>
      <c r="C12" s="194">
        <v>14758.4</v>
      </c>
      <c r="D12" s="195">
        <v>15524.18</v>
      </c>
      <c r="E12" s="194">
        <f>E7-E10</f>
        <v>20514.828779955998</v>
      </c>
      <c r="F12" s="194">
        <f>F7-F10</f>
        <v>23524.401809999999</v>
      </c>
      <c r="G12" s="194">
        <f t="shared" si="4"/>
        <v>23843.991783000001</v>
      </c>
      <c r="H12" s="194">
        <f t="shared" si="4"/>
        <v>24360.890583</v>
      </c>
      <c r="I12" s="194"/>
    </row>
    <row r="13" spans="1:23" ht="76.95" customHeight="1" thickBot="1" x14ac:dyDescent="0.3">
      <c r="A13" s="193" t="s">
        <v>197</v>
      </c>
      <c r="B13" s="87" t="s">
        <v>17</v>
      </c>
      <c r="C13" s="194">
        <v>21219.8</v>
      </c>
      <c r="D13" s="195">
        <v>23376.6</v>
      </c>
      <c r="E13" s="194">
        <f>E15+E16+E17+E18</f>
        <v>29899.726979999999</v>
      </c>
      <c r="F13" s="194">
        <f>F15+F16+F17+F18</f>
        <v>36177.820200000002</v>
      </c>
      <c r="G13" s="194">
        <f>G15+G16+G17+G18</f>
        <v>37091.530200000001</v>
      </c>
      <c r="H13" s="194">
        <f>H15+H16+H17+H18</f>
        <v>38814.5262</v>
      </c>
      <c r="I13" s="194"/>
      <c r="J13" s="82">
        <f>C13-C15-C16-C17-C18</f>
        <v>0</v>
      </c>
      <c r="K13" s="82">
        <f>D13-D15-D16-D17-D18</f>
        <v>0</v>
      </c>
      <c r="L13" s="82">
        <f>E13-E15-E16-E17-E18</f>
        <v>0</v>
      </c>
      <c r="M13" s="82">
        <f t="shared" ref="M13:N13" si="5">G13-G15-G16-G17-G18</f>
        <v>0</v>
      </c>
      <c r="N13" s="82">
        <f t="shared" si="5"/>
        <v>0</v>
      </c>
    </row>
    <row r="14" spans="1:23" ht="25.5" customHeight="1" thickBot="1" x14ac:dyDescent="0.3">
      <c r="A14" s="193" t="s">
        <v>21</v>
      </c>
      <c r="B14" s="196"/>
      <c r="C14" s="194"/>
      <c r="D14" s="195"/>
      <c r="E14" s="194"/>
      <c r="F14" s="194"/>
      <c r="G14" s="194"/>
      <c r="H14" s="194"/>
      <c r="I14" s="194"/>
    </row>
    <row r="15" spans="1:23" ht="17.25" customHeight="1" thickBot="1" x14ac:dyDescent="0.3">
      <c r="A15" s="193" t="s">
        <v>424</v>
      </c>
      <c r="B15" s="87" t="s">
        <v>17</v>
      </c>
      <c r="C15" s="194">
        <v>7973.18</v>
      </c>
      <c r="D15" s="195">
        <v>8458.2000000000007</v>
      </c>
      <c r="E15" s="194">
        <f>11220704.52/1000</f>
        <v>11220.704519999999</v>
      </c>
      <c r="F15" s="194">
        <f>84075*12*14.5/1000</f>
        <v>14629.05</v>
      </c>
      <c r="G15" s="194">
        <f>87400*12*14.5/1000</f>
        <v>15207.6</v>
      </c>
      <c r="H15" s="194">
        <f>93670*12*14.5/1000</f>
        <v>16298.58</v>
      </c>
      <c r="I15" s="194"/>
      <c r="J15" s="96">
        <f>C36*C29*12/1000-C15</f>
        <v>-2.2879999996803235E-3</v>
      </c>
      <c r="K15" s="96">
        <f>D36*D29*12/1000-D15</f>
        <v>0</v>
      </c>
      <c r="L15" s="96">
        <f>E36*E29*12/1000-E15</f>
        <v>6.1200000163807999E-4</v>
      </c>
      <c r="M15" s="96">
        <f t="shared" ref="M15:N18" si="6">G36*G29*12/1000-G15</f>
        <v>0</v>
      </c>
      <c r="N15" s="96">
        <f t="shared" si="6"/>
        <v>0</v>
      </c>
      <c r="O15" s="83" t="s">
        <v>425</v>
      </c>
      <c r="P15" s="97" t="e">
        <f>'[2] расходов ФОТ 2023 '!#REF!/1000</f>
        <v>#REF!</v>
      </c>
      <c r="Q15" s="98">
        <f>'[2] расходов ФОТ 2024'!$FQ$58/1000</f>
        <v>0</v>
      </c>
      <c r="R15" s="99">
        <f>'[2] расходов ФОТ 2025'!$FR$57/1000</f>
        <v>0</v>
      </c>
    </row>
    <row r="16" spans="1:23" ht="17.25" customHeight="1" thickBot="1" x14ac:dyDescent="0.3">
      <c r="A16" s="193" t="s">
        <v>426</v>
      </c>
      <c r="B16" s="87" t="s">
        <v>17</v>
      </c>
      <c r="C16" s="194">
        <v>5347.21</v>
      </c>
      <c r="D16" s="195">
        <v>5328</v>
      </c>
      <c r="E16" s="194">
        <f>6748867.39/1000</f>
        <v>6748.8673899999994</v>
      </c>
      <c r="F16" s="194">
        <f>84075*12*8/1000</f>
        <v>8071.2</v>
      </c>
      <c r="G16" s="194">
        <f>87400*12*8/1000</f>
        <v>8390.4</v>
      </c>
      <c r="H16" s="194">
        <f>93670*12*8/1000</f>
        <v>8992.32</v>
      </c>
      <c r="I16" s="194"/>
      <c r="J16" s="96">
        <f t="shared" ref="J16:L18" si="7">C37*C30*12/1000-C16</f>
        <v>4.5319999999264837E-3</v>
      </c>
      <c r="K16" s="96">
        <f t="shared" si="7"/>
        <v>0</v>
      </c>
      <c r="L16" s="96">
        <f t="shared" si="7"/>
        <v>-1.8999999974766979E-4</v>
      </c>
      <c r="M16" s="96">
        <f t="shared" si="6"/>
        <v>0</v>
      </c>
      <c r="N16" s="96">
        <f t="shared" si="6"/>
        <v>0</v>
      </c>
      <c r="P16" s="100" t="e">
        <f>'[2] расходов ФОТ 2023 '!#REF!/1000</f>
        <v>#REF!</v>
      </c>
      <c r="Q16" s="101">
        <f>'[2] расходов ФОТ 2024'!$FQ$51/1000</f>
        <v>0</v>
      </c>
      <c r="R16" s="102">
        <f>'[2] расходов ФОТ 2025'!$FR$51/1000</f>
        <v>0</v>
      </c>
    </row>
    <row r="17" spans="1:18" ht="17.25" customHeight="1" thickBot="1" x14ac:dyDescent="0.3">
      <c r="A17" s="193" t="s">
        <v>427</v>
      </c>
      <c r="B17" s="87" t="s">
        <v>17</v>
      </c>
      <c r="C17" s="194">
        <v>0</v>
      </c>
      <c r="D17" s="195">
        <v>266.39999999999998</v>
      </c>
      <c r="E17" s="194">
        <f>284184.58/1000</f>
        <v>284.18458000000004</v>
      </c>
      <c r="F17" s="194">
        <f>84075*2*12*0.2/1000</f>
        <v>403.56</v>
      </c>
      <c r="G17" s="194">
        <f>(87400*2*0.2*12)/1000</f>
        <v>419.52</v>
      </c>
      <c r="H17" s="194">
        <f>(93670*2*12*0.2)/1000</f>
        <v>449.61599999999999</v>
      </c>
      <c r="I17" s="194"/>
      <c r="J17" s="96">
        <f t="shared" si="7"/>
        <v>0</v>
      </c>
      <c r="K17" s="96">
        <f t="shared" si="7"/>
        <v>0</v>
      </c>
      <c r="L17" s="96">
        <f t="shared" si="7"/>
        <v>-4.0000000467443897E-6</v>
      </c>
      <c r="M17" s="96">
        <f t="shared" si="6"/>
        <v>0</v>
      </c>
      <c r="N17" s="96">
        <f t="shared" si="6"/>
        <v>0</v>
      </c>
      <c r="P17" s="103">
        <f>'[2] расходов ФОТ 2023 '!$ET$43/1000</f>
        <v>5337.1334234400001</v>
      </c>
      <c r="Q17" s="101">
        <f>'[2] расходов ФОТ 2024'!$ET$42/1000</f>
        <v>376.20000048000003</v>
      </c>
      <c r="R17" s="104">
        <f>'[2] расходов ФОТ 2025'!$ET$42/1000</f>
        <v>403.56000302400003</v>
      </c>
    </row>
    <row r="18" spans="1:18" ht="27.6" customHeight="1" thickBot="1" x14ac:dyDescent="0.3">
      <c r="A18" s="193" t="s">
        <v>428</v>
      </c>
      <c r="B18" s="87" t="s">
        <v>17</v>
      </c>
      <c r="C18" s="194">
        <v>7899.41</v>
      </c>
      <c r="D18" s="195">
        <v>9324</v>
      </c>
      <c r="E18" s="194">
        <f>11645970.49/1000</f>
        <v>11645.97049</v>
      </c>
      <c r="F18" s="194">
        <f>72633.39*12*15/1000</f>
        <v>13074.010199999999</v>
      </c>
      <c r="G18" s="194">
        <f t="shared" ref="G18:H18" si="8">72633.39*12*15/1000</f>
        <v>13074.010199999999</v>
      </c>
      <c r="H18" s="194">
        <f t="shared" si="8"/>
        <v>13074.010199999999</v>
      </c>
      <c r="I18" s="194"/>
      <c r="J18" s="96">
        <f t="shared" si="7"/>
        <v>-5.6000000040512532E-4</v>
      </c>
      <c r="K18" s="96">
        <f t="shared" si="7"/>
        <v>0</v>
      </c>
      <c r="L18" s="96">
        <f t="shared" si="7"/>
        <v>7.100000002537854E-4</v>
      </c>
      <c r="M18" s="96">
        <f t="shared" si="6"/>
        <v>0</v>
      </c>
      <c r="N18" s="96">
        <f t="shared" si="6"/>
        <v>0</v>
      </c>
      <c r="P18" s="105" t="e">
        <f>'[2] расходов ФОТ 2023 '!#REF!/1000</f>
        <v>#REF!</v>
      </c>
      <c r="Q18" s="106">
        <f>'[2] расходов ФОТ 2024'!$FQ$55/1000</f>
        <v>0</v>
      </c>
      <c r="R18" s="107">
        <f>'[2] расходов ФОТ 2025'!$FR$55/1000</f>
        <v>0</v>
      </c>
    </row>
    <row r="19" spans="1:18" ht="43.5" customHeight="1" thickBot="1" x14ac:dyDescent="0.3">
      <c r="A19" s="193" t="s">
        <v>22</v>
      </c>
      <c r="B19" s="87" t="s">
        <v>16</v>
      </c>
      <c r="C19" s="194">
        <v>111.5</v>
      </c>
      <c r="D19" s="195">
        <v>98.8</v>
      </c>
      <c r="E19" s="194">
        <v>91.8</v>
      </c>
      <c r="F19" s="194">
        <v>94.9</v>
      </c>
      <c r="G19" s="194">
        <v>94.9</v>
      </c>
      <c r="H19" s="194">
        <v>94.9</v>
      </c>
      <c r="I19" s="194"/>
      <c r="J19" s="82">
        <f>C19-C21-C22</f>
        <v>0</v>
      </c>
      <c r="K19" s="82">
        <f>D19-D21-D22</f>
        <v>0</v>
      </c>
      <c r="L19" s="82">
        <f>E19-E21-E22</f>
        <v>0</v>
      </c>
      <c r="M19" s="82">
        <f t="shared" ref="M19:N19" si="9">G19-G21-G22</f>
        <v>0</v>
      </c>
      <c r="N19" s="82">
        <f t="shared" si="9"/>
        <v>0</v>
      </c>
      <c r="Q19" s="108"/>
    </row>
    <row r="20" spans="1:18" ht="21" customHeight="1" thickBot="1" x14ac:dyDescent="0.3">
      <c r="A20" s="193" t="s">
        <v>3</v>
      </c>
      <c r="B20" s="196"/>
      <c r="C20" s="194"/>
      <c r="D20" s="195"/>
      <c r="E20" s="197"/>
      <c r="F20" s="194"/>
      <c r="G20" s="194"/>
      <c r="H20" s="194"/>
      <c r="I20" s="194"/>
    </row>
    <row r="21" spans="1:18" ht="62.25" customHeight="1" thickBot="1" x14ac:dyDescent="0.3">
      <c r="A21" s="193" t="s">
        <v>239</v>
      </c>
      <c r="B21" s="87" t="s">
        <v>16</v>
      </c>
      <c r="C21" s="194">
        <v>4.5999999999999996</v>
      </c>
      <c r="D21" s="195">
        <v>3</v>
      </c>
      <c r="E21" s="194">
        <v>3</v>
      </c>
      <c r="F21" s="194">
        <v>3</v>
      </c>
      <c r="G21" s="194">
        <v>3</v>
      </c>
      <c r="H21" s="194">
        <v>3</v>
      </c>
      <c r="I21" s="194"/>
    </row>
    <row r="22" spans="1:18" ht="47.4" customHeight="1" thickBot="1" x14ac:dyDescent="0.3">
      <c r="A22" s="193" t="s">
        <v>23</v>
      </c>
      <c r="B22" s="87" t="s">
        <v>16</v>
      </c>
      <c r="C22" s="194">
        <v>106.9</v>
      </c>
      <c r="D22" s="195">
        <v>95.8</v>
      </c>
      <c r="E22" s="194">
        <f>E19-E21</f>
        <v>88.8</v>
      </c>
      <c r="F22" s="194">
        <f>F19-F21</f>
        <v>91.9</v>
      </c>
      <c r="G22" s="194">
        <f t="shared" ref="G22:H22" si="10">G19-G21</f>
        <v>91.9</v>
      </c>
      <c r="H22" s="194">
        <f t="shared" si="10"/>
        <v>91.9</v>
      </c>
      <c r="I22" s="194"/>
    </row>
    <row r="23" spans="1:18" ht="60" customHeight="1" thickBot="1" x14ac:dyDescent="0.3">
      <c r="A23" s="193" t="s">
        <v>198</v>
      </c>
      <c r="B23" s="87" t="s">
        <v>16</v>
      </c>
      <c r="C23" s="194">
        <v>111.5</v>
      </c>
      <c r="D23" s="195">
        <v>98.8</v>
      </c>
      <c r="E23" s="194">
        <f>E19</f>
        <v>91.8</v>
      </c>
      <c r="F23" s="194">
        <v>95</v>
      </c>
      <c r="G23" s="194">
        <v>95</v>
      </c>
      <c r="H23" s="194">
        <v>95</v>
      </c>
      <c r="I23" s="194"/>
      <c r="J23" s="82">
        <f>C23-C25-C26</f>
        <v>0</v>
      </c>
      <c r="K23" s="82">
        <f>D23-D25-D26</f>
        <v>0</v>
      </c>
      <c r="L23" s="82">
        <f>E23-E25-E26</f>
        <v>0</v>
      </c>
      <c r="M23" s="82">
        <f t="shared" ref="M23:N23" si="11">G23-G25-G26</f>
        <v>0</v>
      </c>
      <c r="N23" s="82">
        <f t="shared" si="11"/>
        <v>0</v>
      </c>
    </row>
    <row r="24" spans="1:18" ht="16.2" customHeight="1" thickBot="1" x14ac:dyDescent="0.3">
      <c r="A24" s="193" t="s">
        <v>3</v>
      </c>
      <c r="B24" s="196"/>
      <c r="C24" s="194"/>
      <c r="D24" s="195"/>
      <c r="E24" s="194"/>
      <c r="F24" s="194"/>
      <c r="G24" s="194"/>
      <c r="H24" s="194"/>
      <c r="I24" s="194"/>
      <c r="J24" s="82">
        <f>C23-C19</f>
        <v>0</v>
      </c>
      <c r="K24" s="82">
        <f>D23-D19</f>
        <v>0</v>
      </c>
      <c r="L24" s="82">
        <f>E23-E19</f>
        <v>0</v>
      </c>
      <c r="M24" s="82">
        <f t="shared" ref="M24:N24" si="12">G23-G19</f>
        <v>9.9999999999994316E-2</v>
      </c>
      <c r="N24" s="82">
        <f t="shared" si="12"/>
        <v>9.9999999999994316E-2</v>
      </c>
    </row>
    <row r="25" spans="1:18" ht="75" customHeight="1" thickBot="1" x14ac:dyDescent="0.3">
      <c r="A25" s="193" t="s">
        <v>240</v>
      </c>
      <c r="B25" s="87" t="s">
        <v>16</v>
      </c>
      <c r="C25" s="194">
        <v>4.5999999999999996</v>
      </c>
      <c r="D25" s="195">
        <v>3</v>
      </c>
      <c r="E25" s="194">
        <v>3</v>
      </c>
      <c r="F25" s="194">
        <v>3</v>
      </c>
      <c r="G25" s="194">
        <v>3</v>
      </c>
      <c r="H25" s="194">
        <v>3</v>
      </c>
      <c r="I25" s="194"/>
    </row>
    <row r="26" spans="1:18" ht="59.4" customHeight="1" thickBot="1" x14ac:dyDescent="0.3">
      <c r="A26" s="193" t="s">
        <v>199</v>
      </c>
      <c r="B26" s="87" t="s">
        <v>16</v>
      </c>
      <c r="C26" s="194">
        <v>106.9</v>
      </c>
      <c r="D26" s="195">
        <v>95.8</v>
      </c>
      <c r="E26" s="194">
        <f>E23-E25</f>
        <v>88.8</v>
      </c>
      <c r="F26" s="194">
        <f>F23-F25</f>
        <v>92</v>
      </c>
      <c r="G26" s="194">
        <f t="shared" ref="G26:H26" si="13">G23-G25</f>
        <v>92</v>
      </c>
      <c r="H26" s="194">
        <f t="shared" si="13"/>
        <v>92</v>
      </c>
      <c r="I26" s="194"/>
    </row>
    <row r="27" spans="1:18" ht="73.95" customHeight="1" thickBot="1" x14ac:dyDescent="0.3">
      <c r="A27" s="193" t="s">
        <v>200</v>
      </c>
      <c r="B27" s="87" t="s">
        <v>16</v>
      </c>
      <c r="C27" s="194">
        <v>34.799999999999997</v>
      </c>
      <c r="D27" s="195">
        <f>D29+D30+D31+D32</f>
        <v>34.9</v>
      </c>
      <c r="E27" s="194">
        <f t="shared" ref="E27:H27" si="14">E29+E30+E31+E32</f>
        <v>36.5</v>
      </c>
      <c r="F27" s="194">
        <f t="shared" si="14"/>
        <v>37.700000000000003</v>
      </c>
      <c r="G27" s="194">
        <f t="shared" si="14"/>
        <v>37.700000000000003</v>
      </c>
      <c r="H27" s="194">
        <f t="shared" si="14"/>
        <v>37.700000000000003</v>
      </c>
      <c r="I27" s="194"/>
      <c r="J27" s="82">
        <f>C27-C29-C30-C31-C32</f>
        <v>0</v>
      </c>
      <c r="K27" s="82">
        <f>D27-D29-D30-D31-D32</f>
        <v>0</v>
      </c>
      <c r="L27" s="82">
        <f>E27-E29-E30-E31-E32</f>
        <v>0</v>
      </c>
      <c r="M27" s="82">
        <f t="shared" ref="M27:N27" si="15">G27-G29-G30-G31-G32</f>
        <v>0</v>
      </c>
      <c r="N27" s="82">
        <f t="shared" si="15"/>
        <v>0</v>
      </c>
    </row>
    <row r="28" spans="1:18" ht="30.75" customHeight="1" thickBot="1" x14ac:dyDescent="0.3">
      <c r="A28" s="193" t="s">
        <v>21</v>
      </c>
      <c r="B28" s="196"/>
      <c r="C28" s="194"/>
      <c r="D28" s="195"/>
      <c r="E28" s="197"/>
      <c r="F28" s="194"/>
      <c r="G28" s="194"/>
      <c r="H28" s="194"/>
      <c r="I28" s="194"/>
    </row>
    <row r="29" spans="1:18" ht="17.25" customHeight="1" thickBot="1" x14ac:dyDescent="0.3">
      <c r="A29" s="193" t="s">
        <v>424</v>
      </c>
      <c r="B29" s="87" t="s">
        <v>16</v>
      </c>
      <c r="C29" s="194">
        <v>13.1</v>
      </c>
      <c r="D29" s="195">
        <v>12.7</v>
      </c>
      <c r="E29" s="194">
        <v>13.3</v>
      </c>
      <c r="F29" s="194">
        <v>14.5</v>
      </c>
      <c r="G29" s="194">
        <v>14.5</v>
      </c>
      <c r="H29" s="194">
        <v>14.5</v>
      </c>
      <c r="I29" s="194"/>
    </row>
    <row r="30" spans="1:18" ht="17.25" customHeight="1" thickBot="1" x14ac:dyDescent="0.3">
      <c r="A30" s="193" t="s">
        <v>426</v>
      </c>
      <c r="B30" s="87" t="s">
        <v>16</v>
      </c>
      <c r="C30" s="194">
        <v>8.6999999999999993</v>
      </c>
      <c r="D30" s="195">
        <v>8</v>
      </c>
      <c r="E30" s="194">
        <v>8</v>
      </c>
      <c r="F30" s="194">
        <v>8</v>
      </c>
      <c r="G30" s="194">
        <v>8</v>
      </c>
      <c r="H30" s="194">
        <v>8</v>
      </c>
      <c r="I30" s="194"/>
    </row>
    <row r="31" spans="1:18" ht="17.25" customHeight="1" thickBot="1" x14ac:dyDescent="0.3">
      <c r="A31" s="193" t="s">
        <v>429</v>
      </c>
      <c r="B31" s="87" t="s">
        <v>16</v>
      </c>
      <c r="C31" s="194">
        <v>0</v>
      </c>
      <c r="D31" s="195">
        <v>0.2</v>
      </c>
      <c r="E31" s="194">
        <v>0.2</v>
      </c>
      <c r="F31" s="194">
        <v>0.2</v>
      </c>
      <c r="G31" s="194">
        <v>0.2</v>
      </c>
      <c r="H31" s="194">
        <v>0.2</v>
      </c>
      <c r="I31" s="194"/>
    </row>
    <row r="32" spans="1:18" ht="27.6" customHeight="1" thickBot="1" x14ac:dyDescent="0.3">
      <c r="A32" s="193" t="s">
        <v>430</v>
      </c>
      <c r="B32" s="87" t="s">
        <v>16</v>
      </c>
      <c r="C32" s="194">
        <v>13</v>
      </c>
      <c r="D32" s="195">
        <v>14</v>
      </c>
      <c r="E32" s="194">
        <v>15</v>
      </c>
      <c r="F32" s="194">
        <v>15</v>
      </c>
      <c r="G32" s="194">
        <v>15</v>
      </c>
      <c r="H32" s="194">
        <v>15</v>
      </c>
      <c r="I32" s="194"/>
    </row>
    <row r="33" spans="1:13" ht="90.75" customHeight="1" thickBot="1" x14ac:dyDescent="0.3">
      <c r="A33" s="193" t="s">
        <v>33</v>
      </c>
      <c r="B33" s="87" t="s">
        <v>18</v>
      </c>
      <c r="C33" s="194">
        <v>52200</v>
      </c>
      <c r="D33" s="195">
        <v>55500</v>
      </c>
      <c r="E33" s="194">
        <v>70300</v>
      </c>
      <c r="F33" s="194">
        <v>84075</v>
      </c>
      <c r="G33" s="194">
        <v>87400</v>
      </c>
      <c r="H33" s="194">
        <v>93670</v>
      </c>
      <c r="I33" s="194"/>
      <c r="J33" s="79"/>
    </row>
    <row r="34" spans="1:13" ht="50.4" customHeight="1" thickBot="1" x14ac:dyDescent="0.3">
      <c r="A34" s="193" t="s">
        <v>201</v>
      </c>
      <c r="B34" s="87" t="s">
        <v>18</v>
      </c>
      <c r="C34" s="198" t="s">
        <v>112</v>
      </c>
      <c r="D34" s="199" t="s">
        <v>112</v>
      </c>
      <c r="E34" s="198" t="s">
        <v>112</v>
      </c>
      <c r="F34" s="198" t="s">
        <v>112</v>
      </c>
      <c r="G34" s="198" t="s">
        <v>112</v>
      </c>
      <c r="H34" s="198" t="s">
        <v>112</v>
      </c>
      <c r="I34" s="194"/>
    </row>
    <row r="35" spans="1:13" ht="57.6" customHeight="1" thickBot="1" x14ac:dyDescent="0.3">
      <c r="A35" s="193" t="s">
        <v>431</v>
      </c>
      <c r="B35" s="196"/>
      <c r="C35" s="194"/>
      <c r="D35" s="195"/>
      <c r="E35" s="194"/>
      <c r="F35" s="194"/>
      <c r="G35" s="194"/>
      <c r="H35" s="194"/>
      <c r="I35" s="194"/>
    </row>
    <row r="36" spans="1:13" ht="17.25" customHeight="1" thickBot="1" x14ac:dyDescent="0.3">
      <c r="A36" s="193" t="s">
        <v>424</v>
      </c>
      <c r="B36" s="87" t="s">
        <v>18</v>
      </c>
      <c r="C36" s="194">
        <v>50719.96</v>
      </c>
      <c r="D36" s="195">
        <v>55500</v>
      </c>
      <c r="E36" s="194">
        <v>70305.17</v>
      </c>
      <c r="F36" s="194">
        <v>84075</v>
      </c>
      <c r="G36" s="194">
        <v>87400</v>
      </c>
      <c r="H36" s="194">
        <v>93670</v>
      </c>
      <c r="I36" s="209"/>
      <c r="J36" s="109">
        <f>F15/F29/12*1000</f>
        <v>84075</v>
      </c>
      <c r="K36" s="109">
        <f>G15/G29/12*1000</f>
        <v>87399.999999999985</v>
      </c>
      <c r="L36" s="109">
        <f t="shared" ref="K36:L39" si="16">H15/H29/12*1000</f>
        <v>93670</v>
      </c>
      <c r="M36" s="110"/>
    </row>
    <row r="37" spans="1:13" ht="17.25" customHeight="1" thickBot="1" x14ac:dyDescent="0.3">
      <c r="A37" s="193" t="s">
        <v>426</v>
      </c>
      <c r="B37" s="87" t="s">
        <v>18</v>
      </c>
      <c r="C37" s="194">
        <v>51218.53</v>
      </c>
      <c r="D37" s="195">
        <v>55500</v>
      </c>
      <c r="E37" s="194">
        <v>70300.7</v>
      </c>
      <c r="F37" s="194">
        <v>84075</v>
      </c>
      <c r="G37" s="194">
        <v>87400</v>
      </c>
      <c r="H37" s="194">
        <v>93670</v>
      </c>
      <c r="I37" s="210"/>
      <c r="J37" s="111">
        <f t="shared" ref="J37:J39" si="17">F16/F30/12*1000</f>
        <v>84075</v>
      </c>
      <c r="K37" s="111">
        <f t="shared" si="16"/>
        <v>87399.999999999985</v>
      </c>
      <c r="L37" s="111">
        <f t="shared" si="16"/>
        <v>93670</v>
      </c>
      <c r="M37" s="112"/>
    </row>
    <row r="38" spans="1:13" ht="17.25" customHeight="1" thickBot="1" x14ac:dyDescent="0.3">
      <c r="A38" s="193" t="s">
        <v>429</v>
      </c>
      <c r="B38" s="87" t="s">
        <v>18</v>
      </c>
      <c r="C38" s="194">
        <v>0</v>
      </c>
      <c r="D38" s="195">
        <f>55500*2</f>
        <v>111000</v>
      </c>
      <c r="E38" s="194">
        <v>118410.24000000001</v>
      </c>
      <c r="F38" s="194">
        <f>F33*2</f>
        <v>168150</v>
      </c>
      <c r="G38" s="194">
        <f t="shared" ref="G38:H38" si="18">G33*2</f>
        <v>174800</v>
      </c>
      <c r="H38" s="194">
        <f t="shared" si="18"/>
        <v>187340</v>
      </c>
      <c r="I38" s="210"/>
      <c r="J38" s="111">
        <f t="shared" si="17"/>
        <v>168150</v>
      </c>
      <c r="K38" s="111">
        <f t="shared" si="16"/>
        <v>174799.99999999997</v>
      </c>
      <c r="L38" s="111">
        <f t="shared" si="16"/>
        <v>187340</v>
      </c>
      <c r="M38" s="112"/>
    </row>
    <row r="39" spans="1:13" ht="27.6" customHeight="1" thickBot="1" x14ac:dyDescent="0.3">
      <c r="A39" s="193" t="s">
        <v>430</v>
      </c>
      <c r="B39" s="87" t="s">
        <v>18</v>
      </c>
      <c r="C39" s="194">
        <v>50637.24</v>
      </c>
      <c r="D39" s="195">
        <v>55500</v>
      </c>
      <c r="E39" s="194">
        <v>64699.839999999997</v>
      </c>
      <c r="F39" s="194">
        <v>72633.39</v>
      </c>
      <c r="G39" s="194">
        <v>72633.39</v>
      </c>
      <c r="H39" s="194">
        <v>72633.39</v>
      </c>
      <c r="I39" s="210"/>
      <c r="J39" s="113">
        <f t="shared" si="17"/>
        <v>72633.389999999985</v>
      </c>
      <c r="K39" s="113">
        <f t="shared" si="16"/>
        <v>72633.389999999985</v>
      </c>
      <c r="L39" s="113">
        <f t="shared" si="16"/>
        <v>72633.389999999985</v>
      </c>
      <c r="M39" s="114"/>
    </row>
    <row r="40" spans="1:13" ht="84.6" customHeight="1" thickBot="1" x14ac:dyDescent="0.3">
      <c r="A40" s="193" t="s">
        <v>24</v>
      </c>
      <c r="B40" s="87" t="s">
        <v>19</v>
      </c>
      <c r="C40" s="200">
        <f>(C9/C21/12)/(C6/C23/12)*100</f>
        <v>240.0683467080587</v>
      </c>
      <c r="D40" s="201">
        <f>(D9/D21/12)/(D6/D23/12)*100</f>
        <v>226.2444419425147</v>
      </c>
      <c r="E40" s="200">
        <f t="shared" ref="E40:H40" si="19">(E9/E21/12)/(E6/E23/12)*100</f>
        <v>205.22853586068646</v>
      </c>
      <c r="F40" s="200">
        <f t="shared" si="19"/>
        <v>202.89062900129395</v>
      </c>
      <c r="G40" s="200">
        <f t="shared" si="19"/>
        <v>189.50128732829987</v>
      </c>
      <c r="H40" s="200">
        <f t="shared" si="19"/>
        <v>185.84143149543465</v>
      </c>
      <c r="I40" s="200"/>
    </row>
    <row r="41" spans="1:13" ht="75" customHeight="1" thickBot="1" x14ac:dyDescent="0.3">
      <c r="A41" s="193" t="s">
        <v>202</v>
      </c>
      <c r="B41" s="87" t="s">
        <v>19</v>
      </c>
      <c r="C41" s="88" t="s">
        <v>112</v>
      </c>
      <c r="D41" s="87" t="s">
        <v>112</v>
      </c>
      <c r="E41" s="88" t="s">
        <v>112</v>
      </c>
      <c r="F41" s="88" t="s">
        <v>112</v>
      </c>
      <c r="G41" s="88" t="s">
        <v>112</v>
      </c>
      <c r="H41" s="88" t="s">
        <v>112</v>
      </c>
      <c r="I41" s="115"/>
    </row>
    <row r="42" spans="1:13" ht="56.25" customHeight="1" thickBot="1" x14ac:dyDescent="0.3">
      <c r="A42" s="193" t="s">
        <v>431</v>
      </c>
      <c r="B42" s="196"/>
      <c r="C42" s="115"/>
      <c r="D42" s="196"/>
      <c r="E42" s="115"/>
      <c r="F42" s="115"/>
      <c r="G42" s="115"/>
      <c r="H42" s="115"/>
      <c r="I42" s="115"/>
    </row>
    <row r="43" spans="1:13" ht="17.25" customHeight="1" thickBot="1" x14ac:dyDescent="0.3">
      <c r="A43" s="193" t="s">
        <v>424</v>
      </c>
      <c r="B43" s="87" t="s">
        <v>19</v>
      </c>
      <c r="C43" s="203">
        <f>(C36/C33)*100</f>
        <v>97.164674329501906</v>
      </c>
      <c r="D43" s="195">
        <f>(D36/D33)*100</f>
        <v>100</v>
      </c>
      <c r="E43" s="194">
        <f t="shared" ref="E43:H43" si="20">(E36/E33)*100</f>
        <v>100.00735419630156</v>
      </c>
      <c r="F43" s="194">
        <f t="shared" si="20"/>
        <v>100</v>
      </c>
      <c r="G43" s="194">
        <f t="shared" si="20"/>
        <v>100</v>
      </c>
      <c r="H43" s="194">
        <f t="shared" si="20"/>
        <v>100</v>
      </c>
      <c r="I43" s="194"/>
    </row>
    <row r="44" spans="1:13" ht="17.25" customHeight="1" thickBot="1" x14ac:dyDescent="0.3">
      <c r="A44" s="193" t="s">
        <v>426</v>
      </c>
      <c r="B44" s="87" t="s">
        <v>19</v>
      </c>
      <c r="C44" s="203">
        <f>C37/C33*100</f>
        <v>98.119789272030644</v>
      </c>
      <c r="D44" s="195">
        <f>D37/D33*100</f>
        <v>100</v>
      </c>
      <c r="E44" s="194">
        <f t="shared" ref="E44:H44" si="21">E37/E33*100</f>
        <v>100.00099573257468</v>
      </c>
      <c r="F44" s="194">
        <f t="shared" si="21"/>
        <v>100</v>
      </c>
      <c r="G44" s="194">
        <f t="shared" si="21"/>
        <v>100</v>
      </c>
      <c r="H44" s="194">
        <f t="shared" si="21"/>
        <v>100</v>
      </c>
      <c r="I44" s="194"/>
    </row>
    <row r="45" spans="1:13" ht="17.25" customHeight="1" thickBot="1" x14ac:dyDescent="0.3">
      <c r="A45" s="193" t="s">
        <v>429</v>
      </c>
      <c r="B45" s="87" t="s">
        <v>19</v>
      </c>
      <c r="C45" s="203">
        <f>C38/C33*100</f>
        <v>0</v>
      </c>
      <c r="D45" s="195">
        <f>D38/D33*100</f>
        <v>200</v>
      </c>
      <c r="E45" s="194">
        <f t="shared" ref="E45:H45" si="22">E38/E33*100</f>
        <v>168.43561877667142</v>
      </c>
      <c r="F45" s="194">
        <f t="shared" si="22"/>
        <v>200</v>
      </c>
      <c r="G45" s="194">
        <f t="shared" si="22"/>
        <v>200</v>
      </c>
      <c r="H45" s="194">
        <f t="shared" si="22"/>
        <v>200</v>
      </c>
      <c r="I45" s="194"/>
    </row>
    <row r="46" spans="1:13" ht="28.2" thickBot="1" x14ac:dyDescent="0.3">
      <c r="A46" s="193" t="s">
        <v>430</v>
      </c>
      <c r="B46" s="87" t="s">
        <v>19</v>
      </c>
      <c r="C46" s="203">
        <f>(C39/C33)*100</f>
        <v>97.006206896551717</v>
      </c>
      <c r="D46" s="195">
        <f t="shared" ref="D46" si="23">(D39/D36)*100</f>
        <v>100</v>
      </c>
      <c r="E46" s="194">
        <f>(E39/E33)*100</f>
        <v>92.033911806543372</v>
      </c>
      <c r="F46" s="194">
        <f>(F39/F33)*100</f>
        <v>86.39118644067797</v>
      </c>
      <c r="G46" s="194">
        <f>(G39/G36)*100</f>
        <v>83.104565217391297</v>
      </c>
      <c r="H46" s="194">
        <f>(H39/H36)*100</f>
        <v>77.541784989858016</v>
      </c>
      <c r="I46" s="194"/>
    </row>
    <row r="47" spans="1:13" ht="41.4" customHeight="1" thickBot="1" x14ac:dyDescent="0.3">
      <c r="A47" s="192" t="s">
        <v>26</v>
      </c>
      <c r="B47" s="87" t="s">
        <v>112</v>
      </c>
      <c r="C47" s="88" t="s">
        <v>112</v>
      </c>
      <c r="D47" s="87" t="s">
        <v>112</v>
      </c>
      <c r="E47" s="204"/>
      <c r="F47" s="88"/>
      <c r="G47" s="88" t="s">
        <v>112</v>
      </c>
      <c r="H47" s="88" t="s">
        <v>112</v>
      </c>
      <c r="I47" s="196"/>
    </row>
    <row r="48" spans="1:13" ht="55.8" thickBot="1" x14ac:dyDescent="0.3">
      <c r="A48" s="193" t="s">
        <v>203</v>
      </c>
      <c r="B48" s="87" t="s">
        <v>204</v>
      </c>
      <c r="C48" s="200">
        <f>2444.5+2183.5</f>
        <v>4628</v>
      </c>
      <c r="D48" s="196">
        <v>3332.5</v>
      </c>
      <c r="E48" s="196">
        <f t="shared" ref="E48" si="24">2203.5+1149+301.39</f>
        <v>3653.89</v>
      </c>
      <c r="F48" s="115">
        <f>2203.5+1149+266.4</f>
        <v>3618.9</v>
      </c>
      <c r="G48" s="115">
        <f>2203.5+1149+266.4</f>
        <v>3618.9</v>
      </c>
      <c r="H48" s="115">
        <f>2203.5+1149+266.4</f>
        <v>3618.9</v>
      </c>
      <c r="I48" s="196"/>
    </row>
    <row r="49" spans="1:9" ht="20.25" customHeight="1" thickBot="1" x14ac:dyDescent="0.3">
      <c r="A49" s="193" t="s">
        <v>3</v>
      </c>
      <c r="B49" s="196"/>
      <c r="C49" s="115"/>
      <c r="D49" s="196"/>
      <c r="E49" s="196"/>
      <c r="F49" s="196"/>
      <c r="G49" s="202"/>
      <c r="H49" s="202"/>
      <c r="I49" s="196"/>
    </row>
    <row r="50" spans="1:9" ht="50.25" customHeight="1" thickBot="1" x14ac:dyDescent="0.3">
      <c r="A50" s="193" t="s">
        <v>27</v>
      </c>
      <c r="B50" s="87" t="s">
        <v>204</v>
      </c>
      <c r="C50" s="115"/>
      <c r="D50" s="196"/>
      <c r="E50" s="196"/>
      <c r="F50" s="196"/>
      <c r="G50" s="202"/>
      <c r="H50" s="202"/>
      <c r="I50" s="196"/>
    </row>
    <row r="51" spans="1:9" ht="75.75" customHeight="1" thickBot="1" x14ac:dyDescent="0.3">
      <c r="A51" s="193" t="s">
        <v>205</v>
      </c>
      <c r="B51" s="87" t="s">
        <v>204</v>
      </c>
      <c r="C51" s="115"/>
      <c r="D51" s="196"/>
      <c r="E51" s="196"/>
      <c r="F51" s="196"/>
      <c r="G51" s="202"/>
      <c r="H51" s="202"/>
      <c r="I51" s="196"/>
    </row>
    <row r="52" spans="1:9" ht="33.75" customHeight="1" thickBot="1" x14ac:dyDescent="0.3">
      <c r="A52" s="193" t="s">
        <v>28</v>
      </c>
      <c r="B52" s="87" t="s">
        <v>204</v>
      </c>
      <c r="C52" s="115"/>
      <c r="D52" s="196"/>
      <c r="E52" s="196"/>
      <c r="F52" s="196"/>
      <c r="G52" s="202"/>
      <c r="H52" s="202"/>
      <c r="I52" s="196"/>
    </row>
    <row r="53" spans="1:9" ht="42" thickBot="1" x14ac:dyDescent="0.3">
      <c r="A53" s="193" t="s">
        <v>29</v>
      </c>
      <c r="B53" s="87" t="s">
        <v>17</v>
      </c>
      <c r="C53" s="115"/>
      <c r="D53" s="196"/>
      <c r="E53" s="77">
        <f>'[2]Раздел 1'!F156/1000</f>
        <v>6596.5947099999994</v>
      </c>
      <c r="F53" s="77">
        <f>'Раздел 1'!G156/1000</f>
        <v>15424.018860000002</v>
      </c>
      <c r="G53" s="77">
        <f>'Раздел 1'!H156/1000</f>
        <v>210.2</v>
      </c>
      <c r="H53" s="77">
        <f>'Раздел 1'!I156/1000</f>
        <v>204.42660000000001</v>
      </c>
      <c r="I53" s="196"/>
    </row>
    <row r="54" spans="1:9" ht="15" customHeight="1" thickBot="1" x14ac:dyDescent="0.3">
      <c r="A54" s="193" t="s">
        <v>3</v>
      </c>
      <c r="B54" s="196"/>
      <c r="C54" s="115"/>
      <c r="D54" s="196"/>
      <c r="E54" s="196"/>
      <c r="F54" s="196"/>
      <c r="G54" s="202"/>
      <c r="H54" s="202"/>
      <c r="I54" s="196"/>
    </row>
    <row r="55" spans="1:9" ht="76.5" customHeight="1" thickBot="1" x14ac:dyDescent="0.3">
      <c r="A55" s="193" t="s">
        <v>30</v>
      </c>
      <c r="B55" s="87" t="s">
        <v>17</v>
      </c>
      <c r="C55" s="77">
        <f>'[2]Раздел 1'!D156/1000</f>
        <v>2411.6677100000002</v>
      </c>
      <c r="D55" s="77">
        <f>'[2]Раздел 1'!E156/1000</f>
        <v>3310.5195599999997</v>
      </c>
      <c r="E55" s="77"/>
      <c r="F55" s="77"/>
      <c r="G55" s="132"/>
      <c r="H55" s="132"/>
      <c r="I55" s="196"/>
    </row>
    <row r="56" spans="1:9" ht="86.4" customHeight="1" thickBot="1" x14ac:dyDescent="0.3">
      <c r="A56" s="193" t="s">
        <v>206</v>
      </c>
      <c r="B56" s="87" t="s">
        <v>31</v>
      </c>
      <c r="C56" s="115">
        <v>0.1</v>
      </c>
      <c r="D56" s="196">
        <v>0.1</v>
      </c>
      <c r="E56" s="201">
        <f>21257911.12/33299284.95</f>
        <v>0.63838941742801603</v>
      </c>
      <c r="F56" s="201">
        <f>(24426737.91+1058385.11)/(36566109.3+620000)</f>
        <v>0.68533986210813402</v>
      </c>
      <c r="G56" s="115">
        <v>0.1</v>
      </c>
      <c r="H56" s="115">
        <v>0.1</v>
      </c>
      <c r="I56" s="196"/>
    </row>
    <row r="57" spans="1:9" ht="99" customHeight="1" thickBot="1" x14ac:dyDescent="0.3">
      <c r="A57" s="193" t="s">
        <v>207</v>
      </c>
      <c r="B57" s="87" t="s">
        <v>31</v>
      </c>
      <c r="C57" s="115">
        <v>2.9000000000000001E-2</v>
      </c>
      <c r="D57" s="196">
        <v>0.2</v>
      </c>
      <c r="E57" s="205">
        <f>2783603.86/33299284.95</f>
        <v>8.3593502508527581E-2</v>
      </c>
      <c r="F57" s="205">
        <f>650597/(36566109.3+620000)</f>
        <v>1.7495699664390543E-2</v>
      </c>
      <c r="G57" s="211">
        <v>0</v>
      </c>
      <c r="H57" s="211">
        <v>0</v>
      </c>
      <c r="I57" s="196"/>
    </row>
    <row r="58" spans="1:9" ht="126.75" customHeight="1" thickBot="1" x14ac:dyDescent="0.3">
      <c r="A58" s="193" t="s">
        <v>32</v>
      </c>
      <c r="B58" s="87" t="s">
        <v>31</v>
      </c>
      <c r="C58" s="115">
        <v>0</v>
      </c>
      <c r="D58" s="196">
        <v>0</v>
      </c>
      <c r="E58" s="196">
        <v>0</v>
      </c>
      <c r="F58" s="196">
        <v>0</v>
      </c>
      <c r="G58" s="115">
        <v>0</v>
      </c>
      <c r="H58" s="115">
        <v>0</v>
      </c>
      <c r="I58" s="196"/>
    </row>
    <row r="59" spans="1:9" ht="14.4" thickBot="1" x14ac:dyDescent="0.3">
      <c r="A59" s="193" t="s">
        <v>3</v>
      </c>
      <c r="B59" s="193" t="s">
        <v>31</v>
      </c>
      <c r="C59" s="88"/>
      <c r="D59" s="196"/>
      <c r="E59" s="196"/>
      <c r="F59" s="196"/>
      <c r="G59" s="202"/>
      <c r="H59" s="202"/>
      <c r="I59" s="196"/>
    </row>
    <row r="60" spans="1:9" ht="14.4" thickBot="1" x14ac:dyDescent="0.3">
      <c r="A60" s="193" t="s">
        <v>43</v>
      </c>
      <c r="B60" s="193" t="s">
        <v>31</v>
      </c>
      <c r="C60" s="115"/>
      <c r="D60" s="196"/>
      <c r="E60" s="196"/>
      <c r="F60" s="196"/>
      <c r="G60" s="202"/>
      <c r="H60" s="202"/>
      <c r="I60" s="196"/>
    </row>
    <row r="61" spans="1:9" ht="28.2" thickBot="1" x14ac:dyDescent="0.3">
      <c r="A61" s="193" t="s">
        <v>214</v>
      </c>
      <c r="B61" s="193" t="s">
        <v>31</v>
      </c>
      <c r="C61" s="88"/>
      <c r="D61" s="196"/>
      <c r="E61" s="196"/>
      <c r="F61" s="196"/>
      <c r="G61" s="202"/>
      <c r="H61" s="202"/>
      <c r="I61" s="196"/>
    </row>
  </sheetData>
  <mergeCells count="1">
    <mergeCell ref="A1:I1"/>
  </mergeCells>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view="pageBreakPreview" zoomScale="96" zoomScaleNormal="100" zoomScaleSheetLayoutView="96" workbookViewId="0">
      <selection activeCell="F14" sqref="F14"/>
    </sheetView>
  </sheetViews>
  <sheetFormatPr defaultColWidth="9.109375" defaultRowHeight="13.8" x14ac:dyDescent="0.25"/>
  <cols>
    <col min="1" max="1" width="29.109375" style="62" customWidth="1"/>
    <col min="2" max="2" width="11.88671875" style="62" customWidth="1"/>
    <col min="3" max="3" width="21.88671875" style="62" customWidth="1"/>
    <col min="4" max="5" width="17.44140625" style="62" customWidth="1"/>
    <col min="6" max="16384" width="9.109375" style="62"/>
  </cols>
  <sheetData>
    <row r="1" spans="1:6" ht="45" customHeight="1" x14ac:dyDescent="0.25">
      <c r="A1" s="444" t="s">
        <v>1096</v>
      </c>
      <c r="B1" s="444"/>
      <c r="C1" s="444"/>
      <c r="D1" s="444"/>
    </row>
    <row r="3" spans="1:6" ht="83.25" customHeight="1" x14ac:dyDescent="0.25">
      <c r="A3" s="66" t="s">
        <v>35</v>
      </c>
      <c r="B3" s="66" t="s">
        <v>36</v>
      </c>
      <c r="C3" s="66" t="s">
        <v>38</v>
      </c>
      <c r="D3" s="66" t="s">
        <v>208</v>
      </c>
    </row>
    <row r="4" spans="1:6" ht="64.5" customHeight="1" x14ac:dyDescent="0.25">
      <c r="A4" s="67" t="s">
        <v>41</v>
      </c>
      <c r="B4" s="67"/>
      <c r="C4" s="67"/>
      <c r="D4" s="68"/>
      <c r="E4" s="63"/>
      <c r="F4" s="63"/>
    </row>
    <row r="5" spans="1:6" ht="32.25" customHeight="1" x14ac:dyDescent="0.25">
      <c r="A5" s="69" t="s">
        <v>432</v>
      </c>
      <c r="B5" s="70" t="s">
        <v>1002</v>
      </c>
      <c r="C5" s="67" t="s">
        <v>433</v>
      </c>
      <c r="D5" s="68">
        <v>26.67</v>
      </c>
      <c r="E5" s="64">
        <f>' расходов 2024'!CI516</f>
        <v>26672</v>
      </c>
      <c r="F5" s="63"/>
    </row>
    <row r="6" spans="1:6" ht="57.75" customHeight="1" x14ac:dyDescent="0.25">
      <c r="A6" s="67" t="s">
        <v>39</v>
      </c>
      <c r="B6" s="67"/>
      <c r="C6" s="67"/>
      <c r="D6" s="68"/>
      <c r="E6" s="63"/>
      <c r="F6" s="63"/>
    </row>
    <row r="7" spans="1:6" ht="21.75" customHeight="1" x14ac:dyDescent="0.25">
      <c r="A7" s="69" t="s">
        <v>434</v>
      </c>
      <c r="B7" s="67"/>
      <c r="C7" s="67"/>
      <c r="D7" s="68"/>
      <c r="E7" s="63"/>
      <c r="F7" s="63"/>
    </row>
    <row r="8" spans="1:6" ht="42.75" customHeight="1" x14ac:dyDescent="0.25">
      <c r="A8" s="67" t="s">
        <v>435</v>
      </c>
      <c r="B8" s="71" t="s">
        <v>1002</v>
      </c>
      <c r="C8" s="67" t="s">
        <v>436</v>
      </c>
      <c r="D8" s="68">
        <v>4</v>
      </c>
      <c r="E8" s="64">
        <f>' расходов 2024'!CI514</f>
        <v>4000</v>
      </c>
      <c r="F8" s="63"/>
    </row>
    <row r="9" spans="1:6" ht="50.25" customHeight="1" x14ac:dyDescent="0.25">
      <c r="A9" s="67" t="s">
        <v>40</v>
      </c>
      <c r="B9" s="67"/>
      <c r="C9" s="67"/>
      <c r="D9" s="68"/>
      <c r="E9" s="63"/>
      <c r="F9" s="63"/>
    </row>
    <row r="10" spans="1:6" ht="45" customHeight="1" x14ac:dyDescent="0.25">
      <c r="A10" s="69" t="s">
        <v>437</v>
      </c>
      <c r="B10" s="70" t="s">
        <v>1002</v>
      </c>
      <c r="C10" s="67" t="s">
        <v>436</v>
      </c>
      <c r="D10" s="68">
        <v>80.83</v>
      </c>
      <c r="E10" s="64">
        <f>' расходов 2024'!CI515</f>
        <v>80828</v>
      </c>
      <c r="F10" s="63"/>
    </row>
    <row r="11" spans="1:6" ht="51" customHeight="1" x14ac:dyDescent="0.25">
      <c r="A11" s="67" t="s">
        <v>42</v>
      </c>
      <c r="B11" s="67"/>
      <c r="C11" s="67"/>
      <c r="D11" s="68"/>
      <c r="E11" s="63"/>
      <c r="F11" s="63"/>
    </row>
    <row r="12" spans="1:6" x14ac:dyDescent="0.25">
      <c r="A12" s="67" t="s">
        <v>37</v>
      </c>
      <c r="B12" s="70" t="s">
        <v>112</v>
      </c>
      <c r="C12" s="70" t="s">
        <v>112</v>
      </c>
      <c r="D12" s="72">
        <f>D5+D8+D10</f>
        <v>111.5</v>
      </c>
      <c r="E12" s="63"/>
      <c r="F12" s="63"/>
    </row>
    <row r="14" spans="1:6" ht="41.25" customHeight="1" x14ac:dyDescent="0.25">
      <c r="A14" s="73" t="s">
        <v>1098</v>
      </c>
      <c r="B14" s="65"/>
      <c r="C14" s="74" t="s">
        <v>1099</v>
      </c>
    </row>
    <row r="15" spans="1:6" x14ac:dyDescent="0.25">
      <c r="A15" s="75" t="s">
        <v>438</v>
      </c>
      <c r="B15" s="75"/>
      <c r="C15" s="75"/>
    </row>
    <row r="16" spans="1:6" x14ac:dyDescent="0.25">
      <c r="A16" s="65" t="s">
        <v>906</v>
      </c>
      <c r="B16" s="65" t="s">
        <v>907</v>
      </c>
      <c r="C16" s="65"/>
    </row>
    <row r="17" spans="1:4" ht="12" customHeight="1" x14ac:dyDescent="0.25">
      <c r="A17" s="76" t="s">
        <v>439</v>
      </c>
      <c r="B17" s="76"/>
      <c r="C17" s="76"/>
    </row>
    <row r="18" spans="1:4" x14ac:dyDescent="0.25">
      <c r="A18" s="61" t="s">
        <v>1097</v>
      </c>
    </row>
    <row r="20" spans="1:4" x14ac:dyDescent="0.25">
      <c r="A20" s="61" t="s">
        <v>334</v>
      </c>
      <c r="B20" s="62" t="s">
        <v>237</v>
      </c>
    </row>
    <row r="22" spans="1:4" x14ac:dyDescent="0.25">
      <c r="A22" s="62" t="s">
        <v>209</v>
      </c>
    </row>
    <row r="23" spans="1:4" x14ac:dyDescent="0.25">
      <c r="A23" s="62" t="s">
        <v>210</v>
      </c>
    </row>
    <row r="24" spans="1:4" x14ac:dyDescent="0.25">
      <c r="A24" s="62" t="s">
        <v>211</v>
      </c>
    </row>
    <row r="25" spans="1:4" x14ac:dyDescent="0.25">
      <c r="A25" s="62" t="s">
        <v>212</v>
      </c>
    </row>
    <row r="26" spans="1:4" x14ac:dyDescent="0.25">
      <c r="A26" s="62" t="s">
        <v>213</v>
      </c>
    </row>
    <row r="28" spans="1:4" ht="43.5" customHeight="1" x14ac:dyDescent="0.25">
      <c r="A28" s="445" t="s">
        <v>338</v>
      </c>
      <c r="B28" s="445"/>
      <c r="C28" s="445"/>
      <c r="D28" s="445"/>
    </row>
  </sheetData>
  <mergeCells count="2">
    <mergeCell ref="A1:D1"/>
    <mergeCell ref="A28:D28"/>
  </mergeCells>
  <pageMargins left="0.70866141732283472" right="0.70866141732283472" top="0.74803149606299213" bottom="0.15748031496062992" header="0.31496062992125984" footer="0.11811023622047245"/>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D142"/>
  <sheetViews>
    <sheetView view="pageBreakPreview" zoomScale="90" zoomScaleNormal="85" zoomScaleSheetLayoutView="90" workbookViewId="0">
      <selection activeCell="CD72" sqref="CD72:CS72"/>
    </sheetView>
  </sheetViews>
  <sheetFormatPr defaultColWidth="0.88671875" defaultRowHeight="13.8" x14ac:dyDescent="0.25"/>
  <cols>
    <col min="1" max="46" width="1.109375" style="13" customWidth="1"/>
    <col min="47" max="47" width="5" style="13" customWidth="1"/>
    <col min="48" max="97" width="1.109375" style="13" customWidth="1"/>
    <col min="98" max="99" width="0.88671875" style="13"/>
    <col min="100" max="100" width="28.33203125" style="13" customWidth="1"/>
    <col min="101"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12" customHeight="1" x14ac:dyDescent="0.25"/>
    <row r="2" spans="1:97" s="27" customFormat="1" ht="33.75" customHeight="1" x14ac:dyDescent="0.3">
      <c r="A2" s="525" t="s">
        <v>947</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c r="CI2" s="525"/>
      <c r="CJ2" s="525"/>
      <c r="CK2" s="525"/>
      <c r="CL2" s="525"/>
      <c r="CM2" s="525"/>
      <c r="CN2" s="525"/>
      <c r="CO2" s="525"/>
      <c r="CP2" s="525"/>
      <c r="CQ2" s="525"/>
      <c r="CR2" s="525"/>
      <c r="CS2" s="525"/>
    </row>
    <row r="3" spans="1:97" ht="19.5" customHeight="1" x14ac:dyDescent="0.25"/>
    <row r="4" spans="1:97" ht="15.6" x14ac:dyDescent="0.3">
      <c r="A4" s="347" t="s">
        <v>249</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row>
    <row r="5" spans="1:97" ht="19.5" customHeight="1" x14ac:dyDescent="0.25"/>
    <row r="6" spans="1:97" s="20" customFormat="1" ht="15.75" hidden="1" customHeight="1" x14ac:dyDescent="0.3">
      <c r="A6" s="470" t="s">
        <v>250</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row>
    <row r="7" spans="1:97" ht="6" hidden="1" customHeight="1" x14ac:dyDescent="0.25"/>
    <row r="8" spans="1:97" s="20" customFormat="1" ht="15.75" hidden="1" customHeight="1" x14ac:dyDescent="0.3">
      <c r="A8" s="470" t="s">
        <v>268</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c r="BW8" s="490"/>
      <c r="BX8" s="490"/>
      <c r="BY8" s="490"/>
      <c r="BZ8" s="490"/>
      <c r="CA8" s="490"/>
      <c r="CB8" s="490"/>
      <c r="CC8" s="490"/>
      <c r="CD8" s="490"/>
      <c r="CE8" s="490"/>
      <c r="CF8" s="490"/>
      <c r="CG8" s="490"/>
      <c r="CH8" s="490"/>
      <c r="CI8" s="490"/>
      <c r="CJ8" s="490"/>
      <c r="CK8" s="490"/>
      <c r="CL8" s="490"/>
      <c r="CM8" s="490"/>
      <c r="CN8" s="490"/>
      <c r="CO8" s="490"/>
      <c r="CP8" s="490"/>
      <c r="CQ8" s="490"/>
      <c r="CR8" s="490"/>
      <c r="CS8" s="490"/>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485" t="s">
        <v>263</v>
      </c>
      <c r="B10" s="485"/>
      <c r="C10" s="485"/>
      <c r="D10" s="485"/>
      <c r="E10" s="485"/>
      <c r="F10" s="485" t="s">
        <v>0</v>
      </c>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72" t="s">
        <v>295</v>
      </c>
      <c r="AW10" s="473"/>
      <c r="AX10" s="473"/>
      <c r="AY10" s="473"/>
      <c r="AZ10" s="473"/>
      <c r="BA10" s="473"/>
      <c r="BB10" s="473"/>
      <c r="BC10" s="473"/>
      <c r="BD10" s="473"/>
      <c r="BE10" s="473"/>
      <c r="BF10" s="473"/>
      <c r="BG10" s="473"/>
      <c r="BH10" s="473"/>
      <c r="BI10" s="473"/>
      <c r="BJ10" s="473"/>
      <c r="BK10" s="473"/>
      <c r="BL10" s="474"/>
      <c r="BM10" s="472" t="s">
        <v>243</v>
      </c>
      <c r="BN10" s="473"/>
      <c r="BO10" s="473"/>
      <c r="BP10" s="473"/>
      <c r="BQ10" s="473"/>
      <c r="BR10" s="473"/>
      <c r="BS10" s="473"/>
      <c r="BT10" s="473"/>
      <c r="BU10" s="473"/>
      <c r="BV10" s="473"/>
      <c r="BW10" s="473"/>
      <c r="BX10" s="473"/>
      <c r="BY10" s="473"/>
      <c r="BZ10" s="473"/>
      <c r="CA10" s="473"/>
      <c r="CB10" s="473"/>
      <c r="CC10" s="474"/>
      <c r="CD10" s="472" t="s">
        <v>244</v>
      </c>
      <c r="CE10" s="473"/>
      <c r="CF10" s="473"/>
      <c r="CG10" s="473"/>
      <c r="CH10" s="473"/>
      <c r="CI10" s="473"/>
      <c r="CJ10" s="473"/>
      <c r="CK10" s="473"/>
      <c r="CL10" s="473"/>
      <c r="CM10" s="473"/>
      <c r="CN10" s="473"/>
      <c r="CO10" s="473"/>
      <c r="CP10" s="473"/>
      <c r="CQ10" s="473"/>
      <c r="CR10" s="473"/>
      <c r="CS10" s="474"/>
    </row>
    <row r="11" spans="1:97" s="22" customFormat="1" ht="15" hidden="1" customHeight="1" x14ac:dyDescent="0.3">
      <c r="A11" s="465">
        <v>1</v>
      </c>
      <c r="B11" s="465"/>
      <c r="C11" s="465"/>
      <c r="D11" s="465"/>
      <c r="E11" s="465"/>
      <c r="F11" s="465">
        <v>2</v>
      </c>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v>3</v>
      </c>
      <c r="AW11" s="465"/>
      <c r="AX11" s="465"/>
      <c r="AY11" s="465"/>
      <c r="AZ11" s="465"/>
      <c r="BA11" s="465"/>
      <c r="BB11" s="465"/>
      <c r="BC11" s="465"/>
      <c r="BD11" s="465"/>
      <c r="BE11" s="465"/>
      <c r="BF11" s="465"/>
      <c r="BG11" s="465"/>
      <c r="BH11" s="465"/>
      <c r="BI11" s="465"/>
      <c r="BJ11" s="465"/>
      <c r="BK11" s="465"/>
      <c r="BL11" s="465"/>
      <c r="BM11" s="465">
        <v>4</v>
      </c>
      <c r="BN11" s="465"/>
      <c r="BO11" s="465"/>
      <c r="BP11" s="465"/>
      <c r="BQ11" s="465"/>
      <c r="BR11" s="465"/>
      <c r="BS11" s="465"/>
      <c r="BT11" s="465"/>
      <c r="BU11" s="465"/>
      <c r="BV11" s="465"/>
      <c r="BW11" s="465"/>
      <c r="BX11" s="465"/>
      <c r="BY11" s="465"/>
      <c r="BZ11" s="465"/>
      <c r="CA11" s="465"/>
      <c r="CB11" s="465"/>
      <c r="CC11" s="465"/>
      <c r="CD11" s="465">
        <v>5</v>
      </c>
      <c r="CE11" s="465"/>
      <c r="CF11" s="465"/>
      <c r="CG11" s="465"/>
      <c r="CH11" s="465"/>
      <c r="CI11" s="465"/>
      <c r="CJ11" s="465"/>
      <c r="CK11" s="465"/>
      <c r="CL11" s="465"/>
      <c r="CM11" s="465"/>
      <c r="CN11" s="465"/>
      <c r="CO11" s="465"/>
      <c r="CP11" s="465"/>
      <c r="CQ11" s="465"/>
      <c r="CR11" s="465"/>
      <c r="CS11" s="465"/>
    </row>
    <row r="12" spans="1:97" s="23" customFormat="1" ht="15" hidden="1" customHeight="1" x14ac:dyDescent="0.3">
      <c r="A12" s="453"/>
      <c r="B12" s="454"/>
      <c r="C12" s="454"/>
      <c r="D12" s="454"/>
      <c r="E12" s="455"/>
      <c r="F12" s="446"/>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8"/>
      <c r="AV12" s="460"/>
      <c r="AW12" s="461"/>
      <c r="AX12" s="461"/>
      <c r="AY12" s="461"/>
      <c r="AZ12" s="461"/>
      <c r="BA12" s="461"/>
      <c r="BB12" s="461"/>
      <c r="BC12" s="461"/>
      <c r="BD12" s="461"/>
      <c r="BE12" s="461"/>
      <c r="BF12" s="461"/>
      <c r="BG12" s="461"/>
      <c r="BH12" s="461"/>
      <c r="BI12" s="461"/>
      <c r="BJ12" s="461"/>
      <c r="BK12" s="461"/>
      <c r="BL12" s="462"/>
      <c r="BM12" s="460"/>
      <c r="BN12" s="461"/>
      <c r="BO12" s="461"/>
      <c r="BP12" s="461"/>
      <c r="BQ12" s="461"/>
      <c r="BR12" s="461"/>
      <c r="BS12" s="461"/>
      <c r="BT12" s="461"/>
      <c r="BU12" s="461"/>
      <c r="BV12" s="461"/>
      <c r="BW12" s="461"/>
      <c r="BX12" s="461"/>
      <c r="BY12" s="461"/>
      <c r="BZ12" s="461"/>
      <c r="CA12" s="461"/>
      <c r="CB12" s="461"/>
      <c r="CC12" s="462"/>
      <c r="CD12" s="460"/>
      <c r="CE12" s="461"/>
      <c r="CF12" s="461"/>
      <c r="CG12" s="461"/>
      <c r="CH12" s="461"/>
      <c r="CI12" s="461"/>
      <c r="CJ12" s="461"/>
      <c r="CK12" s="461"/>
      <c r="CL12" s="461"/>
      <c r="CM12" s="461"/>
      <c r="CN12" s="461"/>
      <c r="CO12" s="461"/>
      <c r="CP12" s="461"/>
      <c r="CQ12" s="461"/>
      <c r="CR12" s="461"/>
      <c r="CS12" s="462"/>
    </row>
    <row r="13" spans="1:97" s="23" customFormat="1" ht="15" hidden="1" customHeight="1" x14ac:dyDescent="0.3">
      <c r="A13" s="453"/>
      <c r="B13" s="454"/>
      <c r="C13" s="454"/>
      <c r="D13" s="454"/>
      <c r="E13" s="455"/>
      <c r="F13" s="446"/>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8"/>
      <c r="AV13" s="460"/>
      <c r="AW13" s="461"/>
      <c r="AX13" s="461"/>
      <c r="AY13" s="461"/>
      <c r="AZ13" s="461"/>
      <c r="BA13" s="461"/>
      <c r="BB13" s="461"/>
      <c r="BC13" s="461"/>
      <c r="BD13" s="461"/>
      <c r="BE13" s="461"/>
      <c r="BF13" s="461"/>
      <c r="BG13" s="461"/>
      <c r="BH13" s="461"/>
      <c r="BI13" s="461"/>
      <c r="BJ13" s="461"/>
      <c r="BK13" s="461"/>
      <c r="BL13" s="462"/>
      <c r="BM13" s="460"/>
      <c r="BN13" s="461"/>
      <c r="BO13" s="461"/>
      <c r="BP13" s="461"/>
      <c r="BQ13" s="461"/>
      <c r="BR13" s="461"/>
      <c r="BS13" s="461"/>
      <c r="BT13" s="461"/>
      <c r="BU13" s="461"/>
      <c r="BV13" s="461"/>
      <c r="BW13" s="461"/>
      <c r="BX13" s="461"/>
      <c r="BY13" s="461"/>
      <c r="BZ13" s="461"/>
      <c r="CA13" s="461"/>
      <c r="CB13" s="461"/>
      <c r="CC13" s="462"/>
      <c r="CD13" s="460"/>
      <c r="CE13" s="461"/>
      <c r="CF13" s="461"/>
      <c r="CG13" s="461"/>
      <c r="CH13" s="461"/>
      <c r="CI13" s="461"/>
      <c r="CJ13" s="461"/>
      <c r="CK13" s="461"/>
      <c r="CL13" s="461"/>
      <c r="CM13" s="461"/>
      <c r="CN13" s="461"/>
      <c r="CO13" s="461"/>
      <c r="CP13" s="461"/>
      <c r="CQ13" s="461"/>
      <c r="CR13" s="461"/>
      <c r="CS13" s="462"/>
    </row>
    <row r="14" spans="1:97" s="23" customFormat="1" ht="15" hidden="1" customHeight="1" x14ac:dyDescent="0.3">
      <c r="A14" s="469" t="s">
        <v>56</v>
      </c>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4"/>
      <c r="AV14" s="460" t="s">
        <v>4</v>
      </c>
      <c r="AW14" s="461"/>
      <c r="AX14" s="461"/>
      <c r="AY14" s="461"/>
      <c r="AZ14" s="461"/>
      <c r="BA14" s="461"/>
      <c r="BB14" s="461"/>
      <c r="BC14" s="461"/>
      <c r="BD14" s="461"/>
      <c r="BE14" s="461"/>
      <c r="BF14" s="461"/>
      <c r="BG14" s="461"/>
      <c r="BH14" s="461"/>
      <c r="BI14" s="461"/>
      <c r="BJ14" s="461"/>
      <c r="BK14" s="461"/>
      <c r="BL14" s="462"/>
      <c r="BM14" s="460"/>
      <c r="BN14" s="461"/>
      <c r="BO14" s="461"/>
      <c r="BP14" s="461"/>
      <c r="BQ14" s="461"/>
      <c r="BR14" s="461"/>
      <c r="BS14" s="461"/>
      <c r="BT14" s="461"/>
      <c r="BU14" s="461"/>
      <c r="BV14" s="461"/>
      <c r="BW14" s="461"/>
      <c r="BX14" s="461"/>
      <c r="BY14" s="461"/>
      <c r="BZ14" s="461"/>
      <c r="CA14" s="461"/>
      <c r="CB14" s="461"/>
      <c r="CC14" s="462"/>
      <c r="CD14" s="460"/>
      <c r="CE14" s="461"/>
      <c r="CF14" s="461"/>
      <c r="CG14" s="461"/>
      <c r="CH14" s="461"/>
      <c r="CI14" s="461"/>
      <c r="CJ14" s="461"/>
      <c r="CK14" s="461"/>
      <c r="CL14" s="461"/>
      <c r="CM14" s="461"/>
      <c r="CN14" s="461"/>
      <c r="CO14" s="461"/>
      <c r="CP14" s="461"/>
      <c r="CQ14" s="461"/>
      <c r="CR14" s="461"/>
      <c r="CS14" s="462"/>
    </row>
    <row r="15" spans="1:97" ht="12" hidden="1" customHeight="1" x14ac:dyDescent="0.25"/>
    <row r="16" spans="1:97" s="20" customFormat="1" ht="15.6" x14ac:dyDescent="0.3">
      <c r="A16" s="470" t="s">
        <v>261</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row>
    <row r="17" spans="1:100"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0" s="20" customFormat="1" ht="15.6" x14ac:dyDescent="0.3">
      <c r="A18" s="470" t="s">
        <v>268</v>
      </c>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90" t="s">
        <v>440</v>
      </c>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row>
    <row r="19" spans="1:100"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0" s="20" customFormat="1" ht="27" customHeight="1" x14ac:dyDescent="0.25">
      <c r="A20" s="524" t="s">
        <v>339</v>
      </c>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c r="CK20" s="524"/>
      <c r="CL20" s="524"/>
      <c r="CM20" s="524"/>
      <c r="CN20" s="524"/>
      <c r="CO20" s="524"/>
      <c r="CP20" s="524"/>
      <c r="CQ20" s="524"/>
      <c r="CR20" s="524"/>
      <c r="CS20" s="524"/>
    </row>
    <row r="21" spans="1:100"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0" s="21" customFormat="1" ht="78.75" customHeight="1" x14ac:dyDescent="0.3">
      <c r="A22" s="485" t="s">
        <v>263</v>
      </c>
      <c r="B22" s="485"/>
      <c r="C22" s="485"/>
      <c r="D22" s="485"/>
      <c r="E22" s="485"/>
      <c r="F22" s="485" t="s">
        <v>0</v>
      </c>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7" t="s">
        <v>308</v>
      </c>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9"/>
      <c r="CV22" s="206">
        <f>'Раздел 1'!G16</f>
        <v>167014640.78999999</v>
      </c>
    </row>
    <row r="23" spans="1:100" s="22" customFormat="1" x14ac:dyDescent="0.3">
      <c r="A23" s="465">
        <v>1</v>
      </c>
      <c r="B23" s="465"/>
      <c r="C23" s="465"/>
      <c r="D23" s="465"/>
      <c r="E23" s="465"/>
      <c r="F23" s="465">
        <v>2</v>
      </c>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6">
        <v>3</v>
      </c>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67"/>
      <c r="CO23" s="467"/>
      <c r="CP23" s="467"/>
      <c r="CQ23" s="467"/>
      <c r="CR23" s="467"/>
      <c r="CS23" s="468"/>
      <c r="CV23" s="207"/>
    </row>
    <row r="24" spans="1:100" s="23" customFormat="1" ht="17.100000000000001" customHeight="1" x14ac:dyDescent="0.3">
      <c r="A24" s="452" t="s">
        <v>441</v>
      </c>
      <c r="B24" s="452"/>
      <c r="C24" s="452"/>
      <c r="D24" s="452"/>
      <c r="E24" s="452"/>
      <c r="F24" s="459" t="s">
        <v>442</v>
      </c>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97">
        <v>120399800</v>
      </c>
      <c r="AW24" s="498"/>
      <c r="AX24" s="498"/>
      <c r="AY24" s="498"/>
      <c r="AZ24" s="498"/>
      <c r="BA24" s="498"/>
      <c r="BB24" s="498"/>
      <c r="BC24" s="498"/>
      <c r="BD24" s="498"/>
      <c r="BE24" s="498"/>
      <c r="BF24" s="498"/>
      <c r="BG24" s="498"/>
      <c r="BH24" s="498"/>
      <c r="BI24" s="498"/>
      <c r="BJ24" s="498"/>
      <c r="BK24" s="498"/>
      <c r="BL24" s="498"/>
      <c r="BM24" s="498"/>
      <c r="BN24" s="498"/>
      <c r="BO24" s="498"/>
      <c r="BP24" s="498"/>
      <c r="BQ24" s="498"/>
      <c r="BR24" s="498"/>
      <c r="BS24" s="498"/>
      <c r="BT24" s="498"/>
      <c r="BU24" s="498"/>
      <c r="BV24" s="498"/>
      <c r="BW24" s="498"/>
      <c r="BX24" s="498"/>
      <c r="BY24" s="498"/>
      <c r="BZ24" s="498"/>
      <c r="CA24" s="498"/>
      <c r="CB24" s="498"/>
      <c r="CC24" s="498"/>
      <c r="CD24" s="498"/>
      <c r="CE24" s="498"/>
      <c r="CF24" s="498"/>
      <c r="CG24" s="498"/>
      <c r="CH24" s="498"/>
      <c r="CI24" s="498"/>
      <c r="CJ24" s="498"/>
      <c r="CK24" s="498"/>
      <c r="CL24" s="498"/>
      <c r="CM24" s="498"/>
      <c r="CN24" s="498"/>
      <c r="CO24" s="498"/>
      <c r="CP24" s="498"/>
      <c r="CQ24" s="498"/>
      <c r="CR24" s="498"/>
      <c r="CS24" s="499"/>
      <c r="CV24" s="55">
        <f>AV26+BW35+CD43+CD72+AV91+CD99+CD61-AV25</f>
        <v>166666704</v>
      </c>
    </row>
    <row r="25" spans="1:100" s="23" customFormat="1" ht="15" customHeight="1" x14ac:dyDescent="0.3">
      <c r="A25" s="452" t="s">
        <v>444</v>
      </c>
      <c r="B25" s="452"/>
      <c r="C25" s="452"/>
      <c r="D25" s="452"/>
      <c r="E25" s="452"/>
      <c r="F25" s="459" t="s">
        <v>871</v>
      </c>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97">
        <v>318700</v>
      </c>
      <c r="AW25" s="498"/>
      <c r="AX25" s="498"/>
      <c r="AY25" s="498"/>
      <c r="AZ25" s="498"/>
      <c r="BA25" s="498"/>
      <c r="BB25" s="498"/>
      <c r="BC25" s="498"/>
      <c r="BD25" s="498"/>
      <c r="BE25" s="498"/>
      <c r="BF25" s="498"/>
      <c r="BG25" s="498"/>
      <c r="BH25" s="498"/>
      <c r="BI25" s="498"/>
      <c r="BJ25" s="498"/>
      <c r="BK25" s="498"/>
      <c r="BL25" s="498"/>
      <c r="BM25" s="498"/>
      <c r="BN25" s="498"/>
      <c r="BO25" s="498"/>
      <c r="BP25" s="498"/>
      <c r="BQ25" s="498"/>
      <c r="BR25" s="498"/>
      <c r="BS25" s="498"/>
      <c r="BT25" s="498"/>
      <c r="BU25" s="498"/>
      <c r="BV25" s="498"/>
      <c r="BW25" s="498"/>
      <c r="BX25" s="498"/>
      <c r="BY25" s="498"/>
      <c r="BZ25" s="498"/>
      <c r="CA25" s="498"/>
      <c r="CB25" s="498"/>
      <c r="CC25" s="498"/>
      <c r="CD25" s="498"/>
      <c r="CE25" s="498"/>
      <c r="CF25" s="498"/>
      <c r="CG25" s="498"/>
      <c r="CH25" s="498"/>
      <c r="CI25" s="498"/>
      <c r="CJ25" s="498"/>
      <c r="CK25" s="498"/>
      <c r="CL25" s="498"/>
      <c r="CM25" s="498"/>
      <c r="CN25" s="498"/>
      <c r="CO25" s="498"/>
      <c r="CP25" s="498"/>
      <c r="CQ25" s="498"/>
      <c r="CR25" s="498"/>
      <c r="CS25" s="499"/>
      <c r="CV25" s="55">
        <f>CV22-CV24</f>
        <v>347936.78999999166</v>
      </c>
    </row>
    <row r="26" spans="1:100" s="23" customFormat="1" ht="15" customHeight="1" x14ac:dyDescent="0.3">
      <c r="A26" s="452"/>
      <c r="B26" s="452"/>
      <c r="C26" s="452"/>
      <c r="D26" s="452"/>
      <c r="E26" s="452"/>
      <c r="F26" s="463" t="s">
        <v>56</v>
      </c>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4"/>
      <c r="AV26" s="493">
        <f>SUM(AV24:AV25)</f>
        <v>120718500</v>
      </c>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3"/>
      <c r="CV26" s="56"/>
    </row>
    <row r="27" spans="1:100"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V27" s="56"/>
    </row>
    <row r="28" spans="1:100" s="23" customFormat="1" ht="26.25" customHeight="1" x14ac:dyDescent="0.25">
      <c r="A28" s="524" t="s">
        <v>335</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c r="CK28" s="524"/>
      <c r="CL28" s="524"/>
      <c r="CM28" s="524"/>
      <c r="CN28" s="524"/>
      <c r="CO28" s="524"/>
      <c r="CP28" s="524"/>
      <c r="CQ28" s="524"/>
      <c r="CR28" s="524"/>
      <c r="CS28" s="524"/>
      <c r="CV28" s="56"/>
    </row>
    <row r="29" spans="1:100"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V29" s="56"/>
    </row>
    <row r="30" spans="1:100" s="21" customFormat="1" ht="96" customHeight="1" x14ac:dyDescent="0.3">
      <c r="A30" s="485" t="s">
        <v>263</v>
      </c>
      <c r="B30" s="485"/>
      <c r="C30" s="485"/>
      <c r="D30" s="485"/>
      <c r="E30" s="485"/>
      <c r="F30" s="485" t="s">
        <v>272</v>
      </c>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t="s">
        <v>246</v>
      </c>
      <c r="AW30" s="485"/>
      <c r="AX30" s="485"/>
      <c r="AY30" s="485"/>
      <c r="AZ30" s="485"/>
      <c r="BA30" s="485"/>
      <c r="BB30" s="485"/>
      <c r="BC30" s="485"/>
      <c r="BD30" s="485"/>
      <c r="BE30" s="485"/>
      <c r="BF30" s="485"/>
      <c r="BG30" s="485"/>
      <c r="BH30" s="485"/>
      <c r="BI30" s="485"/>
      <c r="BJ30" s="485" t="s">
        <v>267</v>
      </c>
      <c r="BK30" s="485"/>
      <c r="BL30" s="485"/>
      <c r="BM30" s="485"/>
      <c r="BN30" s="485"/>
      <c r="BO30" s="485"/>
      <c r="BP30" s="485"/>
      <c r="BQ30" s="485"/>
      <c r="BR30" s="485"/>
      <c r="BS30" s="485"/>
      <c r="BT30" s="485"/>
      <c r="BU30" s="485"/>
      <c r="BV30" s="485"/>
      <c r="BW30" s="485" t="s">
        <v>266</v>
      </c>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row>
    <row r="31" spans="1:100" s="22" customFormat="1" x14ac:dyDescent="0.3">
      <c r="A31" s="465">
        <v>1</v>
      </c>
      <c r="B31" s="465"/>
      <c r="C31" s="465"/>
      <c r="D31" s="465"/>
      <c r="E31" s="465"/>
      <c r="F31" s="465">
        <v>2</v>
      </c>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v>3</v>
      </c>
      <c r="AW31" s="465"/>
      <c r="AX31" s="465"/>
      <c r="AY31" s="465"/>
      <c r="AZ31" s="465"/>
      <c r="BA31" s="465"/>
      <c r="BB31" s="465"/>
      <c r="BC31" s="465"/>
      <c r="BD31" s="465"/>
      <c r="BE31" s="465"/>
      <c r="BF31" s="465"/>
      <c r="BG31" s="465"/>
      <c r="BH31" s="465"/>
      <c r="BI31" s="465"/>
      <c r="BJ31" s="465">
        <v>4</v>
      </c>
      <c r="BK31" s="465"/>
      <c r="BL31" s="465"/>
      <c r="BM31" s="465"/>
      <c r="BN31" s="465"/>
      <c r="BO31" s="465"/>
      <c r="BP31" s="465"/>
      <c r="BQ31" s="465"/>
      <c r="BR31" s="465"/>
      <c r="BS31" s="465"/>
      <c r="BT31" s="465"/>
      <c r="BU31" s="465"/>
      <c r="BV31" s="465"/>
      <c r="BW31" s="465">
        <v>5</v>
      </c>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row>
    <row r="32" spans="1:100" s="22" customFormat="1" x14ac:dyDescent="0.3">
      <c r="A32" s="465" t="s">
        <v>441</v>
      </c>
      <c r="B32" s="465"/>
      <c r="C32" s="465"/>
      <c r="D32" s="465"/>
      <c r="E32" s="465"/>
      <c r="F32" s="509" t="s">
        <v>443</v>
      </c>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1"/>
      <c r="AV32" s="465">
        <v>48</v>
      </c>
      <c r="AW32" s="465"/>
      <c r="AX32" s="465"/>
      <c r="AY32" s="465"/>
      <c r="AZ32" s="465"/>
      <c r="BA32" s="465"/>
      <c r="BB32" s="465"/>
      <c r="BC32" s="465"/>
      <c r="BD32" s="465"/>
      <c r="BE32" s="465"/>
      <c r="BF32" s="465"/>
      <c r="BG32" s="465"/>
      <c r="BH32" s="465"/>
      <c r="BI32" s="465"/>
      <c r="BJ32" s="518">
        <f>BW32/AV32</f>
        <v>246200</v>
      </c>
      <c r="BK32" s="519"/>
      <c r="BL32" s="519"/>
      <c r="BM32" s="519"/>
      <c r="BN32" s="519"/>
      <c r="BO32" s="519"/>
      <c r="BP32" s="519"/>
      <c r="BQ32" s="519"/>
      <c r="BR32" s="519"/>
      <c r="BS32" s="519"/>
      <c r="BT32" s="519"/>
      <c r="BU32" s="519"/>
      <c r="BV32" s="520"/>
      <c r="BW32" s="521">
        <v>11817600</v>
      </c>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3"/>
    </row>
    <row r="33" spans="1:97" s="22" customFormat="1" x14ac:dyDescent="0.3">
      <c r="A33" s="465" t="s">
        <v>444</v>
      </c>
      <c r="B33" s="465"/>
      <c r="C33" s="465"/>
      <c r="D33" s="465"/>
      <c r="E33" s="465"/>
      <c r="F33" s="509" t="s">
        <v>445</v>
      </c>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1"/>
      <c r="AV33" s="465">
        <v>22</v>
      </c>
      <c r="AW33" s="465"/>
      <c r="AX33" s="465"/>
      <c r="AY33" s="465"/>
      <c r="AZ33" s="465"/>
      <c r="BA33" s="465"/>
      <c r="BB33" s="465"/>
      <c r="BC33" s="465"/>
      <c r="BD33" s="465"/>
      <c r="BE33" s="465"/>
      <c r="BF33" s="465"/>
      <c r="BG33" s="465"/>
      <c r="BH33" s="465"/>
      <c r="BI33" s="465"/>
      <c r="BJ33" s="512">
        <f>BW33/AV33</f>
        <v>8254.545454545454</v>
      </c>
      <c r="BK33" s="513"/>
      <c r="BL33" s="513"/>
      <c r="BM33" s="513"/>
      <c r="BN33" s="513"/>
      <c r="BO33" s="513"/>
      <c r="BP33" s="513"/>
      <c r="BQ33" s="513"/>
      <c r="BR33" s="513"/>
      <c r="BS33" s="513"/>
      <c r="BT33" s="513"/>
      <c r="BU33" s="513"/>
      <c r="BV33" s="514"/>
      <c r="BW33" s="515">
        <v>181600</v>
      </c>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7"/>
    </row>
    <row r="34" spans="1:97" s="22" customFormat="1" x14ac:dyDescent="0.3">
      <c r="A34" s="465" t="s">
        <v>446</v>
      </c>
      <c r="B34" s="465"/>
      <c r="C34" s="465"/>
      <c r="D34" s="465"/>
      <c r="E34" s="465"/>
      <c r="F34" s="509" t="s">
        <v>447</v>
      </c>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1"/>
      <c r="AV34" s="465">
        <v>65</v>
      </c>
      <c r="AW34" s="465"/>
      <c r="AX34" s="465"/>
      <c r="AY34" s="465"/>
      <c r="AZ34" s="465"/>
      <c r="BA34" s="465"/>
      <c r="BB34" s="465"/>
      <c r="BC34" s="465"/>
      <c r="BD34" s="465"/>
      <c r="BE34" s="465"/>
      <c r="BF34" s="465"/>
      <c r="BG34" s="465"/>
      <c r="BH34" s="465"/>
      <c r="BI34" s="465"/>
      <c r="BJ34" s="512">
        <f>BW34/AV34</f>
        <v>6840</v>
      </c>
      <c r="BK34" s="513"/>
      <c r="BL34" s="513"/>
      <c r="BM34" s="513"/>
      <c r="BN34" s="513"/>
      <c r="BO34" s="513"/>
      <c r="BP34" s="513"/>
      <c r="BQ34" s="513"/>
      <c r="BR34" s="513"/>
      <c r="BS34" s="513"/>
      <c r="BT34" s="513"/>
      <c r="BU34" s="513"/>
      <c r="BV34" s="514"/>
      <c r="BW34" s="515">
        <v>444600</v>
      </c>
      <c r="BX34" s="516"/>
      <c r="BY34" s="516"/>
      <c r="BZ34" s="516"/>
      <c r="CA34" s="516"/>
      <c r="CB34" s="516"/>
      <c r="CC34" s="516"/>
      <c r="CD34" s="516"/>
      <c r="CE34" s="516"/>
      <c r="CF34" s="516"/>
      <c r="CG34" s="516"/>
      <c r="CH34" s="516"/>
      <c r="CI34" s="516"/>
      <c r="CJ34" s="516"/>
      <c r="CK34" s="516"/>
      <c r="CL34" s="516"/>
      <c r="CM34" s="516"/>
      <c r="CN34" s="516"/>
      <c r="CO34" s="516"/>
      <c r="CP34" s="516"/>
      <c r="CQ34" s="516"/>
      <c r="CR34" s="516"/>
      <c r="CS34" s="517"/>
    </row>
    <row r="35" spans="1:97" s="22" customFormat="1" x14ac:dyDescent="0.3">
      <c r="A35" s="465"/>
      <c r="B35" s="465"/>
      <c r="C35" s="465"/>
      <c r="D35" s="465"/>
      <c r="E35" s="465"/>
      <c r="F35" s="505" t="s">
        <v>37</v>
      </c>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507">
        <f>SUM(BW32:BW34)</f>
        <v>12443800</v>
      </c>
      <c r="BX35" s="508"/>
      <c r="BY35" s="508"/>
      <c r="BZ35" s="508"/>
      <c r="CA35" s="508"/>
      <c r="CB35" s="508"/>
      <c r="CC35" s="508"/>
      <c r="CD35" s="508"/>
      <c r="CE35" s="508"/>
      <c r="CF35" s="508"/>
      <c r="CG35" s="508"/>
      <c r="CH35" s="508"/>
      <c r="CI35" s="508"/>
      <c r="CJ35" s="508"/>
      <c r="CK35" s="508"/>
      <c r="CL35" s="508"/>
      <c r="CM35" s="508"/>
      <c r="CN35" s="508"/>
      <c r="CO35" s="508"/>
      <c r="CP35" s="508"/>
      <c r="CQ35" s="508"/>
      <c r="CR35" s="508"/>
      <c r="CS35" s="508"/>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70" t="s">
        <v>294</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485" t="s">
        <v>263</v>
      </c>
      <c r="B39" s="485"/>
      <c r="C39" s="485"/>
      <c r="D39" s="485"/>
      <c r="E39" s="485"/>
      <c r="F39" s="485" t="s">
        <v>245</v>
      </c>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t="s">
        <v>299</v>
      </c>
      <c r="AW39" s="485"/>
      <c r="AX39" s="485"/>
      <c r="AY39" s="485"/>
      <c r="AZ39" s="485"/>
      <c r="BA39" s="485"/>
      <c r="BB39" s="485"/>
      <c r="BC39" s="485"/>
      <c r="BD39" s="485"/>
      <c r="BE39" s="485"/>
      <c r="BF39" s="485"/>
      <c r="BG39" s="485"/>
      <c r="BH39" s="485"/>
      <c r="BI39" s="485"/>
      <c r="BJ39" s="485"/>
      <c r="BK39" s="485"/>
      <c r="BL39" s="485"/>
      <c r="BM39" s="485" t="s">
        <v>300</v>
      </c>
      <c r="BN39" s="485"/>
      <c r="BO39" s="485"/>
      <c r="BP39" s="485"/>
      <c r="BQ39" s="485"/>
      <c r="BR39" s="485"/>
      <c r="BS39" s="485"/>
      <c r="BT39" s="485"/>
      <c r="BU39" s="485"/>
      <c r="BV39" s="485"/>
      <c r="BW39" s="485"/>
      <c r="BX39" s="485"/>
      <c r="BY39" s="485"/>
      <c r="BZ39" s="485"/>
      <c r="CA39" s="485"/>
      <c r="CB39" s="485"/>
      <c r="CC39" s="485"/>
      <c r="CD39" s="485" t="s">
        <v>244</v>
      </c>
      <c r="CE39" s="485"/>
      <c r="CF39" s="485"/>
      <c r="CG39" s="485"/>
      <c r="CH39" s="485"/>
      <c r="CI39" s="485"/>
      <c r="CJ39" s="485"/>
      <c r="CK39" s="485"/>
      <c r="CL39" s="485"/>
      <c r="CM39" s="485"/>
      <c r="CN39" s="485"/>
      <c r="CO39" s="485"/>
      <c r="CP39" s="485"/>
      <c r="CQ39" s="485"/>
      <c r="CR39" s="485"/>
      <c r="CS39" s="485"/>
    </row>
    <row r="40" spans="1:97" s="22" customFormat="1" x14ac:dyDescent="0.3">
      <c r="A40" s="465">
        <v>1</v>
      </c>
      <c r="B40" s="465"/>
      <c r="C40" s="465"/>
      <c r="D40" s="465"/>
      <c r="E40" s="465"/>
      <c r="F40" s="465">
        <v>2</v>
      </c>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v>3</v>
      </c>
      <c r="AW40" s="465"/>
      <c r="AX40" s="465"/>
      <c r="AY40" s="465"/>
      <c r="AZ40" s="465"/>
      <c r="BA40" s="465"/>
      <c r="BB40" s="465"/>
      <c r="BC40" s="465"/>
      <c r="BD40" s="465"/>
      <c r="BE40" s="465"/>
      <c r="BF40" s="465"/>
      <c r="BG40" s="465"/>
      <c r="BH40" s="465"/>
      <c r="BI40" s="465"/>
      <c r="BJ40" s="465"/>
      <c r="BK40" s="465"/>
      <c r="BL40" s="465"/>
      <c r="BM40" s="465">
        <v>4</v>
      </c>
      <c r="BN40" s="465"/>
      <c r="BO40" s="465"/>
      <c r="BP40" s="465"/>
      <c r="BQ40" s="465"/>
      <c r="BR40" s="465"/>
      <c r="BS40" s="465"/>
      <c r="BT40" s="465"/>
      <c r="BU40" s="465"/>
      <c r="BV40" s="465"/>
      <c r="BW40" s="465"/>
      <c r="BX40" s="465"/>
      <c r="BY40" s="465"/>
      <c r="BZ40" s="465"/>
      <c r="CA40" s="465"/>
      <c r="CB40" s="465"/>
      <c r="CC40" s="465"/>
      <c r="CD40" s="465">
        <v>5</v>
      </c>
      <c r="CE40" s="465"/>
      <c r="CF40" s="465"/>
      <c r="CG40" s="465"/>
      <c r="CH40" s="465"/>
      <c r="CI40" s="465"/>
      <c r="CJ40" s="465"/>
      <c r="CK40" s="465"/>
      <c r="CL40" s="465"/>
      <c r="CM40" s="465"/>
      <c r="CN40" s="465"/>
      <c r="CO40" s="465"/>
      <c r="CP40" s="465"/>
      <c r="CQ40" s="465"/>
      <c r="CR40" s="465"/>
      <c r="CS40" s="465"/>
    </row>
    <row r="41" spans="1:97" s="23" customFormat="1" ht="24.75" customHeight="1" x14ac:dyDescent="0.3">
      <c r="A41" s="452" t="s">
        <v>441</v>
      </c>
      <c r="B41" s="452"/>
      <c r="C41" s="452"/>
      <c r="D41" s="452"/>
      <c r="E41" s="452"/>
      <c r="F41" s="459" t="s">
        <v>448</v>
      </c>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503">
        <v>550</v>
      </c>
      <c r="AW41" s="503"/>
      <c r="AX41" s="503"/>
      <c r="AY41" s="503"/>
      <c r="AZ41" s="503"/>
      <c r="BA41" s="503"/>
      <c r="BB41" s="503"/>
      <c r="BC41" s="503"/>
      <c r="BD41" s="503"/>
      <c r="BE41" s="503"/>
      <c r="BF41" s="503"/>
      <c r="BG41" s="503"/>
      <c r="BH41" s="503"/>
      <c r="BI41" s="503"/>
      <c r="BJ41" s="503"/>
      <c r="BK41" s="503"/>
      <c r="BL41" s="503"/>
      <c r="BM41" s="504">
        <f>CD41/AV41</f>
        <v>454.54545454545456</v>
      </c>
      <c r="BN41" s="504"/>
      <c r="BO41" s="504"/>
      <c r="BP41" s="504"/>
      <c r="BQ41" s="504"/>
      <c r="BR41" s="504"/>
      <c r="BS41" s="504"/>
      <c r="BT41" s="504"/>
      <c r="BU41" s="504"/>
      <c r="BV41" s="504"/>
      <c r="BW41" s="504"/>
      <c r="BX41" s="504"/>
      <c r="BY41" s="504"/>
      <c r="BZ41" s="504"/>
      <c r="CA41" s="504"/>
      <c r="CB41" s="504"/>
      <c r="CC41" s="504"/>
      <c r="CD41" s="492">
        <f>250000</f>
        <v>250000</v>
      </c>
      <c r="CE41" s="492"/>
      <c r="CF41" s="492"/>
      <c r="CG41" s="492"/>
      <c r="CH41" s="492"/>
      <c r="CI41" s="492"/>
      <c r="CJ41" s="492"/>
      <c r="CK41" s="492"/>
      <c r="CL41" s="492"/>
      <c r="CM41" s="492"/>
      <c r="CN41" s="492"/>
      <c r="CO41" s="492"/>
      <c r="CP41" s="492"/>
      <c r="CQ41" s="492"/>
      <c r="CR41" s="492"/>
      <c r="CS41" s="492"/>
    </row>
    <row r="42" spans="1:97" s="23" customFormat="1" ht="15" customHeight="1" x14ac:dyDescent="0.3">
      <c r="A42" s="452"/>
      <c r="B42" s="452"/>
      <c r="C42" s="452"/>
      <c r="D42" s="452"/>
      <c r="E42" s="452"/>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row>
    <row r="43" spans="1:97" s="23" customFormat="1" ht="15" customHeight="1" x14ac:dyDescent="0.3">
      <c r="A43" s="452"/>
      <c r="B43" s="452"/>
      <c r="C43" s="452"/>
      <c r="D43" s="452"/>
      <c r="E43" s="452"/>
      <c r="F43" s="463" t="s">
        <v>56</v>
      </c>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4"/>
      <c r="AV43" s="486" t="s">
        <v>4</v>
      </c>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91">
        <f>SUM(CD41:CD42)</f>
        <v>250000</v>
      </c>
      <c r="CE43" s="496"/>
      <c r="CF43" s="496"/>
      <c r="CG43" s="496"/>
      <c r="CH43" s="496"/>
      <c r="CI43" s="496"/>
      <c r="CJ43" s="496"/>
      <c r="CK43" s="496"/>
      <c r="CL43" s="496"/>
      <c r="CM43" s="496"/>
      <c r="CN43" s="496"/>
      <c r="CO43" s="496"/>
      <c r="CP43" s="496"/>
      <c r="CQ43" s="496"/>
      <c r="CR43" s="496"/>
      <c r="CS43" s="496"/>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23" customFormat="1" ht="15" hidden="1" customHeight="1" x14ac:dyDescent="0.3">
      <c r="A45" s="470" t="s">
        <v>449</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row>
    <row r="46" spans="1:97" s="23" customFormat="1" ht="15" hidden="1" customHeight="1" x14ac:dyDescent="0.3">
      <c r="A46" s="30"/>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3" customFormat="1" ht="15" hidden="1" customHeight="1" x14ac:dyDescent="0.3">
      <c r="A47" s="485" t="s">
        <v>263</v>
      </c>
      <c r="B47" s="485"/>
      <c r="C47" s="485"/>
      <c r="D47" s="485"/>
      <c r="E47" s="485"/>
      <c r="F47" s="485" t="s">
        <v>0</v>
      </c>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7" t="s">
        <v>308</v>
      </c>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9"/>
    </row>
    <row r="48" spans="1:97" s="23" customFormat="1" ht="15" hidden="1" customHeight="1" x14ac:dyDescent="0.3">
      <c r="A48" s="465">
        <v>1</v>
      </c>
      <c r="B48" s="465"/>
      <c r="C48" s="465"/>
      <c r="D48" s="465"/>
      <c r="E48" s="465"/>
      <c r="F48" s="465">
        <v>2</v>
      </c>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6">
        <v>3</v>
      </c>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8"/>
    </row>
    <row r="49" spans="1:97" s="23" customFormat="1" ht="15" hidden="1" customHeight="1" x14ac:dyDescent="0.3">
      <c r="A49" s="452" t="s">
        <v>441</v>
      </c>
      <c r="B49" s="452"/>
      <c r="C49" s="452"/>
      <c r="D49" s="452"/>
      <c r="E49" s="452"/>
      <c r="F49" s="459" t="s">
        <v>450</v>
      </c>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97"/>
      <c r="AW49" s="498"/>
      <c r="AX49" s="498"/>
      <c r="AY49" s="498"/>
      <c r="AZ49" s="498"/>
      <c r="BA49" s="498"/>
      <c r="BB49" s="498"/>
      <c r="BC49" s="498"/>
      <c r="BD49" s="498"/>
      <c r="BE49" s="498"/>
      <c r="BF49" s="498"/>
      <c r="BG49" s="498"/>
      <c r="BH49" s="498"/>
      <c r="BI49" s="498"/>
      <c r="BJ49" s="498"/>
      <c r="BK49" s="498"/>
      <c r="BL49" s="498"/>
      <c r="BM49" s="498"/>
      <c r="BN49" s="498"/>
      <c r="BO49" s="498"/>
      <c r="BP49" s="498"/>
      <c r="BQ49" s="498"/>
      <c r="BR49" s="498"/>
      <c r="BS49" s="498"/>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9"/>
    </row>
    <row r="50" spans="1:97" s="23" customFormat="1" ht="15" hidden="1" customHeight="1" x14ac:dyDescent="0.3">
      <c r="A50" s="452"/>
      <c r="B50" s="452"/>
      <c r="C50" s="452"/>
      <c r="D50" s="452"/>
      <c r="E50" s="452"/>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500"/>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2"/>
    </row>
    <row r="51" spans="1:97" s="23" customFormat="1" ht="15" hidden="1" customHeight="1" x14ac:dyDescent="0.3">
      <c r="A51" s="452"/>
      <c r="B51" s="452"/>
      <c r="C51" s="452"/>
      <c r="D51" s="452"/>
      <c r="E51" s="452"/>
      <c r="F51" s="463" t="s">
        <v>56</v>
      </c>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4"/>
      <c r="AV51" s="493">
        <f>SUM(AV49:AV50)</f>
        <v>0</v>
      </c>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3"/>
    </row>
    <row r="52" spans="1:97" s="23" customFormat="1" ht="15" hidden="1" customHeight="1" x14ac:dyDescent="0.3">
      <c r="A52" s="24"/>
      <c r="B52" s="24"/>
      <c r="C52" s="24"/>
      <c r="D52" s="24"/>
      <c r="E52" s="24"/>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row>
    <row r="53" spans="1:97" s="41" customFormat="1" ht="15.6" x14ac:dyDescent="0.3">
      <c r="A53" s="470" t="s">
        <v>262</v>
      </c>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row>
    <row r="54" spans="1:97" s="27" customFormat="1" ht="12.75" customHeight="1" x14ac:dyDescent="0.3"/>
    <row r="55" spans="1:97" s="20" customFormat="1" ht="15.6" x14ac:dyDescent="0.3">
      <c r="A55" s="470" t="s">
        <v>268</v>
      </c>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90" t="s">
        <v>451</v>
      </c>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0"/>
      <c r="BS55" s="490"/>
      <c r="BT55" s="490"/>
      <c r="BU55" s="490"/>
      <c r="BV55" s="490"/>
      <c r="BW55" s="490"/>
      <c r="BX55" s="490"/>
      <c r="BY55" s="490"/>
      <c r="BZ55" s="490"/>
      <c r="CA55" s="490"/>
      <c r="CB55" s="490"/>
      <c r="CC55" s="490"/>
      <c r="CD55" s="490"/>
      <c r="CE55" s="490"/>
      <c r="CF55" s="490"/>
      <c r="CG55" s="490"/>
      <c r="CH55" s="490"/>
      <c r="CI55" s="490"/>
      <c r="CJ55" s="490"/>
      <c r="CK55" s="490"/>
      <c r="CL55" s="490"/>
      <c r="CM55" s="490"/>
      <c r="CN55" s="490"/>
      <c r="CO55" s="490"/>
      <c r="CP55" s="490"/>
      <c r="CQ55" s="490"/>
      <c r="CR55" s="490"/>
      <c r="CS55" s="490"/>
    </row>
    <row r="56" spans="1:97" ht="14.25" customHeight="1" x14ac:dyDescent="0.25"/>
    <row r="57" spans="1:97" ht="46.5" customHeight="1" x14ac:dyDescent="0.25">
      <c r="A57" s="472" t="s">
        <v>49</v>
      </c>
      <c r="B57" s="473"/>
      <c r="C57" s="473"/>
      <c r="D57" s="473"/>
      <c r="E57" s="474"/>
      <c r="F57" s="472" t="s">
        <v>0</v>
      </c>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4"/>
      <c r="AV57" s="472" t="s">
        <v>270</v>
      </c>
      <c r="AW57" s="473"/>
      <c r="AX57" s="473"/>
      <c r="AY57" s="473"/>
      <c r="AZ57" s="473"/>
      <c r="BA57" s="473"/>
      <c r="BB57" s="473"/>
      <c r="BC57" s="473"/>
      <c r="BD57" s="473"/>
      <c r="BE57" s="473"/>
      <c r="BF57" s="473"/>
      <c r="BG57" s="473"/>
      <c r="BH57" s="473"/>
      <c r="BI57" s="473"/>
      <c r="BJ57" s="473"/>
      <c r="BK57" s="473"/>
      <c r="BL57" s="474"/>
      <c r="BM57" s="487" t="s">
        <v>304</v>
      </c>
      <c r="BN57" s="488"/>
      <c r="BO57" s="488"/>
      <c r="BP57" s="488"/>
      <c r="BQ57" s="488"/>
      <c r="BR57" s="488"/>
      <c r="BS57" s="488"/>
      <c r="BT57" s="488"/>
      <c r="BU57" s="488"/>
      <c r="BV57" s="488"/>
      <c r="BW57" s="488"/>
      <c r="BX57" s="488"/>
      <c r="BY57" s="488"/>
      <c r="BZ57" s="488"/>
      <c r="CA57" s="488"/>
      <c r="CB57" s="488"/>
      <c r="CC57" s="489"/>
      <c r="CD57" s="472" t="s">
        <v>244</v>
      </c>
      <c r="CE57" s="473"/>
      <c r="CF57" s="473"/>
      <c r="CG57" s="473"/>
      <c r="CH57" s="473"/>
      <c r="CI57" s="473"/>
      <c r="CJ57" s="473"/>
      <c r="CK57" s="473"/>
      <c r="CL57" s="473"/>
      <c r="CM57" s="473"/>
      <c r="CN57" s="473"/>
      <c r="CO57" s="473"/>
      <c r="CP57" s="473"/>
      <c r="CQ57" s="473"/>
      <c r="CR57" s="473"/>
      <c r="CS57" s="474"/>
    </row>
    <row r="58" spans="1:97" s="22" customFormat="1" x14ac:dyDescent="0.3">
      <c r="A58" s="465">
        <v>1</v>
      </c>
      <c r="B58" s="465"/>
      <c r="C58" s="465"/>
      <c r="D58" s="465"/>
      <c r="E58" s="465"/>
      <c r="F58" s="465">
        <v>2</v>
      </c>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v>3</v>
      </c>
      <c r="AW58" s="465"/>
      <c r="AX58" s="465"/>
      <c r="AY58" s="465"/>
      <c r="AZ58" s="465"/>
      <c r="BA58" s="465"/>
      <c r="BB58" s="465"/>
      <c r="BC58" s="465"/>
      <c r="BD58" s="465"/>
      <c r="BE58" s="465"/>
      <c r="BF58" s="465"/>
      <c r="BG58" s="465"/>
      <c r="BH58" s="465"/>
      <c r="BI58" s="465"/>
      <c r="BJ58" s="465"/>
      <c r="BK58" s="465"/>
      <c r="BL58" s="465"/>
      <c r="BM58" s="465">
        <v>4</v>
      </c>
      <c r="BN58" s="465"/>
      <c r="BO58" s="465"/>
      <c r="BP58" s="465"/>
      <c r="BQ58" s="465"/>
      <c r="BR58" s="465"/>
      <c r="BS58" s="465"/>
      <c r="BT58" s="465"/>
      <c r="BU58" s="465"/>
      <c r="BV58" s="465"/>
      <c r="BW58" s="465"/>
      <c r="BX58" s="465"/>
      <c r="BY58" s="465"/>
      <c r="BZ58" s="465"/>
      <c r="CA58" s="465"/>
      <c r="CB58" s="465"/>
      <c r="CC58" s="465"/>
      <c r="CD58" s="465">
        <v>5</v>
      </c>
      <c r="CE58" s="465"/>
      <c r="CF58" s="465"/>
      <c r="CG58" s="465"/>
      <c r="CH58" s="465"/>
      <c r="CI58" s="465"/>
      <c r="CJ58" s="465"/>
      <c r="CK58" s="465"/>
      <c r="CL58" s="465"/>
      <c r="CM58" s="465"/>
      <c r="CN58" s="465"/>
      <c r="CO58" s="465"/>
      <c r="CP58" s="465"/>
      <c r="CQ58" s="465"/>
      <c r="CR58" s="465"/>
      <c r="CS58" s="465"/>
    </row>
    <row r="59" spans="1:97" s="23" customFormat="1" ht="29.25" customHeight="1" x14ac:dyDescent="0.3">
      <c r="A59" s="452" t="s">
        <v>441</v>
      </c>
      <c r="B59" s="452"/>
      <c r="C59" s="452"/>
      <c r="D59" s="452"/>
      <c r="E59" s="452"/>
      <c r="F59" s="459" t="s">
        <v>452</v>
      </c>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86">
        <v>2</v>
      </c>
      <c r="AW59" s="486"/>
      <c r="AX59" s="486"/>
      <c r="AY59" s="486"/>
      <c r="AZ59" s="486"/>
      <c r="BA59" s="486"/>
      <c r="BB59" s="486"/>
      <c r="BC59" s="486"/>
      <c r="BD59" s="486"/>
      <c r="BE59" s="486"/>
      <c r="BF59" s="486"/>
      <c r="BG59" s="486"/>
      <c r="BH59" s="486"/>
      <c r="BI59" s="486"/>
      <c r="BJ59" s="486"/>
      <c r="BK59" s="486"/>
      <c r="BL59" s="486"/>
      <c r="BM59" s="492">
        <v>50000</v>
      </c>
      <c r="BN59" s="492"/>
      <c r="BO59" s="492"/>
      <c r="BP59" s="492"/>
      <c r="BQ59" s="492"/>
      <c r="BR59" s="492"/>
      <c r="BS59" s="492"/>
      <c r="BT59" s="492"/>
      <c r="BU59" s="492"/>
      <c r="BV59" s="492"/>
      <c r="BW59" s="492"/>
      <c r="BX59" s="492"/>
      <c r="BY59" s="492"/>
      <c r="BZ59" s="492"/>
      <c r="CA59" s="492"/>
      <c r="CB59" s="492"/>
      <c r="CC59" s="492"/>
      <c r="CD59" s="492">
        <f>(AV59*BM59)</f>
        <v>100000</v>
      </c>
      <c r="CE59" s="492"/>
      <c r="CF59" s="492"/>
      <c r="CG59" s="492"/>
      <c r="CH59" s="492"/>
      <c r="CI59" s="492"/>
      <c r="CJ59" s="492"/>
      <c r="CK59" s="492"/>
      <c r="CL59" s="492"/>
      <c r="CM59" s="492"/>
      <c r="CN59" s="492"/>
      <c r="CO59" s="492"/>
      <c r="CP59" s="492"/>
      <c r="CQ59" s="492"/>
      <c r="CR59" s="492"/>
      <c r="CS59" s="492"/>
    </row>
    <row r="60" spans="1:97" s="23" customFormat="1" ht="15" hidden="1" customHeight="1" x14ac:dyDescent="0.3">
      <c r="A60" s="452"/>
      <c r="B60" s="452"/>
      <c r="C60" s="452"/>
      <c r="D60" s="452"/>
      <c r="E60" s="452"/>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86"/>
      <c r="AW60" s="486"/>
      <c r="AX60" s="486"/>
      <c r="AY60" s="486"/>
      <c r="AZ60" s="486"/>
      <c r="BA60" s="486"/>
      <c r="BB60" s="486"/>
      <c r="BC60" s="486"/>
      <c r="BD60" s="486"/>
      <c r="BE60" s="486"/>
      <c r="BF60" s="486"/>
      <c r="BG60" s="486"/>
      <c r="BH60" s="486"/>
      <c r="BI60" s="486"/>
      <c r="BJ60" s="486"/>
      <c r="BK60" s="486"/>
      <c r="BL60" s="486"/>
      <c r="BM60" s="486"/>
      <c r="BN60" s="486"/>
      <c r="BO60" s="486"/>
      <c r="BP60" s="486"/>
      <c r="BQ60" s="486"/>
      <c r="BR60" s="486"/>
      <c r="BS60" s="486"/>
      <c r="BT60" s="486"/>
      <c r="BU60" s="486"/>
      <c r="BV60" s="486"/>
      <c r="BW60" s="486"/>
      <c r="BX60" s="486"/>
      <c r="BY60" s="486"/>
      <c r="BZ60" s="486"/>
      <c r="CA60" s="486"/>
      <c r="CB60" s="486"/>
      <c r="CC60" s="486"/>
      <c r="CD60" s="486"/>
      <c r="CE60" s="486"/>
      <c r="CF60" s="486"/>
      <c r="CG60" s="486"/>
      <c r="CH60" s="486"/>
      <c r="CI60" s="486"/>
      <c r="CJ60" s="486"/>
      <c r="CK60" s="486"/>
      <c r="CL60" s="486"/>
      <c r="CM60" s="486"/>
      <c r="CN60" s="486"/>
      <c r="CO60" s="486"/>
      <c r="CP60" s="486"/>
      <c r="CQ60" s="486"/>
      <c r="CR60" s="486"/>
      <c r="CS60" s="486"/>
    </row>
    <row r="61" spans="1:97" s="23" customFormat="1" ht="15" customHeight="1" x14ac:dyDescent="0.3">
      <c r="A61" s="452"/>
      <c r="B61" s="452"/>
      <c r="C61" s="452"/>
      <c r="D61" s="452"/>
      <c r="E61" s="452"/>
      <c r="F61" s="463" t="s">
        <v>56</v>
      </c>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4"/>
      <c r="AV61" s="486" t="s">
        <v>4</v>
      </c>
      <c r="AW61" s="486"/>
      <c r="AX61" s="486"/>
      <c r="AY61" s="486"/>
      <c r="AZ61" s="486"/>
      <c r="BA61" s="486"/>
      <c r="BB61" s="486"/>
      <c r="BC61" s="486"/>
      <c r="BD61" s="486"/>
      <c r="BE61" s="486"/>
      <c r="BF61" s="486"/>
      <c r="BG61" s="486"/>
      <c r="BH61" s="486"/>
      <c r="BI61" s="486"/>
      <c r="BJ61" s="486"/>
      <c r="BK61" s="486"/>
      <c r="BL61" s="486"/>
      <c r="BM61" s="486" t="s">
        <v>4</v>
      </c>
      <c r="BN61" s="486"/>
      <c r="BO61" s="486"/>
      <c r="BP61" s="486"/>
      <c r="BQ61" s="486"/>
      <c r="BR61" s="486"/>
      <c r="BS61" s="486"/>
      <c r="BT61" s="486"/>
      <c r="BU61" s="486"/>
      <c r="BV61" s="486"/>
      <c r="BW61" s="486"/>
      <c r="BX61" s="486"/>
      <c r="BY61" s="486"/>
      <c r="BZ61" s="486"/>
      <c r="CA61" s="486"/>
      <c r="CB61" s="486"/>
      <c r="CC61" s="486"/>
      <c r="CD61" s="491">
        <f>CD59</f>
        <v>100000</v>
      </c>
      <c r="CE61" s="496"/>
      <c r="CF61" s="496"/>
      <c r="CG61" s="496"/>
      <c r="CH61" s="496"/>
      <c r="CI61" s="496"/>
      <c r="CJ61" s="496"/>
      <c r="CK61" s="496"/>
      <c r="CL61" s="496"/>
      <c r="CM61" s="496"/>
      <c r="CN61" s="496"/>
      <c r="CO61" s="496"/>
      <c r="CP61" s="496"/>
      <c r="CQ61" s="496"/>
      <c r="CR61" s="496"/>
      <c r="CS61" s="496"/>
    </row>
    <row r="62" spans="1:97" s="23" customFormat="1" ht="15" customHeight="1" x14ac:dyDescent="0.3">
      <c r="A62" s="24"/>
      <c r="B62" s="24"/>
      <c r="C62" s="24"/>
      <c r="D62" s="24"/>
      <c r="E62" s="24"/>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row>
    <row r="63" spans="1:97" s="41" customFormat="1" ht="15" customHeight="1" x14ac:dyDescent="0.3">
      <c r="A63" s="470" t="s">
        <v>296</v>
      </c>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0"/>
      <c r="BM63" s="470"/>
      <c r="BN63" s="470"/>
      <c r="BO63" s="470"/>
      <c r="BP63" s="470"/>
      <c r="BQ63" s="470"/>
      <c r="BR63" s="470"/>
      <c r="BS63" s="470"/>
      <c r="BT63" s="470"/>
      <c r="BU63" s="470"/>
      <c r="BV63" s="470"/>
      <c r="BW63" s="470"/>
      <c r="BX63" s="470"/>
      <c r="BY63" s="470"/>
      <c r="BZ63" s="470"/>
      <c r="CA63" s="470"/>
      <c r="CB63" s="470"/>
      <c r="CC63" s="470"/>
      <c r="CD63" s="470"/>
      <c r="CE63" s="470"/>
      <c r="CF63" s="470"/>
      <c r="CG63" s="470"/>
      <c r="CH63" s="470"/>
      <c r="CI63" s="470"/>
      <c r="CJ63" s="470"/>
      <c r="CK63" s="470"/>
      <c r="CL63" s="470"/>
      <c r="CM63" s="470"/>
      <c r="CN63" s="470"/>
      <c r="CO63" s="470"/>
      <c r="CP63" s="470"/>
      <c r="CQ63" s="470"/>
      <c r="CR63" s="470"/>
      <c r="CS63" s="470"/>
    </row>
    <row r="64" spans="1:97" s="27" customFormat="1" ht="6" customHeight="1" x14ac:dyDescent="0.3"/>
    <row r="65" spans="1:100" s="20" customFormat="1" ht="15.6" x14ac:dyDescent="0.3">
      <c r="A65" s="470" t="s">
        <v>268</v>
      </c>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90" t="s">
        <v>453</v>
      </c>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0"/>
      <c r="BW65" s="490"/>
      <c r="BX65" s="490"/>
      <c r="BY65" s="490"/>
      <c r="BZ65" s="490"/>
      <c r="CA65" s="490"/>
      <c r="CB65" s="490"/>
      <c r="CC65" s="490"/>
      <c r="CD65" s="490"/>
      <c r="CE65" s="490"/>
      <c r="CF65" s="490"/>
      <c r="CG65" s="490"/>
      <c r="CH65" s="490"/>
      <c r="CI65" s="490"/>
      <c r="CJ65" s="490"/>
      <c r="CK65" s="490"/>
      <c r="CL65" s="490"/>
      <c r="CM65" s="490"/>
      <c r="CN65" s="490"/>
      <c r="CO65" s="490"/>
      <c r="CP65" s="490"/>
      <c r="CQ65" s="490"/>
      <c r="CR65" s="490"/>
      <c r="CS65" s="490"/>
    </row>
    <row r="66" spans="1:100" ht="10.5" customHeight="1" x14ac:dyDescent="0.25"/>
    <row r="67" spans="1:100" s="21" customFormat="1" ht="65.25" customHeight="1" x14ac:dyDescent="0.3">
      <c r="A67" s="485" t="s">
        <v>263</v>
      </c>
      <c r="B67" s="485"/>
      <c r="C67" s="485"/>
      <c r="D67" s="485"/>
      <c r="E67" s="485"/>
      <c r="F67" s="485" t="s">
        <v>269</v>
      </c>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72" t="s">
        <v>454</v>
      </c>
      <c r="AW67" s="473"/>
      <c r="AX67" s="473"/>
      <c r="AY67" s="473"/>
      <c r="AZ67" s="473"/>
      <c r="BA67" s="473"/>
      <c r="BB67" s="473"/>
      <c r="BC67" s="473"/>
      <c r="BD67" s="473"/>
      <c r="BE67" s="473"/>
      <c r="BF67" s="473"/>
      <c r="BG67" s="473"/>
      <c r="BH67" s="473"/>
      <c r="BI67" s="473"/>
      <c r="BJ67" s="473"/>
      <c r="BK67" s="473"/>
      <c r="BL67" s="474"/>
      <c r="BM67" s="472" t="s">
        <v>455</v>
      </c>
      <c r="BN67" s="473"/>
      <c r="BO67" s="473"/>
      <c r="BP67" s="473"/>
      <c r="BQ67" s="473"/>
      <c r="BR67" s="473"/>
      <c r="BS67" s="473"/>
      <c r="BT67" s="473"/>
      <c r="BU67" s="473"/>
      <c r="BV67" s="473"/>
      <c r="BW67" s="473"/>
      <c r="BX67" s="473"/>
      <c r="BY67" s="473"/>
      <c r="BZ67" s="473"/>
      <c r="CA67" s="473"/>
      <c r="CB67" s="473"/>
      <c r="CC67" s="474"/>
      <c r="CD67" s="472" t="s">
        <v>244</v>
      </c>
      <c r="CE67" s="473"/>
      <c r="CF67" s="473"/>
      <c r="CG67" s="473"/>
      <c r="CH67" s="473"/>
      <c r="CI67" s="473"/>
      <c r="CJ67" s="473"/>
      <c r="CK67" s="473"/>
      <c r="CL67" s="473"/>
      <c r="CM67" s="473"/>
      <c r="CN67" s="473"/>
      <c r="CO67" s="473"/>
      <c r="CP67" s="473"/>
      <c r="CQ67" s="473"/>
      <c r="CR67" s="473"/>
      <c r="CS67" s="474"/>
    </row>
    <row r="68" spans="1:100" s="22" customFormat="1" x14ac:dyDescent="0.3">
      <c r="A68" s="466">
        <v>1</v>
      </c>
      <c r="B68" s="467"/>
      <c r="C68" s="467"/>
      <c r="D68" s="467"/>
      <c r="E68" s="468"/>
      <c r="F68" s="466">
        <v>2</v>
      </c>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8"/>
      <c r="AV68" s="465">
        <v>3</v>
      </c>
      <c r="AW68" s="465"/>
      <c r="AX68" s="465"/>
      <c r="AY68" s="465"/>
      <c r="AZ68" s="465"/>
      <c r="BA68" s="465"/>
      <c r="BB68" s="465"/>
      <c r="BC68" s="465"/>
      <c r="BD68" s="465"/>
      <c r="BE68" s="465"/>
      <c r="BF68" s="465"/>
      <c r="BG68" s="465"/>
      <c r="BH68" s="465"/>
      <c r="BI68" s="465"/>
      <c r="BJ68" s="465"/>
      <c r="BK68" s="465"/>
      <c r="BL68" s="465"/>
      <c r="BM68" s="465">
        <v>4</v>
      </c>
      <c r="BN68" s="465"/>
      <c r="BO68" s="465"/>
      <c r="BP68" s="465"/>
      <c r="BQ68" s="465"/>
      <c r="BR68" s="465"/>
      <c r="BS68" s="465"/>
      <c r="BT68" s="465"/>
      <c r="BU68" s="465"/>
      <c r="BV68" s="465"/>
      <c r="BW68" s="465"/>
      <c r="BX68" s="465"/>
      <c r="BY68" s="465"/>
      <c r="BZ68" s="465"/>
      <c r="CA68" s="465"/>
      <c r="CB68" s="465"/>
      <c r="CC68" s="465"/>
      <c r="CD68" s="465">
        <v>5</v>
      </c>
      <c r="CE68" s="465"/>
      <c r="CF68" s="465"/>
      <c r="CG68" s="465"/>
      <c r="CH68" s="465"/>
      <c r="CI68" s="465"/>
      <c r="CJ68" s="465"/>
      <c r="CK68" s="465"/>
      <c r="CL68" s="465"/>
      <c r="CM68" s="465"/>
      <c r="CN68" s="465"/>
      <c r="CO68" s="465"/>
      <c r="CP68" s="465"/>
      <c r="CQ68" s="465"/>
      <c r="CR68" s="465"/>
      <c r="CS68" s="465"/>
    </row>
    <row r="69" spans="1:100" s="23" customFormat="1" ht="15" hidden="1" customHeight="1" x14ac:dyDescent="0.3">
      <c r="A69" s="452" t="s">
        <v>441</v>
      </c>
      <c r="B69" s="452"/>
      <c r="C69" s="452"/>
      <c r="D69" s="452"/>
      <c r="E69" s="452"/>
      <c r="F69" s="459" t="s">
        <v>456</v>
      </c>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86"/>
      <c r="AW69" s="486"/>
      <c r="AX69" s="486"/>
      <c r="AY69" s="486"/>
      <c r="AZ69" s="486"/>
      <c r="BA69" s="486"/>
      <c r="BB69" s="486"/>
      <c r="BC69" s="486"/>
      <c r="BD69" s="486"/>
      <c r="BE69" s="486"/>
      <c r="BF69" s="486"/>
      <c r="BG69" s="486"/>
      <c r="BH69" s="486"/>
      <c r="BI69" s="486"/>
      <c r="BJ69" s="486"/>
      <c r="BK69" s="486"/>
      <c r="BL69" s="486"/>
      <c r="BM69" s="492"/>
      <c r="BN69" s="492"/>
      <c r="BO69" s="492"/>
      <c r="BP69" s="492"/>
      <c r="BQ69" s="492"/>
      <c r="BR69" s="492"/>
      <c r="BS69" s="492"/>
      <c r="BT69" s="492"/>
      <c r="BU69" s="492"/>
      <c r="BV69" s="492"/>
      <c r="BW69" s="492"/>
      <c r="BX69" s="492"/>
      <c r="BY69" s="492"/>
      <c r="BZ69" s="492"/>
      <c r="CA69" s="492"/>
      <c r="CB69" s="492"/>
      <c r="CC69" s="492"/>
      <c r="CD69" s="492"/>
      <c r="CE69" s="492"/>
      <c r="CF69" s="492"/>
      <c r="CG69" s="492"/>
      <c r="CH69" s="492"/>
      <c r="CI69" s="492"/>
      <c r="CJ69" s="492"/>
      <c r="CK69" s="492"/>
      <c r="CL69" s="492"/>
      <c r="CM69" s="492"/>
      <c r="CN69" s="492"/>
      <c r="CO69" s="492"/>
      <c r="CP69" s="492"/>
      <c r="CQ69" s="492"/>
      <c r="CR69" s="492"/>
      <c r="CS69" s="492"/>
    </row>
    <row r="70" spans="1:100" s="23" customFormat="1" ht="15" customHeight="1" x14ac:dyDescent="0.3">
      <c r="A70" s="452" t="s">
        <v>441</v>
      </c>
      <c r="B70" s="452"/>
      <c r="C70" s="452"/>
      <c r="D70" s="452"/>
      <c r="E70" s="452"/>
      <c r="F70" s="459" t="s">
        <v>456</v>
      </c>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86">
        <v>15</v>
      </c>
      <c r="AW70" s="486"/>
      <c r="AX70" s="486"/>
      <c r="AY70" s="486"/>
      <c r="AZ70" s="486"/>
      <c r="BA70" s="486"/>
      <c r="BB70" s="486"/>
      <c r="BC70" s="486"/>
      <c r="BD70" s="486"/>
      <c r="BE70" s="486"/>
      <c r="BF70" s="486"/>
      <c r="BG70" s="486"/>
      <c r="BH70" s="486"/>
      <c r="BI70" s="486"/>
      <c r="BJ70" s="486"/>
      <c r="BK70" s="486"/>
      <c r="BL70" s="486"/>
      <c r="BM70" s="492">
        <f>CD70/AV70</f>
        <v>10000</v>
      </c>
      <c r="BN70" s="492"/>
      <c r="BO70" s="492"/>
      <c r="BP70" s="492"/>
      <c r="BQ70" s="492"/>
      <c r="BR70" s="492"/>
      <c r="BS70" s="492"/>
      <c r="BT70" s="492"/>
      <c r="BU70" s="492"/>
      <c r="BV70" s="492"/>
      <c r="BW70" s="492"/>
      <c r="BX70" s="492"/>
      <c r="BY70" s="492"/>
      <c r="BZ70" s="492"/>
      <c r="CA70" s="492"/>
      <c r="CB70" s="492"/>
      <c r="CC70" s="492"/>
      <c r="CD70" s="492">
        <f>150000</f>
        <v>150000</v>
      </c>
      <c r="CE70" s="492"/>
      <c r="CF70" s="492"/>
      <c r="CG70" s="492"/>
      <c r="CH70" s="492"/>
      <c r="CI70" s="492"/>
      <c r="CJ70" s="492"/>
      <c r="CK70" s="492"/>
      <c r="CL70" s="492"/>
      <c r="CM70" s="492"/>
      <c r="CN70" s="492"/>
      <c r="CO70" s="492"/>
      <c r="CP70" s="492"/>
      <c r="CQ70" s="492"/>
      <c r="CR70" s="492"/>
      <c r="CS70" s="492"/>
    </row>
    <row r="71" spans="1:100" s="23" customFormat="1" ht="15" hidden="1" customHeight="1" x14ac:dyDescent="0.3">
      <c r="A71" s="452" t="s">
        <v>444</v>
      </c>
      <c r="B71" s="452"/>
      <c r="C71" s="452"/>
      <c r="D71" s="452"/>
      <c r="E71" s="452"/>
      <c r="F71" s="459" t="s">
        <v>456</v>
      </c>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86"/>
      <c r="AW71" s="486"/>
      <c r="AX71" s="486"/>
      <c r="AY71" s="486"/>
      <c r="AZ71" s="486"/>
      <c r="BA71" s="486"/>
      <c r="BB71" s="486"/>
      <c r="BC71" s="486"/>
      <c r="BD71" s="486"/>
      <c r="BE71" s="486"/>
      <c r="BF71" s="486"/>
      <c r="BG71" s="486"/>
      <c r="BH71" s="486"/>
      <c r="BI71" s="486"/>
      <c r="BJ71" s="486"/>
      <c r="BK71" s="486"/>
      <c r="BL71" s="486"/>
      <c r="BM71" s="492"/>
      <c r="BN71" s="492"/>
      <c r="BO71" s="492"/>
      <c r="BP71" s="492"/>
      <c r="BQ71" s="492"/>
      <c r="BR71" s="492"/>
      <c r="BS71" s="492"/>
      <c r="BT71" s="492"/>
      <c r="BU71" s="492"/>
      <c r="BV71" s="492"/>
      <c r="BW71" s="492"/>
      <c r="BX71" s="492"/>
      <c r="BY71" s="492"/>
      <c r="BZ71" s="492"/>
      <c r="CA71" s="492"/>
      <c r="CB71" s="492"/>
      <c r="CC71" s="492"/>
      <c r="CD71" s="492"/>
      <c r="CE71" s="492"/>
      <c r="CF71" s="492"/>
      <c r="CG71" s="492"/>
      <c r="CH71" s="492"/>
      <c r="CI71" s="492"/>
      <c r="CJ71" s="492"/>
      <c r="CK71" s="492"/>
      <c r="CL71" s="492"/>
      <c r="CM71" s="492"/>
      <c r="CN71" s="492"/>
      <c r="CO71" s="492"/>
      <c r="CP71" s="492"/>
      <c r="CQ71" s="492"/>
      <c r="CR71" s="492"/>
      <c r="CS71" s="492"/>
    </row>
    <row r="72" spans="1:100" s="23" customFormat="1" ht="15" customHeight="1" x14ac:dyDescent="0.3">
      <c r="A72" s="452"/>
      <c r="B72" s="452"/>
      <c r="C72" s="452"/>
      <c r="D72" s="452"/>
      <c r="E72" s="452"/>
      <c r="F72" s="463" t="s">
        <v>56</v>
      </c>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4"/>
      <c r="AV72" s="486" t="s">
        <v>4</v>
      </c>
      <c r="AW72" s="486"/>
      <c r="AX72" s="486"/>
      <c r="AY72" s="486"/>
      <c r="AZ72" s="486"/>
      <c r="BA72" s="486"/>
      <c r="BB72" s="486"/>
      <c r="BC72" s="486"/>
      <c r="BD72" s="486"/>
      <c r="BE72" s="486"/>
      <c r="BF72" s="486"/>
      <c r="BG72" s="486"/>
      <c r="BH72" s="486"/>
      <c r="BI72" s="486"/>
      <c r="BJ72" s="486"/>
      <c r="BK72" s="486"/>
      <c r="BL72" s="486"/>
      <c r="BM72" s="486" t="s">
        <v>4</v>
      </c>
      <c r="BN72" s="486"/>
      <c r="BO72" s="486"/>
      <c r="BP72" s="486"/>
      <c r="BQ72" s="486"/>
      <c r="BR72" s="486"/>
      <c r="BS72" s="486"/>
      <c r="BT72" s="486"/>
      <c r="BU72" s="486"/>
      <c r="BV72" s="486"/>
      <c r="BW72" s="486"/>
      <c r="BX72" s="486"/>
      <c r="BY72" s="486"/>
      <c r="BZ72" s="486"/>
      <c r="CA72" s="486"/>
      <c r="CB72" s="486"/>
      <c r="CC72" s="486"/>
      <c r="CD72" s="491">
        <f>SUM(CD69:CD71)</f>
        <v>150000</v>
      </c>
      <c r="CE72" s="496"/>
      <c r="CF72" s="496"/>
      <c r="CG72" s="496"/>
      <c r="CH72" s="496"/>
      <c r="CI72" s="496"/>
      <c r="CJ72" s="496"/>
      <c r="CK72" s="496"/>
      <c r="CL72" s="496"/>
      <c r="CM72" s="496"/>
      <c r="CN72" s="496"/>
      <c r="CO72" s="496"/>
      <c r="CP72" s="496"/>
      <c r="CQ72" s="496"/>
      <c r="CR72" s="496"/>
      <c r="CS72" s="496"/>
    </row>
    <row r="73" spans="1:100" s="23" customFormat="1" ht="15" customHeight="1" x14ac:dyDescent="0.3">
      <c r="A73" s="24"/>
      <c r="B73" s="24"/>
      <c r="C73" s="24"/>
      <c r="D73" s="24"/>
      <c r="E73" s="24"/>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row>
    <row r="74" spans="1:100" s="41" customFormat="1" ht="30.75" customHeight="1" x14ac:dyDescent="0.3">
      <c r="A74" s="484" t="s">
        <v>307</v>
      </c>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c r="BP74" s="484"/>
      <c r="BQ74" s="484"/>
      <c r="BR74" s="484"/>
      <c r="BS74" s="484"/>
      <c r="BT74" s="484"/>
      <c r="BU74" s="484"/>
      <c r="BV74" s="484"/>
      <c r="BW74" s="484"/>
      <c r="BX74" s="484"/>
      <c r="BY74" s="484"/>
      <c r="BZ74" s="484"/>
      <c r="CA74" s="484"/>
      <c r="CB74" s="484"/>
      <c r="CC74" s="484"/>
      <c r="CD74" s="484"/>
      <c r="CE74" s="484"/>
      <c r="CF74" s="484"/>
      <c r="CG74" s="484"/>
      <c r="CH74" s="484"/>
      <c r="CI74" s="484"/>
      <c r="CJ74" s="484"/>
      <c r="CK74" s="484"/>
      <c r="CL74" s="484"/>
      <c r="CM74" s="484"/>
      <c r="CN74" s="484"/>
      <c r="CO74" s="484"/>
      <c r="CP74" s="484"/>
      <c r="CQ74" s="484"/>
      <c r="CR74" s="484"/>
      <c r="CS74" s="484"/>
    </row>
    <row r="75" spans="1:100" s="27" customFormat="1" ht="11.25" customHeight="1" x14ac:dyDescent="0.3"/>
    <row r="76" spans="1:100" s="20" customFormat="1" ht="15" customHeight="1" x14ac:dyDescent="0.3">
      <c r="A76" s="470" t="s">
        <v>268</v>
      </c>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90" t="s">
        <v>453</v>
      </c>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0"/>
      <c r="BT76" s="490"/>
      <c r="BU76" s="490"/>
      <c r="BV76" s="490"/>
      <c r="BW76" s="490"/>
      <c r="BX76" s="490"/>
      <c r="BY76" s="490"/>
      <c r="BZ76" s="490"/>
      <c r="CA76" s="490"/>
      <c r="CB76" s="490"/>
      <c r="CC76" s="490"/>
      <c r="CD76" s="490"/>
      <c r="CE76" s="490"/>
      <c r="CF76" s="490"/>
      <c r="CG76" s="490"/>
      <c r="CH76" s="490"/>
      <c r="CI76" s="490"/>
      <c r="CJ76" s="490"/>
      <c r="CK76" s="490"/>
      <c r="CL76" s="490"/>
      <c r="CM76" s="490"/>
      <c r="CN76" s="490"/>
      <c r="CO76" s="490"/>
      <c r="CP76" s="490"/>
      <c r="CQ76" s="490"/>
      <c r="CR76" s="490"/>
      <c r="CS76" s="490"/>
    </row>
    <row r="77" spans="1:100" ht="10.5" customHeight="1" x14ac:dyDescent="0.25"/>
    <row r="78" spans="1:100" s="21" customFormat="1" ht="60" customHeight="1" x14ac:dyDescent="0.3">
      <c r="A78" s="485" t="s">
        <v>263</v>
      </c>
      <c r="B78" s="485"/>
      <c r="C78" s="485"/>
      <c r="D78" s="485"/>
      <c r="E78" s="485"/>
      <c r="F78" s="485" t="s">
        <v>271</v>
      </c>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t="s">
        <v>244</v>
      </c>
      <c r="AW78" s="485"/>
      <c r="AX78" s="485"/>
      <c r="AY78" s="485"/>
      <c r="AZ78" s="485"/>
      <c r="BA78" s="485"/>
      <c r="BB78" s="485"/>
      <c r="BC78" s="485"/>
      <c r="BD78" s="485"/>
      <c r="BE78" s="485"/>
      <c r="BF78" s="485"/>
      <c r="BG78" s="485"/>
      <c r="BH78" s="485"/>
      <c r="BI78" s="485"/>
      <c r="BJ78" s="485"/>
      <c r="BK78" s="485"/>
      <c r="BL78" s="485"/>
      <c r="BM78" s="485"/>
      <c r="BN78" s="485"/>
      <c r="BO78" s="485"/>
      <c r="BP78" s="485"/>
      <c r="BQ78" s="485"/>
      <c r="BR78" s="485"/>
      <c r="BS78" s="485"/>
      <c r="BT78" s="485"/>
      <c r="BU78" s="485"/>
      <c r="BV78" s="485"/>
      <c r="BW78" s="485"/>
      <c r="BX78" s="485"/>
      <c r="BY78" s="485"/>
      <c r="BZ78" s="485"/>
      <c r="CA78" s="485"/>
      <c r="CB78" s="485"/>
      <c r="CC78" s="485"/>
      <c r="CD78" s="485"/>
      <c r="CE78" s="485"/>
      <c r="CF78" s="485"/>
      <c r="CG78" s="485"/>
      <c r="CH78" s="485"/>
      <c r="CI78" s="485"/>
      <c r="CJ78" s="485"/>
      <c r="CK78" s="485"/>
      <c r="CL78" s="485"/>
      <c r="CM78" s="485"/>
      <c r="CN78" s="485"/>
      <c r="CO78" s="485"/>
      <c r="CP78" s="485"/>
      <c r="CQ78" s="485"/>
      <c r="CR78" s="485"/>
      <c r="CS78" s="485"/>
    </row>
    <row r="79" spans="1:100" s="22" customFormat="1" x14ac:dyDescent="0.3">
      <c r="A79" s="466">
        <v>1</v>
      </c>
      <c r="B79" s="467"/>
      <c r="C79" s="467"/>
      <c r="D79" s="467"/>
      <c r="E79" s="468"/>
      <c r="F79" s="466">
        <v>2</v>
      </c>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8"/>
      <c r="AV79" s="466">
        <v>3</v>
      </c>
      <c r="AW79" s="467"/>
      <c r="AX79" s="467"/>
      <c r="AY79" s="467"/>
      <c r="AZ79" s="467"/>
      <c r="BA79" s="467"/>
      <c r="BB79" s="467"/>
      <c r="BC79" s="467"/>
      <c r="BD79" s="467"/>
      <c r="BE79" s="467"/>
      <c r="BF79" s="467"/>
      <c r="BG79" s="467"/>
      <c r="BH79" s="467"/>
      <c r="BI79" s="467"/>
      <c r="BJ79" s="467"/>
      <c r="BK79" s="467"/>
      <c r="BL79" s="467"/>
      <c r="BM79" s="467"/>
      <c r="BN79" s="467"/>
      <c r="BO79" s="467"/>
      <c r="BP79" s="467"/>
      <c r="BQ79" s="467"/>
      <c r="BR79" s="467"/>
      <c r="BS79" s="467"/>
      <c r="BT79" s="467"/>
      <c r="BU79" s="467"/>
      <c r="BV79" s="467"/>
      <c r="BW79" s="467"/>
      <c r="BX79" s="467"/>
      <c r="BY79" s="467"/>
      <c r="BZ79" s="467"/>
      <c r="CA79" s="467"/>
      <c r="CB79" s="467"/>
      <c r="CC79" s="467"/>
      <c r="CD79" s="467"/>
      <c r="CE79" s="467"/>
      <c r="CF79" s="467"/>
      <c r="CG79" s="467"/>
      <c r="CH79" s="467"/>
      <c r="CI79" s="467"/>
      <c r="CJ79" s="467"/>
      <c r="CK79" s="467"/>
      <c r="CL79" s="467"/>
      <c r="CM79" s="467"/>
      <c r="CN79" s="467"/>
      <c r="CO79" s="467"/>
      <c r="CP79" s="467"/>
      <c r="CQ79" s="467"/>
      <c r="CR79" s="467"/>
      <c r="CS79" s="468"/>
    </row>
    <row r="80" spans="1:100" s="23" customFormat="1" ht="102.6" customHeight="1" x14ac:dyDescent="0.3">
      <c r="A80" s="452" t="s">
        <v>441</v>
      </c>
      <c r="B80" s="452"/>
      <c r="C80" s="452"/>
      <c r="D80" s="452"/>
      <c r="E80" s="452"/>
      <c r="F80" s="459" t="s">
        <v>872</v>
      </c>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49">
        <v>335900</v>
      </c>
      <c r="AW80" s="450"/>
      <c r="AX80" s="450"/>
      <c r="AY80" s="450"/>
      <c r="AZ80" s="450"/>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c r="CE80" s="450"/>
      <c r="CF80" s="450"/>
      <c r="CG80" s="450"/>
      <c r="CH80" s="450"/>
      <c r="CI80" s="450"/>
      <c r="CJ80" s="450"/>
      <c r="CK80" s="450"/>
      <c r="CL80" s="450"/>
      <c r="CM80" s="450"/>
      <c r="CN80" s="450"/>
      <c r="CO80" s="450"/>
      <c r="CP80" s="450"/>
      <c r="CQ80" s="450"/>
      <c r="CR80" s="450"/>
      <c r="CS80" s="451"/>
      <c r="CV80" s="39"/>
    </row>
    <row r="81" spans="1:100" s="23" customFormat="1" ht="72.599999999999994" customHeight="1" x14ac:dyDescent="0.3">
      <c r="A81" s="452" t="s">
        <v>444</v>
      </c>
      <c r="B81" s="452"/>
      <c r="C81" s="452"/>
      <c r="D81" s="452"/>
      <c r="E81" s="452"/>
      <c r="F81" s="446" t="s">
        <v>873</v>
      </c>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8"/>
      <c r="AV81" s="449">
        <v>92700</v>
      </c>
      <c r="AW81" s="450"/>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c r="CE81" s="450"/>
      <c r="CF81" s="450"/>
      <c r="CG81" s="450"/>
      <c r="CH81" s="450"/>
      <c r="CI81" s="450"/>
      <c r="CJ81" s="450"/>
      <c r="CK81" s="450"/>
      <c r="CL81" s="450"/>
      <c r="CM81" s="450"/>
      <c r="CN81" s="450"/>
      <c r="CO81" s="450"/>
      <c r="CP81" s="450"/>
      <c r="CQ81" s="450"/>
      <c r="CR81" s="450"/>
      <c r="CS81" s="451"/>
      <c r="CV81" s="39"/>
    </row>
    <row r="82" spans="1:100" s="23" customFormat="1" ht="56.4" customHeight="1" x14ac:dyDescent="0.3">
      <c r="A82" s="452" t="s">
        <v>446</v>
      </c>
      <c r="B82" s="452"/>
      <c r="C82" s="452"/>
      <c r="D82" s="452"/>
      <c r="E82" s="452"/>
      <c r="F82" s="446" t="s">
        <v>874</v>
      </c>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8"/>
      <c r="AV82" s="449">
        <v>1620000</v>
      </c>
      <c r="AW82" s="450"/>
      <c r="AX82" s="450"/>
      <c r="AY82" s="450"/>
      <c r="AZ82" s="450"/>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c r="CE82" s="450"/>
      <c r="CF82" s="450"/>
      <c r="CG82" s="450"/>
      <c r="CH82" s="450"/>
      <c r="CI82" s="450"/>
      <c r="CJ82" s="450"/>
      <c r="CK82" s="450"/>
      <c r="CL82" s="450"/>
      <c r="CM82" s="450"/>
      <c r="CN82" s="450"/>
      <c r="CO82" s="450"/>
      <c r="CP82" s="450"/>
      <c r="CQ82" s="450"/>
      <c r="CR82" s="450"/>
      <c r="CS82" s="451"/>
      <c r="CV82" s="39"/>
    </row>
    <row r="83" spans="1:100" s="23" customFormat="1" ht="29.4" customHeight="1" x14ac:dyDescent="0.3">
      <c r="A83" s="452" t="s">
        <v>551</v>
      </c>
      <c r="B83" s="452"/>
      <c r="C83" s="452"/>
      <c r="D83" s="452"/>
      <c r="E83" s="452"/>
      <c r="F83" s="446" t="s">
        <v>875</v>
      </c>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8"/>
      <c r="AV83" s="449">
        <v>1520900</v>
      </c>
      <c r="AW83" s="450"/>
      <c r="AX83" s="450"/>
      <c r="AY83" s="450"/>
      <c r="AZ83" s="450"/>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c r="CE83" s="450"/>
      <c r="CF83" s="450"/>
      <c r="CG83" s="450"/>
      <c r="CH83" s="450"/>
      <c r="CI83" s="450"/>
      <c r="CJ83" s="450"/>
      <c r="CK83" s="450"/>
      <c r="CL83" s="450"/>
      <c r="CM83" s="450"/>
      <c r="CN83" s="450"/>
      <c r="CO83" s="450"/>
      <c r="CP83" s="450"/>
      <c r="CQ83" s="450"/>
      <c r="CR83" s="450"/>
      <c r="CS83" s="451"/>
      <c r="CV83" s="39"/>
    </row>
    <row r="84" spans="1:100" s="23" customFormat="1" ht="27.6" customHeight="1" x14ac:dyDescent="0.3">
      <c r="A84" s="453" t="s">
        <v>599</v>
      </c>
      <c r="B84" s="454"/>
      <c r="C84" s="454"/>
      <c r="D84" s="454"/>
      <c r="E84" s="455"/>
      <c r="F84" s="446" t="s">
        <v>876</v>
      </c>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8"/>
      <c r="AV84" s="449">
        <f>2300000-11500</f>
        <v>2288500</v>
      </c>
      <c r="AW84" s="450"/>
      <c r="AX84" s="450"/>
      <c r="AY84" s="450"/>
      <c r="AZ84" s="450"/>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c r="CE84" s="450"/>
      <c r="CF84" s="450"/>
      <c r="CG84" s="450"/>
      <c r="CH84" s="450"/>
      <c r="CI84" s="450"/>
      <c r="CJ84" s="450"/>
      <c r="CK84" s="450"/>
      <c r="CL84" s="450"/>
      <c r="CM84" s="450"/>
      <c r="CN84" s="450"/>
      <c r="CO84" s="450"/>
      <c r="CP84" s="450"/>
      <c r="CQ84" s="450"/>
      <c r="CR84" s="450"/>
      <c r="CS84" s="451"/>
      <c r="CV84" s="39"/>
    </row>
    <row r="85" spans="1:100" s="23" customFormat="1" ht="27.6" customHeight="1" x14ac:dyDescent="0.3">
      <c r="A85" s="453" t="s">
        <v>642</v>
      </c>
      <c r="B85" s="454"/>
      <c r="C85" s="454"/>
      <c r="D85" s="454"/>
      <c r="E85" s="455"/>
      <c r="F85" s="446" t="s">
        <v>877</v>
      </c>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8"/>
      <c r="AV85" s="449">
        <v>23965600</v>
      </c>
      <c r="AW85" s="450"/>
      <c r="AX85" s="450"/>
      <c r="AY85" s="450"/>
      <c r="AZ85" s="450"/>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c r="CE85" s="450"/>
      <c r="CF85" s="450"/>
      <c r="CG85" s="450"/>
      <c r="CH85" s="450"/>
      <c r="CI85" s="450"/>
      <c r="CJ85" s="450"/>
      <c r="CK85" s="450"/>
      <c r="CL85" s="450"/>
      <c r="CM85" s="450"/>
      <c r="CN85" s="450"/>
      <c r="CO85" s="450"/>
      <c r="CP85" s="450"/>
      <c r="CQ85" s="450"/>
      <c r="CR85" s="450"/>
      <c r="CS85" s="451"/>
      <c r="CV85" s="39"/>
    </row>
    <row r="86" spans="1:100" s="23" customFormat="1" ht="58.2" customHeight="1" x14ac:dyDescent="0.3">
      <c r="A86" s="453" t="s">
        <v>648</v>
      </c>
      <c r="B86" s="454"/>
      <c r="C86" s="454"/>
      <c r="D86" s="454"/>
      <c r="E86" s="455"/>
      <c r="F86" s="446" t="s">
        <v>878</v>
      </c>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8"/>
      <c r="AV86" s="449">
        <v>285000</v>
      </c>
      <c r="AW86" s="450"/>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c r="CE86" s="450"/>
      <c r="CF86" s="450"/>
      <c r="CG86" s="450"/>
      <c r="CH86" s="450"/>
      <c r="CI86" s="450"/>
      <c r="CJ86" s="450"/>
      <c r="CK86" s="450"/>
      <c r="CL86" s="450"/>
      <c r="CM86" s="450"/>
      <c r="CN86" s="450"/>
      <c r="CO86" s="450"/>
      <c r="CP86" s="450"/>
      <c r="CQ86" s="450"/>
      <c r="CR86" s="450"/>
      <c r="CS86" s="451"/>
      <c r="CV86" s="39"/>
    </row>
    <row r="87" spans="1:100" s="23" customFormat="1" ht="38.4" customHeight="1" x14ac:dyDescent="0.3">
      <c r="A87" s="453" t="s">
        <v>650</v>
      </c>
      <c r="B87" s="454"/>
      <c r="C87" s="454"/>
      <c r="D87" s="454"/>
      <c r="E87" s="455"/>
      <c r="F87" s="446" t="s">
        <v>879</v>
      </c>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8"/>
      <c r="AV87" s="449">
        <v>1071900</v>
      </c>
      <c r="AW87" s="450"/>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c r="CE87" s="450"/>
      <c r="CF87" s="450"/>
      <c r="CG87" s="450"/>
      <c r="CH87" s="450"/>
      <c r="CI87" s="450"/>
      <c r="CJ87" s="450"/>
      <c r="CK87" s="450"/>
      <c r="CL87" s="450"/>
      <c r="CM87" s="450"/>
      <c r="CN87" s="450"/>
      <c r="CO87" s="450"/>
      <c r="CP87" s="450"/>
      <c r="CQ87" s="450"/>
      <c r="CR87" s="450"/>
      <c r="CS87" s="451"/>
      <c r="CV87" s="39"/>
    </row>
    <row r="88" spans="1:100" s="23" customFormat="1" ht="27" customHeight="1" x14ac:dyDescent="0.3">
      <c r="A88" s="453" t="s">
        <v>651</v>
      </c>
      <c r="B88" s="454"/>
      <c r="C88" s="454"/>
      <c r="D88" s="454"/>
      <c r="E88" s="455"/>
      <c r="F88" s="446" t="s">
        <v>880</v>
      </c>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8"/>
      <c r="AV88" s="449">
        <v>715000</v>
      </c>
      <c r="AW88" s="450"/>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c r="CE88" s="450"/>
      <c r="CF88" s="450"/>
      <c r="CG88" s="450"/>
      <c r="CH88" s="450"/>
      <c r="CI88" s="450"/>
      <c r="CJ88" s="450"/>
      <c r="CK88" s="450"/>
      <c r="CL88" s="450"/>
      <c r="CM88" s="450"/>
      <c r="CN88" s="450"/>
      <c r="CO88" s="450"/>
      <c r="CP88" s="450"/>
      <c r="CQ88" s="450"/>
      <c r="CR88" s="450"/>
      <c r="CS88" s="451"/>
      <c r="CV88" s="39"/>
    </row>
    <row r="89" spans="1:100" s="23" customFormat="1" ht="27" customHeight="1" x14ac:dyDescent="0.3">
      <c r="A89" s="453" t="s">
        <v>653</v>
      </c>
      <c r="B89" s="454"/>
      <c r="C89" s="454"/>
      <c r="D89" s="454"/>
      <c r="E89" s="455"/>
      <c r="F89" s="446" t="s">
        <v>1004</v>
      </c>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8"/>
      <c r="AV89" s="449">
        <v>1364604</v>
      </c>
      <c r="AW89" s="450"/>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c r="CE89" s="450"/>
      <c r="CF89" s="450"/>
      <c r="CG89" s="450"/>
      <c r="CH89" s="450"/>
      <c r="CI89" s="450"/>
      <c r="CJ89" s="450"/>
      <c r="CK89" s="450"/>
      <c r="CL89" s="450"/>
      <c r="CM89" s="450"/>
      <c r="CN89" s="450"/>
      <c r="CO89" s="450"/>
      <c r="CP89" s="450"/>
      <c r="CQ89" s="450"/>
      <c r="CR89" s="450"/>
      <c r="CS89" s="451"/>
      <c r="CV89" s="39"/>
    </row>
    <row r="90" spans="1:100" s="23" customFormat="1" ht="57.6" customHeight="1" x14ac:dyDescent="0.3">
      <c r="A90" s="453" t="s">
        <v>654</v>
      </c>
      <c r="B90" s="454"/>
      <c r="C90" s="454"/>
      <c r="D90" s="454"/>
      <c r="E90" s="455"/>
      <c r="F90" s="446" t="s">
        <v>820</v>
      </c>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8"/>
      <c r="AV90" s="449">
        <v>63000</v>
      </c>
      <c r="AW90" s="450"/>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c r="CE90" s="450"/>
      <c r="CF90" s="450"/>
      <c r="CG90" s="450"/>
      <c r="CH90" s="450"/>
      <c r="CI90" s="450"/>
      <c r="CJ90" s="450"/>
      <c r="CK90" s="450"/>
      <c r="CL90" s="450"/>
      <c r="CM90" s="450"/>
      <c r="CN90" s="450"/>
      <c r="CO90" s="450"/>
      <c r="CP90" s="450"/>
      <c r="CQ90" s="450"/>
      <c r="CR90" s="450"/>
      <c r="CS90" s="451"/>
      <c r="CV90" s="39"/>
    </row>
    <row r="91" spans="1:100" s="23" customFormat="1" ht="15" customHeight="1" x14ac:dyDescent="0.3">
      <c r="A91" s="452"/>
      <c r="B91" s="452"/>
      <c r="C91" s="452"/>
      <c r="D91" s="452"/>
      <c r="E91" s="452"/>
      <c r="F91" s="463" t="s">
        <v>56</v>
      </c>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4"/>
      <c r="AV91" s="493">
        <f>SUM(AV80:CS90)</f>
        <v>33323104</v>
      </c>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4"/>
      <c r="BT91" s="494"/>
      <c r="BU91" s="494"/>
      <c r="BV91" s="494"/>
      <c r="BW91" s="494"/>
      <c r="BX91" s="494"/>
      <c r="BY91" s="494"/>
      <c r="BZ91" s="494"/>
      <c r="CA91" s="494"/>
      <c r="CB91" s="494"/>
      <c r="CC91" s="494"/>
      <c r="CD91" s="494"/>
      <c r="CE91" s="494"/>
      <c r="CF91" s="494"/>
      <c r="CG91" s="494"/>
      <c r="CH91" s="494"/>
      <c r="CI91" s="494"/>
      <c r="CJ91" s="494"/>
      <c r="CK91" s="494"/>
      <c r="CL91" s="494"/>
      <c r="CM91" s="494"/>
      <c r="CN91" s="494"/>
      <c r="CO91" s="494"/>
      <c r="CP91" s="494"/>
      <c r="CQ91" s="494"/>
      <c r="CR91" s="494"/>
      <c r="CS91" s="495"/>
    </row>
    <row r="92" spans="1:100" s="23" customFormat="1" ht="15" customHeight="1" x14ac:dyDescent="0.3">
      <c r="A92" s="24"/>
      <c r="B92" s="24"/>
      <c r="C92" s="24"/>
      <c r="D92" s="24"/>
      <c r="E92" s="24"/>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row>
    <row r="93" spans="1:100" s="41" customFormat="1" ht="15" customHeight="1" x14ac:dyDescent="0.3">
      <c r="A93" s="470" t="s">
        <v>297</v>
      </c>
      <c r="B93" s="470"/>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0"/>
      <c r="AY93" s="470"/>
      <c r="AZ93" s="470"/>
      <c r="BA93" s="470"/>
      <c r="BB93" s="470"/>
      <c r="BC93" s="470"/>
      <c r="BD93" s="470"/>
      <c r="BE93" s="470"/>
      <c r="BF93" s="470"/>
      <c r="BG93" s="470"/>
      <c r="BH93" s="470"/>
      <c r="BI93" s="470"/>
      <c r="BJ93" s="470"/>
      <c r="BK93" s="470"/>
      <c r="BL93" s="470"/>
      <c r="BM93" s="470"/>
      <c r="BN93" s="470"/>
      <c r="BO93" s="470"/>
      <c r="BP93" s="470"/>
      <c r="BQ93" s="470"/>
      <c r="BR93" s="470"/>
      <c r="BS93" s="470"/>
      <c r="BT93" s="470"/>
      <c r="BU93" s="470"/>
      <c r="BV93" s="470"/>
      <c r="BW93" s="470"/>
      <c r="BX93" s="470"/>
      <c r="BY93" s="470"/>
      <c r="BZ93" s="470"/>
      <c r="CA93" s="470"/>
      <c r="CB93" s="470"/>
      <c r="CC93" s="470"/>
      <c r="CD93" s="470"/>
      <c r="CE93" s="470"/>
      <c r="CF93" s="470"/>
      <c r="CG93" s="470"/>
      <c r="CH93" s="470"/>
      <c r="CI93" s="470"/>
      <c r="CJ93" s="470"/>
      <c r="CK93" s="470"/>
      <c r="CL93" s="470"/>
      <c r="CM93" s="470"/>
      <c r="CN93" s="470"/>
      <c r="CO93" s="470"/>
      <c r="CP93" s="470"/>
      <c r="CQ93" s="470"/>
      <c r="CR93" s="470"/>
      <c r="CS93" s="470"/>
    </row>
    <row r="94" spans="1:100" s="27" customFormat="1" ht="6" customHeight="1" x14ac:dyDescent="0.3"/>
    <row r="95" spans="1:100" s="20" customFormat="1" ht="15.6" x14ac:dyDescent="0.3">
      <c r="A95" s="470" t="s">
        <v>268</v>
      </c>
      <c r="B95" s="470"/>
      <c r="C95" s="470"/>
      <c r="D95" s="470"/>
      <c r="E95" s="470"/>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90" t="s">
        <v>457</v>
      </c>
      <c r="AR95" s="490"/>
      <c r="AS95" s="490"/>
      <c r="AT95" s="490"/>
      <c r="AU95" s="490"/>
      <c r="AV95" s="490"/>
      <c r="AW95" s="490"/>
      <c r="AX95" s="490"/>
      <c r="AY95" s="490"/>
      <c r="AZ95" s="490"/>
      <c r="BA95" s="490"/>
      <c r="BB95" s="490"/>
      <c r="BC95" s="490"/>
      <c r="BD95" s="490"/>
      <c r="BE95" s="490"/>
      <c r="BF95" s="490"/>
      <c r="BG95" s="490"/>
      <c r="BH95" s="490"/>
      <c r="BI95" s="490"/>
      <c r="BJ95" s="490"/>
      <c r="BK95" s="490"/>
      <c r="BL95" s="490"/>
      <c r="BM95" s="490"/>
      <c r="BN95" s="490"/>
      <c r="BO95" s="490"/>
      <c r="BP95" s="490"/>
      <c r="BQ95" s="490"/>
      <c r="BR95" s="490"/>
      <c r="BS95" s="490"/>
      <c r="BT95" s="490"/>
      <c r="BU95" s="490"/>
      <c r="BV95" s="490"/>
      <c r="BW95" s="490"/>
      <c r="BX95" s="490"/>
      <c r="BY95" s="490"/>
      <c r="BZ95" s="490"/>
      <c r="CA95" s="490"/>
      <c r="CB95" s="490"/>
      <c r="CC95" s="490"/>
      <c r="CD95" s="490"/>
      <c r="CE95" s="490"/>
      <c r="CF95" s="490"/>
      <c r="CG95" s="490"/>
      <c r="CH95" s="490"/>
      <c r="CI95" s="490"/>
      <c r="CJ95" s="490"/>
      <c r="CK95" s="490"/>
      <c r="CL95" s="490"/>
      <c r="CM95" s="490"/>
      <c r="CN95" s="490"/>
      <c r="CO95" s="490"/>
      <c r="CP95" s="490"/>
      <c r="CQ95" s="490"/>
      <c r="CR95" s="490"/>
      <c r="CS95" s="490"/>
    </row>
    <row r="96" spans="1:100" s="20" customForma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42"/>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row>
    <row r="97" spans="1:97" s="21" customFormat="1" ht="60" hidden="1" customHeight="1" x14ac:dyDescent="0.3">
      <c r="A97" s="485" t="s">
        <v>263</v>
      </c>
      <c r="B97" s="485"/>
      <c r="C97" s="485"/>
      <c r="D97" s="485"/>
      <c r="E97" s="485"/>
      <c r="F97" s="487" t="s">
        <v>0</v>
      </c>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9"/>
      <c r="AM97" s="487" t="s">
        <v>196</v>
      </c>
      <c r="AN97" s="488"/>
      <c r="AO97" s="488"/>
      <c r="AP97" s="488"/>
      <c r="AQ97" s="488"/>
      <c r="AR97" s="488"/>
      <c r="AS97" s="488"/>
      <c r="AT97" s="488"/>
      <c r="AU97" s="489"/>
      <c r="AV97" s="472" t="s">
        <v>303</v>
      </c>
      <c r="AW97" s="473"/>
      <c r="AX97" s="473"/>
      <c r="AY97" s="473"/>
      <c r="AZ97" s="473"/>
      <c r="BA97" s="473"/>
      <c r="BB97" s="473"/>
      <c r="BC97" s="473"/>
      <c r="BD97" s="473"/>
      <c r="BE97" s="473"/>
      <c r="BF97" s="473"/>
      <c r="BG97" s="473"/>
      <c r="BH97" s="473"/>
      <c r="BI97" s="473"/>
      <c r="BJ97" s="473"/>
      <c r="BK97" s="473"/>
      <c r="BL97" s="474"/>
      <c r="BM97" s="472" t="s">
        <v>302</v>
      </c>
      <c r="BN97" s="473"/>
      <c r="BO97" s="473"/>
      <c r="BP97" s="473"/>
      <c r="BQ97" s="473"/>
      <c r="BR97" s="473"/>
      <c r="BS97" s="473"/>
      <c r="BT97" s="473"/>
      <c r="BU97" s="473"/>
      <c r="BV97" s="473"/>
      <c r="BW97" s="473"/>
      <c r="BX97" s="473"/>
      <c r="BY97" s="473"/>
      <c r="BZ97" s="473"/>
      <c r="CA97" s="473"/>
      <c r="CB97" s="473"/>
      <c r="CC97" s="474"/>
      <c r="CD97" s="472" t="s">
        <v>244</v>
      </c>
      <c r="CE97" s="473"/>
      <c r="CF97" s="473"/>
      <c r="CG97" s="473"/>
      <c r="CH97" s="473"/>
      <c r="CI97" s="473"/>
      <c r="CJ97" s="473"/>
      <c r="CK97" s="473"/>
      <c r="CL97" s="473"/>
      <c r="CM97" s="473"/>
      <c r="CN97" s="473"/>
      <c r="CO97" s="473"/>
      <c r="CP97" s="473"/>
      <c r="CQ97" s="473"/>
      <c r="CR97" s="473"/>
      <c r="CS97" s="474"/>
    </row>
    <row r="98" spans="1:97" s="22" customFormat="1" hidden="1" x14ac:dyDescent="0.3">
      <c r="A98" s="465">
        <v>1</v>
      </c>
      <c r="B98" s="465"/>
      <c r="C98" s="465"/>
      <c r="D98" s="465"/>
      <c r="E98" s="465"/>
      <c r="F98" s="466">
        <v>2</v>
      </c>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8"/>
      <c r="AM98" s="466">
        <v>3</v>
      </c>
      <c r="AN98" s="467"/>
      <c r="AO98" s="467"/>
      <c r="AP98" s="467"/>
      <c r="AQ98" s="467"/>
      <c r="AR98" s="467"/>
      <c r="AS98" s="467"/>
      <c r="AT98" s="467"/>
      <c r="AU98" s="468"/>
      <c r="AV98" s="465">
        <v>4</v>
      </c>
      <c r="AW98" s="465"/>
      <c r="AX98" s="465"/>
      <c r="AY98" s="465"/>
      <c r="AZ98" s="465"/>
      <c r="BA98" s="465"/>
      <c r="BB98" s="465"/>
      <c r="BC98" s="465"/>
      <c r="BD98" s="465"/>
      <c r="BE98" s="465"/>
      <c r="BF98" s="465"/>
      <c r="BG98" s="465"/>
      <c r="BH98" s="465"/>
      <c r="BI98" s="465"/>
      <c r="BJ98" s="465"/>
      <c r="BK98" s="465"/>
      <c r="BL98" s="465"/>
      <c r="BM98" s="465">
        <v>5</v>
      </c>
      <c r="BN98" s="465"/>
      <c r="BO98" s="465"/>
      <c r="BP98" s="465"/>
      <c r="BQ98" s="465"/>
      <c r="BR98" s="465"/>
      <c r="BS98" s="465"/>
      <c r="BT98" s="465"/>
      <c r="BU98" s="465"/>
      <c r="BV98" s="465"/>
      <c r="BW98" s="465"/>
      <c r="BX98" s="465"/>
      <c r="BY98" s="465"/>
      <c r="BZ98" s="465"/>
      <c r="CA98" s="465"/>
      <c r="CB98" s="465"/>
      <c r="CC98" s="465"/>
      <c r="CD98" s="465">
        <v>6</v>
      </c>
      <c r="CE98" s="465"/>
      <c r="CF98" s="465"/>
      <c r="CG98" s="465"/>
      <c r="CH98" s="465"/>
      <c r="CI98" s="465"/>
      <c r="CJ98" s="465"/>
      <c r="CK98" s="465"/>
      <c r="CL98" s="465"/>
      <c r="CM98" s="465"/>
      <c r="CN98" s="465"/>
      <c r="CO98" s="465"/>
      <c r="CP98" s="465"/>
      <c r="CQ98" s="465"/>
      <c r="CR98" s="465"/>
      <c r="CS98" s="465"/>
    </row>
    <row r="99" spans="1:97" s="23" customFormat="1" ht="27" hidden="1" customHeight="1" x14ac:dyDescent="0.3">
      <c r="A99" s="452" t="s">
        <v>67</v>
      </c>
      <c r="B99" s="452"/>
      <c r="C99" s="452"/>
      <c r="D99" s="452"/>
      <c r="E99" s="452"/>
      <c r="F99" s="446" t="s">
        <v>458</v>
      </c>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8"/>
      <c r="AM99" s="487" t="s">
        <v>459</v>
      </c>
      <c r="AN99" s="488"/>
      <c r="AO99" s="488"/>
      <c r="AP99" s="488"/>
      <c r="AQ99" s="488"/>
      <c r="AR99" s="488"/>
      <c r="AS99" s="488"/>
      <c r="AT99" s="488"/>
      <c r="AU99" s="489"/>
      <c r="AV99" s="486">
        <v>140</v>
      </c>
      <c r="AW99" s="486"/>
      <c r="AX99" s="486"/>
      <c r="AY99" s="486"/>
      <c r="AZ99" s="486"/>
      <c r="BA99" s="486"/>
      <c r="BB99" s="486"/>
      <c r="BC99" s="486"/>
      <c r="BD99" s="486"/>
      <c r="BE99" s="486"/>
      <c r="BF99" s="486"/>
      <c r="BG99" s="486"/>
      <c r="BH99" s="486"/>
      <c r="BI99" s="486"/>
      <c r="BJ99" s="486"/>
      <c r="BK99" s="486"/>
      <c r="BL99" s="486"/>
      <c r="BM99" s="492">
        <v>5</v>
      </c>
      <c r="BN99" s="492"/>
      <c r="BO99" s="492"/>
      <c r="BP99" s="492"/>
      <c r="BQ99" s="492"/>
      <c r="BR99" s="492"/>
      <c r="BS99" s="492"/>
      <c r="BT99" s="492"/>
      <c r="BU99" s="492"/>
      <c r="BV99" s="492"/>
      <c r="BW99" s="492"/>
      <c r="BX99" s="492"/>
      <c r="BY99" s="492"/>
      <c r="BZ99" s="492"/>
      <c r="CA99" s="492"/>
      <c r="CB99" s="492"/>
      <c r="CC99" s="492"/>
      <c r="CD99" s="492">
        <v>0</v>
      </c>
      <c r="CE99" s="486"/>
      <c r="CF99" s="486"/>
      <c r="CG99" s="486"/>
      <c r="CH99" s="486"/>
      <c r="CI99" s="486"/>
      <c r="CJ99" s="486"/>
      <c r="CK99" s="486"/>
      <c r="CL99" s="486"/>
      <c r="CM99" s="486"/>
      <c r="CN99" s="486"/>
      <c r="CO99" s="486"/>
      <c r="CP99" s="486"/>
      <c r="CQ99" s="486"/>
      <c r="CR99" s="486"/>
      <c r="CS99" s="486"/>
    </row>
    <row r="100" spans="1:97" s="23" customFormat="1" ht="34.5" hidden="1" customHeight="1" x14ac:dyDescent="0.3">
      <c r="A100" s="452" t="s">
        <v>71</v>
      </c>
      <c r="B100" s="452"/>
      <c r="C100" s="452"/>
      <c r="D100" s="452"/>
      <c r="E100" s="452"/>
      <c r="F100" s="446" t="s">
        <v>460</v>
      </c>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8"/>
      <c r="AM100" s="487" t="s">
        <v>461</v>
      </c>
      <c r="AN100" s="488"/>
      <c r="AO100" s="488"/>
      <c r="AP100" s="488"/>
      <c r="AQ100" s="488"/>
      <c r="AR100" s="488"/>
      <c r="AS100" s="488"/>
      <c r="AT100" s="488"/>
      <c r="AU100" s="489"/>
      <c r="AV100" s="486">
        <v>1</v>
      </c>
      <c r="AW100" s="486"/>
      <c r="AX100" s="486"/>
      <c r="AY100" s="486"/>
      <c r="AZ100" s="486"/>
      <c r="BA100" s="486"/>
      <c r="BB100" s="486"/>
      <c r="BC100" s="486"/>
      <c r="BD100" s="486"/>
      <c r="BE100" s="486"/>
      <c r="BF100" s="486"/>
      <c r="BG100" s="486"/>
      <c r="BH100" s="486"/>
      <c r="BI100" s="486"/>
      <c r="BJ100" s="486"/>
      <c r="BK100" s="486"/>
      <c r="BL100" s="486"/>
      <c r="BM100" s="492"/>
      <c r="BN100" s="492"/>
      <c r="BO100" s="492"/>
      <c r="BP100" s="492"/>
      <c r="BQ100" s="492"/>
      <c r="BR100" s="492"/>
      <c r="BS100" s="492"/>
      <c r="BT100" s="492"/>
      <c r="BU100" s="492"/>
      <c r="BV100" s="492"/>
      <c r="BW100" s="492"/>
      <c r="BX100" s="492"/>
      <c r="BY100" s="492"/>
      <c r="BZ100" s="492"/>
      <c r="CA100" s="492"/>
      <c r="CB100" s="492"/>
      <c r="CC100" s="492"/>
      <c r="CD100" s="492"/>
      <c r="CE100" s="486"/>
      <c r="CF100" s="486"/>
      <c r="CG100" s="486"/>
      <c r="CH100" s="486"/>
      <c r="CI100" s="486"/>
      <c r="CJ100" s="486"/>
      <c r="CK100" s="486"/>
      <c r="CL100" s="486"/>
      <c r="CM100" s="486"/>
      <c r="CN100" s="486"/>
      <c r="CO100" s="486"/>
      <c r="CP100" s="486"/>
      <c r="CQ100" s="486"/>
      <c r="CR100" s="486"/>
      <c r="CS100" s="486"/>
    </row>
    <row r="101" spans="1:97" s="23" customFormat="1" ht="31.5" hidden="1" customHeight="1" x14ac:dyDescent="0.3">
      <c r="A101" s="452" t="s">
        <v>462</v>
      </c>
      <c r="B101" s="452"/>
      <c r="C101" s="452"/>
      <c r="D101" s="452"/>
      <c r="E101" s="452"/>
      <c r="F101" s="446" t="s">
        <v>463</v>
      </c>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8"/>
      <c r="AM101" s="487" t="s">
        <v>461</v>
      </c>
      <c r="AN101" s="488"/>
      <c r="AO101" s="488"/>
      <c r="AP101" s="488"/>
      <c r="AQ101" s="488"/>
      <c r="AR101" s="488"/>
      <c r="AS101" s="488"/>
      <c r="AT101" s="488"/>
      <c r="AU101" s="489"/>
      <c r="AV101" s="486">
        <v>1</v>
      </c>
      <c r="AW101" s="486"/>
      <c r="AX101" s="486"/>
      <c r="AY101" s="486"/>
      <c r="AZ101" s="486"/>
      <c r="BA101" s="486"/>
      <c r="BB101" s="486"/>
      <c r="BC101" s="486"/>
      <c r="BD101" s="486"/>
      <c r="BE101" s="486"/>
      <c r="BF101" s="486"/>
      <c r="BG101" s="486"/>
      <c r="BH101" s="486"/>
      <c r="BI101" s="486"/>
      <c r="BJ101" s="486"/>
      <c r="BK101" s="486"/>
      <c r="BL101" s="486"/>
      <c r="BM101" s="492"/>
      <c r="BN101" s="492"/>
      <c r="BO101" s="492"/>
      <c r="BP101" s="492"/>
      <c r="BQ101" s="492"/>
      <c r="BR101" s="492"/>
      <c r="BS101" s="492"/>
      <c r="BT101" s="492"/>
      <c r="BU101" s="492"/>
      <c r="BV101" s="492"/>
      <c r="BW101" s="492"/>
      <c r="BX101" s="492"/>
      <c r="BY101" s="492"/>
      <c r="BZ101" s="492"/>
      <c r="CA101" s="492"/>
      <c r="CB101" s="492"/>
      <c r="CC101" s="492"/>
      <c r="CD101" s="492"/>
      <c r="CE101" s="486"/>
      <c r="CF101" s="486"/>
      <c r="CG101" s="486"/>
      <c r="CH101" s="486"/>
      <c r="CI101" s="486"/>
      <c r="CJ101" s="486"/>
      <c r="CK101" s="486"/>
      <c r="CL101" s="486"/>
      <c r="CM101" s="486"/>
      <c r="CN101" s="486"/>
      <c r="CO101" s="486"/>
      <c r="CP101" s="486"/>
      <c r="CQ101" s="486"/>
      <c r="CR101" s="486"/>
      <c r="CS101" s="486"/>
    </row>
    <row r="102" spans="1:97" s="23" customFormat="1" ht="15" hidden="1" customHeight="1" x14ac:dyDescent="0.3">
      <c r="A102" s="452"/>
      <c r="B102" s="452"/>
      <c r="C102" s="452"/>
      <c r="D102" s="452"/>
      <c r="E102" s="452"/>
      <c r="F102" s="463" t="s">
        <v>56</v>
      </c>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4"/>
      <c r="AV102" s="486" t="s">
        <v>4</v>
      </c>
      <c r="AW102" s="486"/>
      <c r="AX102" s="486"/>
      <c r="AY102" s="486"/>
      <c r="AZ102" s="486"/>
      <c r="BA102" s="486"/>
      <c r="BB102" s="486"/>
      <c r="BC102" s="486"/>
      <c r="BD102" s="486"/>
      <c r="BE102" s="486"/>
      <c r="BF102" s="486"/>
      <c r="BG102" s="486"/>
      <c r="BH102" s="486"/>
      <c r="BI102" s="486"/>
      <c r="BJ102" s="486"/>
      <c r="BK102" s="486"/>
      <c r="BL102" s="486"/>
      <c r="BM102" s="486" t="s">
        <v>4</v>
      </c>
      <c r="BN102" s="486"/>
      <c r="BO102" s="486"/>
      <c r="BP102" s="486"/>
      <c r="BQ102" s="486"/>
      <c r="BR102" s="486"/>
      <c r="BS102" s="486"/>
      <c r="BT102" s="486"/>
      <c r="BU102" s="486"/>
      <c r="BV102" s="486"/>
      <c r="BW102" s="486"/>
      <c r="BX102" s="486"/>
      <c r="BY102" s="486"/>
      <c r="BZ102" s="486"/>
      <c r="CA102" s="486"/>
      <c r="CB102" s="486"/>
      <c r="CC102" s="486"/>
      <c r="CD102" s="491">
        <f>SUM(CD99:CS101)</f>
        <v>0</v>
      </c>
      <c r="CE102" s="491"/>
      <c r="CF102" s="491"/>
      <c r="CG102" s="491"/>
      <c r="CH102" s="491"/>
      <c r="CI102" s="491"/>
      <c r="CJ102" s="491"/>
      <c r="CK102" s="491"/>
      <c r="CL102" s="491"/>
      <c r="CM102" s="491"/>
      <c r="CN102" s="491"/>
      <c r="CO102" s="491"/>
      <c r="CP102" s="491"/>
      <c r="CQ102" s="491"/>
      <c r="CR102" s="491"/>
      <c r="CS102" s="491"/>
    </row>
    <row r="103" spans="1:97" s="23" customFormat="1" ht="15" hidden="1" customHeight="1" x14ac:dyDescent="0.3">
      <c r="A103" s="24"/>
      <c r="B103" s="24"/>
      <c r="C103" s="24"/>
      <c r="D103" s="24"/>
      <c r="E103" s="24"/>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row>
    <row r="104" spans="1:97" s="23" customFormat="1" ht="15" hidden="1" customHeight="1" x14ac:dyDescent="0.3">
      <c r="A104" s="24"/>
      <c r="B104" s="24"/>
      <c r="C104" s="24"/>
      <c r="D104" s="24"/>
      <c r="E104" s="24"/>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row>
    <row r="105" spans="1:97" s="23" customFormat="1" ht="15" customHeight="1" x14ac:dyDescent="0.3">
      <c r="A105" s="24"/>
      <c r="B105" s="24"/>
      <c r="C105" s="24"/>
      <c r="D105" s="24"/>
      <c r="E105" s="24"/>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97" s="41" customFormat="1" ht="15" customHeight="1" x14ac:dyDescent="0.3">
      <c r="A106" s="470" t="s">
        <v>297</v>
      </c>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0"/>
      <c r="AY106" s="470"/>
      <c r="AZ106" s="470"/>
      <c r="BA106" s="470"/>
      <c r="BB106" s="470"/>
      <c r="BC106" s="470"/>
      <c r="BD106" s="470"/>
      <c r="BE106" s="470"/>
      <c r="BF106" s="470"/>
      <c r="BG106" s="470"/>
      <c r="BH106" s="470"/>
      <c r="BI106" s="470"/>
      <c r="BJ106" s="470"/>
      <c r="BK106" s="470"/>
      <c r="BL106" s="470"/>
      <c r="BM106" s="470"/>
      <c r="BN106" s="470"/>
      <c r="BO106" s="470"/>
      <c r="BP106" s="470"/>
      <c r="BQ106" s="470"/>
      <c r="BR106" s="470"/>
      <c r="BS106" s="470"/>
      <c r="BT106" s="470"/>
      <c r="BU106" s="470"/>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row>
    <row r="107" spans="1:97" s="27" customFormat="1" ht="6" customHeight="1" x14ac:dyDescent="0.3"/>
    <row r="108" spans="1:97" s="20" customFormat="1" ht="15.6" x14ac:dyDescent="0.3">
      <c r="A108" s="470" t="s">
        <v>268</v>
      </c>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90"/>
      <c r="AR108" s="490"/>
      <c r="AS108" s="490"/>
      <c r="AT108" s="490"/>
      <c r="AU108" s="490"/>
      <c r="AV108" s="490"/>
      <c r="AW108" s="490"/>
      <c r="AX108" s="490"/>
      <c r="AY108" s="490"/>
      <c r="AZ108" s="490"/>
      <c r="BA108" s="490"/>
      <c r="BB108" s="490"/>
      <c r="BC108" s="490"/>
      <c r="BD108" s="490"/>
      <c r="BE108" s="490"/>
      <c r="BF108" s="490"/>
      <c r="BG108" s="490"/>
      <c r="BH108" s="490"/>
      <c r="BI108" s="490"/>
      <c r="BJ108" s="490"/>
      <c r="BK108" s="490"/>
      <c r="BL108" s="490"/>
      <c r="BM108" s="490"/>
      <c r="BN108" s="490"/>
      <c r="BO108" s="490"/>
      <c r="BP108" s="490"/>
      <c r="BQ108" s="490"/>
      <c r="BR108" s="490"/>
      <c r="BS108" s="490"/>
      <c r="BT108" s="490"/>
      <c r="BU108" s="490"/>
      <c r="BV108" s="490"/>
      <c r="BW108" s="490"/>
      <c r="BX108" s="490"/>
      <c r="BY108" s="490"/>
      <c r="BZ108" s="490"/>
      <c r="CA108" s="490"/>
      <c r="CB108" s="490"/>
      <c r="CC108" s="490"/>
      <c r="CD108" s="490"/>
      <c r="CE108" s="490"/>
      <c r="CF108" s="490"/>
      <c r="CG108" s="490"/>
      <c r="CH108" s="490"/>
      <c r="CI108" s="490"/>
      <c r="CJ108" s="490"/>
      <c r="CK108" s="490"/>
      <c r="CL108" s="490"/>
      <c r="CM108" s="490"/>
      <c r="CN108" s="490"/>
      <c r="CO108" s="490"/>
      <c r="CP108" s="490"/>
      <c r="CQ108" s="490"/>
      <c r="CR108" s="490"/>
      <c r="CS108" s="490"/>
    </row>
    <row r="109" spans="1:97" s="20" customForma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42"/>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row>
    <row r="110" spans="1:97" s="21" customFormat="1" ht="60" customHeight="1" x14ac:dyDescent="0.3">
      <c r="A110" s="485" t="s">
        <v>263</v>
      </c>
      <c r="B110" s="485"/>
      <c r="C110" s="485"/>
      <c r="D110" s="485"/>
      <c r="E110" s="485"/>
      <c r="F110" s="487" t="s">
        <v>0</v>
      </c>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8"/>
      <c r="AL110" s="489"/>
      <c r="AM110" s="487" t="s">
        <v>196</v>
      </c>
      <c r="AN110" s="488"/>
      <c r="AO110" s="488"/>
      <c r="AP110" s="488"/>
      <c r="AQ110" s="488"/>
      <c r="AR110" s="488"/>
      <c r="AS110" s="488"/>
      <c r="AT110" s="488"/>
      <c r="AU110" s="489"/>
      <c r="AV110" s="472" t="s">
        <v>303</v>
      </c>
      <c r="AW110" s="473"/>
      <c r="AX110" s="473"/>
      <c r="AY110" s="473"/>
      <c r="AZ110" s="473"/>
      <c r="BA110" s="473"/>
      <c r="BB110" s="473"/>
      <c r="BC110" s="473"/>
      <c r="BD110" s="473"/>
      <c r="BE110" s="473"/>
      <c r="BF110" s="473"/>
      <c r="BG110" s="473"/>
      <c r="BH110" s="473"/>
      <c r="BI110" s="473"/>
      <c r="BJ110" s="473"/>
      <c r="BK110" s="473"/>
      <c r="BL110" s="474"/>
      <c r="BM110" s="472" t="s">
        <v>302</v>
      </c>
      <c r="BN110" s="473"/>
      <c r="BO110" s="473"/>
      <c r="BP110" s="473"/>
      <c r="BQ110" s="473"/>
      <c r="BR110" s="473"/>
      <c r="BS110" s="473"/>
      <c r="BT110" s="473"/>
      <c r="BU110" s="473"/>
      <c r="BV110" s="473"/>
      <c r="BW110" s="473"/>
      <c r="BX110" s="473"/>
      <c r="BY110" s="473"/>
      <c r="BZ110" s="473"/>
      <c r="CA110" s="473"/>
      <c r="CB110" s="473"/>
      <c r="CC110" s="474"/>
      <c r="CD110" s="472" t="s">
        <v>244</v>
      </c>
      <c r="CE110" s="473"/>
      <c r="CF110" s="473"/>
      <c r="CG110" s="473"/>
      <c r="CH110" s="473"/>
      <c r="CI110" s="473"/>
      <c r="CJ110" s="473"/>
      <c r="CK110" s="473"/>
      <c r="CL110" s="473"/>
      <c r="CM110" s="473"/>
      <c r="CN110" s="473"/>
      <c r="CO110" s="473"/>
      <c r="CP110" s="473"/>
      <c r="CQ110" s="473"/>
      <c r="CR110" s="473"/>
      <c r="CS110" s="474"/>
    </row>
    <row r="111" spans="1:97" s="22" customFormat="1" x14ac:dyDescent="0.3">
      <c r="A111" s="465">
        <v>1</v>
      </c>
      <c r="B111" s="465"/>
      <c r="C111" s="465"/>
      <c r="D111" s="465"/>
      <c r="E111" s="465"/>
      <c r="F111" s="466">
        <v>2</v>
      </c>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8"/>
      <c r="AM111" s="466">
        <v>3</v>
      </c>
      <c r="AN111" s="467"/>
      <c r="AO111" s="467"/>
      <c r="AP111" s="467"/>
      <c r="AQ111" s="467"/>
      <c r="AR111" s="467"/>
      <c r="AS111" s="467"/>
      <c r="AT111" s="467"/>
      <c r="AU111" s="468"/>
      <c r="AV111" s="465">
        <v>4</v>
      </c>
      <c r="AW111" s="465"/>
      <c r="AX111" s="465"/>
      <c r="AY111" s="465"/>
      <c r="AZ111" s="465"/>
      <c r="BA111" s="465"/>
      <c r="BB111" s="465"/>
      <c r="BC111" s="465"/>
      <c r="BD111" s="465"/>
      <c r="BE111" s="465"/>
      <c r="BF111" s="465"/>
      <c r="BG111" s="465"/>
      <c r="BH111" s="465"/>
      <c r="BI111" s="465"/>
      <c r="BJ111" s="465"/>
      <c r="BK111" s="465"/>
      <c r="BL111" s="465"/>
      <c r="BM111" s="465">
        <v>5</v>
      </c>
      <c r="BN111" s="465"/>
      <c r="BO111" s="465"/>
      <c r="BP111" s="465"/>
      <c r="BQ111" s="465"/>
      <c r="BR111" s="465"/>
      <c r="BS111" s="465"/>
      <c r="BT111" s="465"/>
      <c r="BU111" s="465"/>
      <c r="BV111" s="465"/>
      <c r="BW111" s="465"/>
      <c r="BX111" s="465"/>
      <c r="BY111" s="465"/>
      <c r="BZ111" s="465"/>
      <c r="CA111" s="465"/>
      <c r="CB111" s="465"/>
      <c r="CC111" s="465"/>
      <c r="CD111" s="465">
        <v>6</v>
      </c>
      <c r="CE111" s="465"/>
      <c r="CF111" s="465"/>
      <c r="CG111" s="465"/>
      <c r="CH111" s="465"/>
      <c r="CI111" s="465"/>
      <c r="CJ111" s="465"/>
      <c r="CK111" s="465"/>
      <c r="CL111" s="465"/>
      <c r="CM111" s="465"/>
      <c r="CN111" s="465"/>
      <c r="CO111" s="465"/>
      <c r="CP111" s="465"/>
      <c r="CQ111" s="465"/>
      <c r="CR111" s="465"/>
      <c r="CS111" s="465"/>
    </row>
    <row r="112" spans="1:97" s="23" customFormat="1" ht="15" customHeight="1" x14ac:dyDescent="0.3">
      <c r="A112" s="452"/>
      <c r="B112" s="452"/>
      <c r="C112" s="452"/>
      <c r="D112" s="452"/>
      <c r="E112" s="452"/>
      <c r="F112" s="487"/>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8"/>
      <c r="AL112" s="489"/>
      <c r="AM112" s="487"/>
      <c r="AN112" s="488"/>
      <c r="AO112" s="488"/>
      <c r="AP112" s="488"/>
      <c r="AQ112" s="488"/>
      <c r="AR112" s="488"/>
      <c r="AS112" s="488"/>
      <c r="AT112" s="488"/>
      <c r="AU112" s="489"/>
      <c r="AV112" s="486"/>
      <c r="AW112" s="486"/>
      <c r="AX112" s="486"/>
      <c r="AY112" s="486"/>
      <c r="AZ112" s="486"/>
      <c r="BA112" s="486"/>
      <c r="BB112" s="486"/>
      <c r="BC112" s="486"/>
      <c r="BD112" s="486"/>
      <c r="BE112" s="486"/>
      <c r="BF112" s="486"/>
      <c r="BG112" s="486"/>
      <c r="BH112" s="486"/>
      <c r="BI112" s="486"/>
      <c r="BJ112" s="486"/>
      <c r="BK112" s="486"/>
      <c r="BL112" s="486"/>
      <c r="BM112" s="486"/>
      <c r="BN112" s="486"/>
      <c r="BO112" s="486"/>
      <c r="BP112" s="486"/>
      <c r="BQ112" s="486"/>
      <c r="BR112" s="486"/>
      <c r="BS112" s="486"/>
      <c r="BT112" s="486"/>
      <c r="BU112" s="486"/>
      <c r="BV112" s="486"/>
      <c r="BW112" s="486"/>
      <c r="BX112" s="486"/>
      <c r="BY112" s="486"/>
      <c r="BZ112" s="486"/>
      <c r="CA112" s="486"/>
      <c r="CB112" s="486"/>
      <c r="CC112" s="486"/>
      <c r="CD112" s="486"/>
      <c r="CE112" s="486"/>
      <c r="CF112" s="486"/>
      <c r="CG112" s="486"/>
      <c r="CH112" s="486"/>
      <c r="CI112" s="486"/>
      <c r="CJ112" s="486"/>
      <c r="CK112" s="486"/>
      <c r="CL112" s="486"/>
      <c r="CM112" s="486"/>
      <c r="CN112" s="486"/>
      <c r="CO112" s="486"/>
      <c r="CP112" s="486"/>
      <c r="CQ112" s="486"/>
      <c r="CR112" s="486"/>
      <c r="CS112" s="486"/>
    </row>
    <row r="113" spans="1:108" s="23" customFormat="1" ht="15" customHeight="1" x14ac:dyDescent="0.3">
      <c r="A113" s="452"/>
      <c r="B113" s="452"/>
      <c r="C113" s="452"/>
      <c r="D113" s="452"/>
      <c r="E113" s="452"/>
      <c r="F113" s="487"/>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c r="AI113" s="488"/>
      <c r="AJ113" s="488"/>
      <c r="AK113" s="488"/>
      <c r="AL113" s="489"/>
      <c r="AM113" s="487"/>
      <c r="AN113" s="488"/>
      <c r="AO113" s="488"/>
      <c r="AP113" s="488"/>
      <c r="AQ113" s="488"/>
      <c r="AR113" s="488"/>
      <c r="AS113" s="488"/>
      <c r="AT113" s="488"/>
      <c r="AU113" s="489"/>
      <c r="AV113" s="486"/>
      <c r="AW113" s="486"/>
      <c r="AX113" s="486"/>
      <c r="AY113" s="486"/>
      <c r="AZ113" s="486"/>
      <c r="BA113" s="486"/>
      <c r="BB113" s="486"/>
      <c r="BC113" s="486"/>
      <c r="BD113" s="486"/>
      <c r="BE113" s="486"/>
      <c r="BF113" s="486"/>
      <c r="BG113" s="486"/>
      <c r="BH113" s="486"/>
      <c r="BI113" s="486"/>
      <c r="BJ113" s="486"/>
      <c r="BK113" s="486"/>
      <c r="BL113" s="486"/>
      <c r="BM113" s="486"/>
      <c r="BN113" s="486"/>
      <c r="BO113" s="486"/>
      <c r="BP113" s="486"/>
      <c r="BQ113" s="486"/>
      <c r="BR113" s="486"/>
      <c r="BS113" s="486"/>
      <c r="BT113" s="486"/>
      <c r="BU113" s="486"/>
      <c r="BV113" s="486"/>
      <c r="BW113" s="486"/>
      <c r="BX113" s="486"/>
      <c r="BY113" s="486"/>
      <c r="BZ113" s="486"/>
      <c r="CA113" s="486"/>
      <c r="CB113" s="486"/>
      <c r="CC113" s="486"/>
      <c r="CD113" s="486"/>
      <c r="CE113" s="486"/>
      <c r="CF113" s="486"/>
      <c r="CG113" s="486"/>
      <c r="CH113" s="486"/>
      <c r="CI113" s="486"/>
      <c r="CJ113" s="486"/>
      <c r="CK113" s="486"/>
      <c r="CL113" s="486"/>
      <c r="CM113" s="486"/>
      <c r="CN113" s="486"/>
      <c r="CO113" s="486"/>
      <c r="CP113" s="486"/>
      <c r="CQ113" s="486"/>
      <c r="CR113" s="486"/>
      <c r="CS113" s="486"/>
    </row>
    <row r="114" spans="1:108" s="23" customFormat="1" ht="15" customHeight="1" x14ac:dyDescent="0.3">
      <c r="A114" s="452"/>
      <c r="B114" s="452"/>
      <c r="C114" s="452"/>
      <c r="D114" s="452"/>
      <c r="E114" s="452"/>
      <c r="F114" s="463" t="s">
        <v>56</v>
      </c>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c r="AI114" s="463"/>
      <c r="AJ114" s="463"/>
      <c r="AK114" s="463"/>
      <c r="AL114" s="463"/>
      <c r="AM114" s="463"/>
      <c r="AN114" s="463"/>
      <c r="AO114" s="463"/>
      <c r="AP114" s="463"/>
      <c r="AQ114" s="463"/>
      <c r="AR114" s="463"/>
      <c r="AS114" s="463"/>
      <c r="AT114" s="463"/>
      <c r="AU114" s="464"/>
      <c r="AV114" s="486" t="s">
        <v>4</v>
      </c>
      <c r="AW114" s="486"/>
      <c r="AX114" s="486"/>
      <c r="AY114" s="486"/>
      <c r="AZ114" s="486"/>
      <c r="BA114" s="486"/>
      <c r="BB114" s="486"/>
      <c r="BC114" s="486"/>
      <c r="BD114" s="486"/>
      <c r="BE114" s="486"/>
      <c r="BF114" s="486"/>
      <c r="BG114" s="486"/>
      <c r="BH114" s="486"/>
      <c r="BI114" s="486"/>
      <c r="BJ114" s="486"/>
      <c r="BK114" s="486"/>
      <c r="BL114" s="486"/>
      <c r="BM114" s="486" t="s">
        <v>4</v>
      </c>
      <c r="BN114" s="486"/>
      <c r="BO114" s="486"/>
      <c r="BP114" s="486"/>
      <c r="BQ114" s="486"/>
      <c r="BR114" s="486"/>
      <c r="BS114" s="486"/>
      <c r="BT114" s="486"/>
      <c r="BU114" s="486"/>
      <c r="BV114" s="486"/>
      <c r="BW114" s="486"/>
      <c r="BX114" s="486"/>
      <c r="BY114" s="486"/>
      <c r="BZ114" s="486"/>
      <c r="CA114" s="486"/>
      <c r="CB114" s="486"/>
      <c r="CC114" s="486"/>
      <c r="CD114" s="486"/>
      <c r="CE114" s="486"/>
      <c r="CF114" s="486"/>
      <c r="CG114" s="486"/>
      <c r="CH114" s="486"/>
      <c r="CI114" s="486"/>
      <c r="CJ114" s="486"/>
      <c r="CK114" s="486"/>
      <c r="CL114" s="486"/>
      <c r="CM114" s="486"/>
      <c r="CN114" s="486"/>
      <c r="CO114" s="486"/>
      <c r="CP114" s="486"/>
      <c r="CQ114" s="486"/>
      <c r="CR114" s="486"/>
      <c r="CS114" s="486"/>
    </row>
    <row r="116" spans="1:108" s="29" customFormat="1" ht="15.6" x14ac:dyDescent="0.3">
      <c r="A116" s="470" t="s">
        <v>298</v>
      </c>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row>
    <row r="117" spans="1:108" s="33" customFormat="1" ht="15.6" x14ac:dyDescent="0.3"/>
    <row r="118" spans="1:108" s="29" customFormat="1" ht="15.6" x14ac:dyDescent="0.3">
      <c r="A118" s="484" t="s">
        <v>264</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71" t="s">
        <v>897</v>
      </c>
      <c r="AW118" s="471"/>
      <c r="AX118" s="471"/>
      <c r="AY118" s="471"/>
      <c r="AZ118" s="471"/>
      <c r="BA118" s="471"/>
      <c r="BB118" s="471"/>
      <c r="BC118" s="471"/>
      <c r="BD118" s="471"/>
      <c r="BE118" s="471"/>
      <c r="BF118" s="471"/>
      <c r="BG118" s="471"/>
      <c r="BH118" s="471"/>
      <c r="BI118" s="471"/>
      <c r="BJ118" s="471"/>
      <c r="BK118" s="471"/>
      <c r="BL118" s="471"/>
      <c r="BM118" s="471"/>
      <c r="BN118" s="471"/>
      <c r="BO118" s="471"/>
      <c r="BP118" s="471"/>
      <c r="BQ118" s="471"/>
      <c r="BR118" s="471"/>
      <c r="BS118" s="471"/>
      <c r="BT118" s="471"/>
      <c r="BU118" s="471"/>
      <c r="BV118" s="471"/>
      <c r="BW118" s="471"/>
      <c r="BX118" s="471"/>
      <c r="BY118" s="471"/>
      <c r="BZ118" s="471"/>
      <c r="CA118" s="471"/>
      <c r="CB118" s="471"/>
      <c r="CC118" s="471"/>
      <c r="CD118" s="471"/>
      <c r="CE118" s="471"/>
      <c r="CF118" s="471"/>
      <c r="CG118" s="471"/>
      <c r="CH118" s="471"/>
      <c r="CI118" s="471"/>
      <c r="CJ118" s="471"/>
      <c r="CK118" s="471"/>
      <c r="CL118" s="471"/>
      <c r="CM118" s="471"/>
      <c r="CN118" s="471"/>
      <c r="CO118" s="471"/>
      <c r="CP118" s="471"/>
      <c r="CQ118" s="471"/>
      <c r="CR118" s="471"/>
      <c r="CS118" s="471"/>
    </row>
    <row r="119" spans="1:108" s="29" customFormat="1" ht="10.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row>
    <row r="120" spans="1:108" s="37" customFormat="1" ht="28.5" customHeight="1" x14ac:dyDescent="0.3">
      <c r="A120" s="472" t="s">
        <v>49</v>
      </c>
      <c r="B120" s="473"/>
      <c r="C120" s="473"/>
      <c r="D120" s="473"/>
      <c r="E120" s="474"/>
      <c r="F120" s="472" t="s">
        <v>0</v>
      </c>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473"/>
      <c r="AL120" s="473"/>
      <c r="AM120" s="473"/>
      <c r="AN120" s="473"/>
      <c r="AO120" s="473"/>
      <c r="AP120" s="473"/>
      <c r="AQ120" s="473"/>
      <c r="AR120" s="473"/>
      <c r="AS120" s="473"/>
      <c r="AT120" s="473"/>
      <c r="AU120" s="474"/>
      <c r="AV120" s="485" t="s">
        <v>244</v>
      </c>
      <c r="AW120" s="485"/>
      <c r="AX120" s="485"/>
      <c r="AY120" s="485"/>
      <c r="AZ120" s="485"/>
      <c r="BA120" s="485"/>
      <c r="BB120" s="485"/>
      <c r="BC120" s="485"/>
      <c r="BD120" s="485"/>
      <c r="BE120" s="485"/>
      <c r="BF120" s="485"/>
      <c r="BG120" s="485"/>
      <c r="BH120" s="485"/>
      <c r="BI120" s="485"/>
      <c r="BJ120" s="485"/>
      <c r="BK120" s="485"/>
      <c r="BL120" s="485"/>
      <c r="BM120" s="485"/>
      <c r="BN120" s="485"/>
      <c r="BO120" s="485"/>
      <c r="BP120" s="485"/>
      <c r="BQ120" s="485"/>
      <c r="BR120" s="485"/>
      <c r="BS120" s="485"/>
      <c r="BT120" s="485"/>
      <c r="BU120" s="485"/>
      <c r="BV120" s="485"/>
      <c r="BW120" s="485"/>
      <c r="BX120" s="485"/>
      <c r="BY120" s="485"/>
      <c r="BZ120" s="485"/>
      <c r="CA120" s="485"/>
      <c r="CB120" s="485"/>
      <c r="CC120" s="485"/>
      <c r="CD120" s="485"/>
      <c r="CE120" s="485"/>
      <c r="CF120" s="485"/>
      <c r="CG120" s="485"/>
      <c r="CH120" s="485"/>
      <c r="CI120" s="485"/>
      <c r="CJ120" s="485"/>
      <c r="CK120" s="485"/>
      <c r="CL120" s="485"/>
      <c r="CM120" s="485"/>
      <c r="CN120" s="485"/>
      <c r="CO120" s="485"/>
      <c r="CP120" s="485"/>
      <c r="CQ120" s="485"/>
      <c r="CR120" s="485"/>
      <c r="CS120" s="485"/>
      <c r="DD120" s="29"/>
    </row>
    <row r="121" spans="1:108" s="38" customFormat="1" x14ac:dyDescent="0.3">
      <c r="A121" s="465">
        <v>1</v>
      </c>
      <c r="B121" s="465"/>
      <c r="C121" s="465"/>
      <c r="D121" s="465"/>
      <c r="E121" s="465"/>
      <c r="F121" s="465">
        <v>2</v>
      </c>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c r="AS121" s="465"/>
      <c r="AT121" s="465"/>
      <c r="AU121" s="465"/>
      <c r="AV121" s="466">
        <v>3</v>
      </c>
      <c r="AW121" s="467"/>
      <c r="AX121" s="467"/>
      <c r="AY121" s="467"/>
      <c r="AZ121" s="467"/>
      <c r="BA121" s="467"/>
      <c r="BB121" s="467"/>
      <c r="BC121" s="467"/>
      <c r="BD121" s="467"/>
      <c r="BE121" s="467"/>
      <c r="BF121" s="467"/>
      <c r="BG121" s="467"/>
      <c r="BH121" s="467"/>
      <c r="BI121" s="467"/>
      <c r="BJ121" s="467"/>
      <c r="BK121" s="467"/>
      <c r="BL121" s="467"/>
      <c r="BM121" s="467"/>
      <c r="BN121" s="467"/>
      <c r="BO121" s="467"/>
      <c r="BP121" s="467"/>
      <c r="BQ121" s="467"/>
      <c r="BR121" s="467"/>
      <c r="BS121" s="467"/>
      <c r="BT121" s="467"/>
      <c r="BU121" s="467"/>
      <c r="BV121" s="467"/>
      <c r="BW121" s="467"/>
      <c r="BX121" s="467"/>
      <c r="BY121" s="467"/>
      <c r="BZ121" s="467"/>
      <c r="CA121" s="467"/>
      <c r="CB121" s="467"/>
      <c r="CC121" s="467"/>
      <c r="CD121" s="467"/>
      <c r="CE121" s="467"/>
      <c r="CF121" s="467"/>
      <c r="CG121" s="467"/>
      <c r="CH121" s="467"/>
      <c r="CI121" s="467"/>
      <c r="CJ121" s="467"/>
      <c r="CK121" s="467"/>
      <c r="CL121" s="467"/>
      <c r="CM121" s="467"/>
      <c r="CN121" s="467"/>
      <c r="CO121" s="467"/>
      <c r="CP121" s="467"/>
      <c r="CQ121" s="467"/>
      <c r="CR121" s="467"/>
      <c r="CS121" s="468"/>
    </row>
    <row r="122" spans="1:108" s="39" customFormat="1" ht="15" customHeight="1" x14ac:dyDescent="0.3">
      <c r="A122" s="478" t="s">
        <v>258</v>
      </c>
      <c r="B122" s="479"/>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c r="AK122" s="479"/>
      <c r="AL122" s="479"/>
      <c r="AM122" s="479"/>
      <c r="AN122" s="479"/>
      <c r="AO122" s="479"/>
      <c r="AP122" s="479"/>
      <c r="AQ122" s="479"/>
      <c r="AR122" s="479"/>
      <c r="AS122" s="479"/>
      <c r="AT122" s="479"/>
      <c r="AU122" s="479"/>
      <c r="AV122" s="479"/>
      <c r="AW122" s="479"/>
      <c r="AX122" s="479"/>
      <c r="AY122" s="479"/>
      <c r="AZ122" s="479"/>
      <c r="BA122" s="479"/>
      <c r="BB122" s="479"/>
      <c r="BC122" s="479"/>
      <c r="BD122" s="479"/>
      <c r="BE122" s="479"/>
      <c r="BF122" s="479"/>
      <c r="BG122" s="479"/>
      <c r="BH122" s="479"/>
      <c r="BI122" s="479"/>
      <c r="BJ122" s="479"/>
      <c r="BK122" s="479"/>
      <c r="BL122" s="479"/>
      <c r="BM122" s="479"/>
      <c r="BN122" s="479"/>
      <c r="BO122" s="479"/>
      <c r="BP122" s="479"/>
      <c r="BQ122" s="479"/>
      <c r="BR122" s="479"/>
      <c r="BS122" s="479"/>
      <c r="BT122" s="479"/>
      <c r="BU122" s="479"/>
      <c r="BV122" s="479"/>
      <c r="BW122" s="479"/>
      <c r="BX122" s="479"/>
      <c r="BY122" s="479"/>
      <c r="BZ122" s="479"/>
      <c r="CA122" s="479"/>
      <c r="CB122" s="479"/>
      <c r="CC122" s="479"/>
      <c r="CD122" s="479"/>
      <c r="CE122" s="479"/>
      <c r="CF122" s="479"/>
      <c r="CG122" s="479"/>
      <c r="CH122" s="479"/>
      <c r="CI122" s="479"/>
      <c r="CJ122" s="479"/>
      <c r="CK122" s="479"/>
      <c r="CL122" s="479"/>
      <c r="CM122" s="479"/>
      <c r="CN122" s="479"/>
      <c r="CO122" s="479"/>
      <c r="CP122" s="479"/>
      <c r="CQ122" s="479"/>
      <c r="CR122" s="479"/>
      <c r="CS122" s="480"/>
    </row>
    <row r="123" spans="1:108" s="39" customFormat="1" ht="15" customHeight="1" x14ac:dyDescent="0.3">
      <c r="A123" s="452" t="s">
        <v>67</v>
      </c>
      <c r="B123" s="452"/>
      <c r="C123" s="452"/>
      <c r="D123" s="452"/>
      <c r="E123" s="452"/>
      <c r="F123" s="459" t="s">
        <v>1052</v>
      </c>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60">
        <v>43333.97</v>
      </c>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c r="BQ123" s="461"/>
      <c r="BR123" s="461"/>
      <c r="BS123" s="461"/>
      <c r="BT123" s="461"/>
      <c r="BU123" s="461"/>
      <c r="BV123" s="461"/>
      <c r="BW123" s="461"/>
      <c r="BX123" s="461"/>
      <c r="BY123" s="461"/>
      <c r="BZ123" s="461"/>
      <c r="CA123" s="461"/>
      <c r="CB123" s="461"/>
      <c r="CC123" s="461"/>
      <c r="CD123" s="461"/>
      <c r="CE123" s="461"/>
      <c r="CF123" s="461"/>
      <c r="CG123" s="461"/>
      <c r="CH123" s="461"/>
      <c r="CI123" s="461"/>
      <c r="CJ123" s="461"/>
      <c r="CK123" s="461"/>
      <c r="CL123" s="461"/>
      <c r="CM123" s="461"/>
      <c r="CN123" s="461"/>
      <c r="CO123" s="461"/>
      <c r="CP123" s="461"/>
      <c r="CQ123" s="461"/>
      <c r="CR123" s="461"/>
      <c r="CS123" s="462"/>
    </row>
    <row r="124" spans="1:108" s="39" customFormat="1" ht="15" customHeight="1" x14ac:dyDescent="0.3">
      <c r="A124" s="452" t="s">
        <v>71</v>
      </c>
      <c r="B124" s="452"/>
      <c r="C124" s="452"/>
      <c r="D124" s="452"/>
      <c r="E124" s="452"/>
      <c r="F124" s="459" t="s">
        <v>450</v>
      </c>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60">
        <v>29236.79</v>
      </c>
      <c r="AW124" s="461"/>
      <c r="AX124" s="461"/>
      <c r="AY124" s="461"/>
      <c r="AZ124" s="461"/>
      <c r="BA124" s="461"/>
      <c r="BB124" s="461"/>
      <c r="BC124" s="461"/>
      <c r="BD124" s="461"/>
      <c r="BE124" s="461"/>
      <c r="BF124" s="461"/>
      <c r="BG124" s="461"/>
      <c r="BH124" s="461"/>
      <c r="BI124" s="461"/>
      <c r="BJ124" s="461"/>
      <c r="BK124" s="461"/>
      <c r="BL124" s="461"/>
      <c r="BM124" s="461"/>
      <c r="BN124" s="461"/>
      <c r="BO124" s="461"/>
      <c r="BP124" s="461"/>
      <c r="BQ124" s="461"/>
      <c r="BR124" s="461"/>
      <c r="BS124" s="461"/>
      <c r="BT124" s="461"/>
      <c r="BU124" s="461"/>
      <c r="BV124" s="461"/>
      <c r="BW124" s="461"/>
      <c r="BX124" s="461"/>
      <c r="BY124" s="461"/>
      <c r="BZ124" s="461"/>
      <c r="CA124" s="461"/>
      <c r="CB124" s="461"/>
      <c r="CC124" s="461"/>
      <c r="CD124" s="461"/>
      <c r="CE124" s="461"/>
      <c r="CF124" s="461"/>
      <c r="CG124" s="461"/>
      <c r="CH124" s="461"/>
      <c r="CI124" s="461"/>
      <c r="CJ124" s="461"/>
      <c r="CK124" s="461"/>
      <c r="CL124" s="461"/>
      <c r="CM124" s="461"/>
      <c r="CN124" s="461"/>
      <c r="CO124" s="461"/>
      <c r="CP124" s="461"/>
      <c r="CQ124" s="461"/>
      <c r="CR124" s="461"/>
      <c r="CS124" s="462"/>
    </row>
    <row r="125" spans="1:108" s="39" customFormat="1" ht="15" customHeight="1" x14ac:dyDescent="0.3">
      <c r="A125" s="469" t="s">
        <v>56</v>
      </c>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63"/>
      <c r="AK125" s="463"/>
      <c r="AL125" s="463"/>
      <c r="AM125" s="463"/>
      <c r="AN125" s="463"/>
      <c r="AO125" s="463"/>
      <c r="AP125" s="463"/>
      <c r="AQ125" s="463"/>
      <c r="AR125" s="463"/>
      <c r="AS125" s="463"/>
      <c r="AT125" s="463"/>
      <c r="AU125" s="464"/>
      <c r="AV125" s="481">
        <f>AV123+AV124</f>
        <v>72570.760000000009</v>
      </c>
      <c r="AW125" s="482"/>
      <c r="AX125" s="482"/>
      <c r="AY125" s="482"/>
      <c r="AZ125" s="482"/>
      <c r="BA125" s="482"/>
      <c r="BB125" s="482"/>
      <c r="BC125" s="482"/>
      <c r="BD125" s="482"/>
      <c r="BE125" s="482"/>
      <c r="BF125" s="482"/>
      <c r="BG125" s="482"/>
      <c r="BH125" s="482"/>
      <c r="BI125" s="482"/>
      <c r="BJ125" s="482"/>
      <c r="BK125" s="482"/>
      <c r="BL125" s="482"/>
      <c r="BM125" s="482"/>
      <c r="BN125" s="482"/>
      <c r="BO125" s="482"/>
      <c r="BP125" s="482"/>
      <c r="BQ125" s="482"/>
      <c r="BR125" s="482"/>
      <c r="BS125" s="482"/>
      <c r="BT125" s="482"/>
      <c r="BU125" s="482"/>
      <c r="BV125" s="482"/>
      <c r="BW125" s="482"/>
      <c r="BX125" s="482"/>
      <c r="BY125" s="482"/>
      <c r="BZ125" s="482"/>
      <c r="CA125" s="482"/>
      <c r="CB125" s="482"/>
      <c r="CC125" s="482"/>
      <c r="CD125" s="482"/>
      <c r="CE125" s="482"/>
      <c r="CF125" s="482"/>
      <c r="CG125" s="482"/>
      <c r="CH125" s="482"/>
      <c r="CI125" s="482"/>
      <c r="CJ125" s="482"/>
      <c r="CK125" s="482"/>
      <c r="CL125" s="482"/>
      <c r="CM125" s="482"/>
      <c r="CN125" s="482"/>
      <c r="CO125" s="482"/>
      <c r="CP125" s="482"/>
      <c r="CQ125" s="482"/>
      <c r="CR125" s="482"/>
      <c r="CS125" s="483"/>
    </row>
    <row r="126" spans="1:108" s="39" customFormat="1" ht="15" customHeight="1" x14ac:dyDescent="0.3">
      <c r="A126" s="478" t="s">
        <v>258</v>
      </c>
      <c r="B126" s="47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c r="AK126" s="479"/>
      <c r="AL126" s="479"/>
      <c r="AM126" s="479"/>
      <c r="AN126" s="479"/>
      <c r="AO126" s="479"/>
      <c r="AP126" s="479"/>
      <c r="AQ126" s="479"/>
      <c r="AR126" s="479"/>
      <c r="AS126" s="479"/>
      <c r="AT126" s="479"/>
      <c r="AU126" s="479"/>
      <c r="AV126" s="479"/>
      <c r="AW126" s="479"/>
      <c r="AX126" s="479"/>
      <c r="AY126" s="479"/>
      <c r="AZ126" s="479"/>
      <c r="BA126" s="479"/>
      <c r="BB126" s="479"/>
      <c r="BC126" s="479"/>
      <c r="BD126" s="479"/>
      <c r="BE126" s="479"/>
      <c r="BF126" s="479"/>
      <c r="BG126" s="479"/>
      <c r="BH126" s="479"/>
      <c r="BI126" s="479"/>
      <c r="BJ126" s="479"/>
      <c r="BK126" s="479"/>
      <c r="BL126" s="479"/>
      <c r="BM126" s="479"/>
      <c r="BN126" s="479"/>
      <c r="BO126" s="479"/>
      <c r="BP126" s="479"/>
      <c r="BQ126" s="479"/>
      <c r="BR126" s="479"/>
      <c r="BS126" s="479"/>
      <c r="BT126" s="479"/>
      <c r="BU126" s="479"/>
      <c r="BV126" s="479"/>
      <c r="BW126" s="479"/>
      <c r="BX126" s="479"/>
      <c r="BY126" s="479"/>
      <c r="BZ126" s="479"/>
      <c r="CA126" s="479"/>
      <c r="CB126" s="479"/>
      <c r="CC126" s="479"/>
      <c r="CD126" s="479"/>
      <c r="CE126" s="479"/>
      <c r="CF126" s="479"/>
      <c r="CG126" s="479"/>
      <c r="CH126" s="479"/>
      <c r="CI126" s="479"/>
      <c r="CJ126" s="479"/>
      <c r="CK126" s="479"/>
      <c r="CL126" s="479"/>
      <c r="CM126" s="479"/>
      <c r="CN126" s="479"/>
      <c r="CO126" s="479"/>
      <c r="CP126" s="479"/>
      <c r="CQ126" s="479"/>
      <c r="CR126" s="479"/>
      <c r="CS126" s="480"/>
    </row>
    <row r="127" spans="1:108" s="39" customFormat="1" ht="15" customHeight="1" x14ac:dyDescent="0.3">
      <c r="A127" s="452"/>
      <c r="B127" s="452"/>
      <c r="C127" s="452"/>
      <c r="D127" s="452"/>
      <c r="E127" s="452"/>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c r="AO127" s="459"/>
      <c r="AP127" s="459"/>
      <c r="AQ127" s="459"/>
      <c r="AR127" s="459"/>
      <c r="AS127" s="459"/>
      <c r="AT127" s="459"/>
      <c r="AU127" s="459"/>
      <c r="AV127" s="460"/>
      <c r="AW127" s="461"/>
      <c r="AX127" s="461"/>
      <c r="AY127" s="461"/>
      <c r="AZ127" s="461"/>
      <c r="BA127" s="461"/>
      <c r="BB127" s="461"/>
      <c r="BC127" s="461"/>
      <c r="BD127" s="461"/>
      <c r="BE127" s="461"/>
      <c r="BF127" s="461"/>
      <c r="BG127" s="461"/>
      <c r="BH127" s="461"/>
      <c r="BI127" s="461"/>
      <c r="BJ127" s="461"/>
      <c r="BK127" s="461"/>
      <c r="BL127" s="461"/>
      <c r="BM127" s="461"/>
      <c r="BN127" s="461"/>
      <c r="BO127" s="461"/>
      <c r="BP127" s="461"/>
      <c r="BQ127" s="461"/>
      <c r="BR127" s="461"/>
      <c r="BS127" s="461"/>
      <c r="BT127" s="461"/>
      <c r="BU127" s="461"/>
      <c r="BV127" s="461"/>
      <c r="BW127" s="461"/>
      <c r="BX127" s="461"/>
      <c r="BY127" s="461"/>
      <c r="BZ127" s="461"/>
      <c r="CA127" s="461"/>
      <c r="CB127" s="461"/>
      <c r="CC127" s="461"/>
      <c r="CD127" s="461"/>
      <c r="CE127" s="461"/>
      <c r="CF127" s="461"/>
      <c r="CG127" s="461"/>
      <c r="CH127" s="461"/>
      <c r="CI127" s="461"/>
      <c r="CJ127" s="461"/>
      <c r="CK127" s="461"/>
      <c r="CL127" s="461"/>
      <c r="CM127" s="461"/>
      <c r="CN127" s="461"/>
      <c r="CO127" s="461"/>
      <c r="CP127" s="461"/>
      <c r="CQ127" s="461"/>
      <c r="CR127" s="461"/>
      <c r="CS127" s="462"/>
    </row>
    <row r="128" spans="1:108" s="39" customFormat="1" ht="15" customHeight="1" x14ac:dyDescent="0.3">
      <c r="A128" s="469" t="s">
        <v>56</v>
      </c>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3"/>
      <c r="AI128" s="463"/>
      <c r="AJ128" s="463"/>
      <c r="AK128" s="463"/>
      <c r="AL128" s="463"/>
      <c r="AM128" s="463"/>
      <c r="AN128" s="463"/>
      <c r="AO128" s="463"/>
      <c r="AP128" s="463"/>
      <c r="AQ128" s="463"/>
      <c r="AR128" s="463"/>
      <c r="AS128" s="463"/>
      <c r="AT128" s="463"/>
      <c r="AU128" s="464"/>
      <c r="AV128" s="460"/>
      <c r="AW128" s="461"/>
      <c r="AX128" s="461"/>
      <c r="AY128" s="461"/>
      <c r="AZ128" s="461"/>
      <c r="BA128" s="461"/>
      <c r="BB128" s="461"/>
      <c r="BC128" s="461"/>
      <c r="BD128" s="461"/>
      <c r="BE128" s="461"/>
      <c r="BF128" s="461"/>
      <c r="BG128" s="461"/>
      <c r="BH128" s="461"/>
      <c r="BI128" s="461"/>
      <c r="BJ128" s="461"/>
      <c r="BK128" s="461"/>
      <c r="BL128" s="461"/>
      <c r="BM128" s="461"/>
      <c r="BN128" s="461"/>
      <c r="BO128" s="461"/>
      <c r="BP128" s="461"/>
      <c r="BQ128" s="461"/>
      <c r="BR128" s="461"/>
      <c r="BS128" s="461"/>
      <c r="BT128" s="461"/>
      <c r="BU128" s="461"/>
      <c r="BV128" s="461"/>
      <c r="BW128" s="461"/>
      <c r="BX128" s="461"/>
      <c r="BY128" s="461"/>
      <c r="BZ128" s="461"/>
      <c r="CA128" s="461"/>
      <c r="CB128" s="461"/>
      <c r="CC128" s="461"/>
      <c r="CD128" s="461"/>
      <c r="CE128" s="461"/>
      <c r="CF128" s="461"/>
      <c r="CG128" s="461"/>
      <c r="CH128" s="461"/>
      <c r="CI128" s="461"/>
      <c r="CJ128" s="461"/>
      <c r="CK128" s="461"/>
      <c r="CL128" s="461"/>
      <c r="CM128" s="461"/>
      <c r="CN128" s="461"/>
      <c r="CO128" s="461"/>
      <c r="CP128" s="461"/>
      <c r="CQ128" s="461"/>
      <c r="CR128" s="461"/>
      <c r="CS128" s="462"/>
    </row>
    <row r="129" spans="1:97" s="39" customFormat="1" ht="15" customHeight="1" x14ac:dyDescent="0.3">
      <c r="A129" s="469" t="s">
        <v>56</v>
      </c>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4"/>
      <c r="AV129" s="460"/>
      <c r="AW129" s="461"/>
      <c r="AX129" s="461"/>
      <c r="AY129" s="461"/>
      <c r="AZ129" s="461"/>
      <c r="BA129" s="461"/>
      <c r="BB129" s="461"/>
      <c r="BC129" s="461"/>
      <c r="BD129" s="461"/>
      <c r="BE129" s="461"/>
      <c r="BF129" s="461"/>
      <c r="BG129" s="461"/>
      <c r="BH129" s="461"/>
      <c r="BI129" s="461"/>
      <c r="BJ129" s="461"/>
      <c r="BK129" s="461"/>
      <c r="BL129" s="461"/>
      <c r="BM129" s="461"/>
      <c r="BN129" s="461"/>
      <c r="BO129" s="461"/>
      <c r="BP129" s="461"/>
      <c r="BQ129" s="461"/>
      <c r="BR129" s="461"/>
      <c r="BS129" s="461"/>
      <c r="BT129" s="461"/>
      <c r="BU129" s="461"/>
      <c r="BV129" s="461"/>
      <c r="BW129" s="461"/>
      <c r="BX129" s="461"/>
      <c r="BY129" s="461"/>
      <c r="BZ129" s="461"/>
      <c r="CA129" s="461"/>
      <c r="CB129" s="461"/>
      <c r="CC129" s="461"/>
      <c r="CD129" s="461"/>
      <c r="CE129" s="461"/>
      <c r="CF129" s="461"/>
      <c r="CG129" s="461"/>
      <c r="CH129" s="461"/>
      <c r="CI129" s="461"/>
      <c r="CJ129" s="461"/>
      <c r="CK129" s="461"/>
      <c r="CL129" s="461"/>
      <c r="CM129" s="461"/>
      <c r="CN129" s="461"/>
      <c r="CO129" s="461"/>
      <c r="CP129" s="461"/>
      <c r="CQ129" s="461"/>
      <c r="CR129" s="461"/>
      <c r="CS129" s="462"/>
    </row>
    <row r="131" spans="1:97" s="41" customFormat="1" ht="15" customHeight="1" x14ac:dyDescent="0.3">
      <c r="A131" s="470" t="s">
        <v>337</v>
      </c>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470"/>
      <c r="AY131" s="470"/>
      <c r="AZ131" s="470"/>
      <c r="BA131" s="470"/>
      <c r="BB131" s="470"/>
      <c r="BC131" s="470"/>
      <c r="BD131" s="470"/>
      <c r="BE131" s="470"/>
      <c r="BF131" s="470"/>
      <c r="BG131" s="470"/>
      <c r="BH131" s="470"/>
      <c r="BI131" s="470"/>
      <c r="BJ131" s="470"/>
      <c r="BK131" s="470"/>
      <c r="BL131" s="470"/>
      <c r="BM131" s="470"/>
      <c r="BN131" s="470"/>
      <c r="BO131" s="470"/>
      <c r="BP131" s="470"/>
      <c r="BQ131" s="470"/>
      <c r="BR131" s="470"/>
      <c r="BS131" s="470"/>
      <c r="BT131" s="470"/>
      <c r="BU131" s="470"/>
      <c r="BV131" s="470"/>
      <c r="BW131" s="470"/>
      <c r="BX131" s="470"/>
      <c r="BY131" s="470"/>
      <c r="BZ131" s="470"/>
      <c r="CA131" s="470"/>
      <c r="CB131" s="470"/>
      <c r="CC131" s="470"/>
      <c r="CD131" s="470"/>
      <c r="CE131" s="470"/>
      <c r="CF131" s="470"/>
      <c r="CG131" s="470"/>
      <c r="CH131" s="470"/>
      <c r="CI131" s="470"/>
      <c r="CJ131" s="470"/>
      <c r="CK131" s="470"/>
      <c r="CL131" s="470"/>
      <c r="CM131" s="470"/>
      <c r="CN131" s="470"/>
      <c r="CO131" s="470"/>
      <c r="CP131" s="470"/>
      <c r="CQ131" s="470"/>
      <c r="CR131" s="470"/>
      <c r="CS131" s="470"/>
    </row>
    <row r="132" spans="1:97" s="27" customFormat="1" ht="6" customHeight="1" x14ac:dyDescent="0.3"/>
    <row r="133" spans="1:97" s="41" customFormat="1" ht="15.6" x14ac:dyDescent="0.3">
      <c r="A133" s="41" t="s">
        <v>215</v>
      </c>
      <c r="V133" s="471"/>
      <c r="W133" s="471"/>
      <c r="X133" s="471"/>
      <c r="Y133" s="471"/>
      <c r="Z133" s="471"/>
      <c r="AA133" s="471"/>
      <c r="AB133" s="471"/>
      <c r="AC133" s="471"/>
      <c r="AD133" s="471"/>
      <c r="AE133" s="471"/>
      <c r="AF133" s="471"/>
      <c r="AG133" s="471"/>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71"/>
      <c r="BC133" s="471"/>
      <c r="BD133" s="471"/>
      <c r="BE133" s="471"/>
      <c r="BF133" s="471"/>
      <c r="BG133" s="471"/>
      <c r="BH133" s="471"/>
      <c r="BI133" s="471"/>
      <c r="BJ133" s="471"/>
      <c r="BK133" s="471"/>
      <c r="BL133" s="471"/>
      <c r="BM133" s="471"/>
      <c r="BN133" s="471"/>
      <c r="BO133" s="471"/>
      <c r="BP133" s="471"/>
      <c r="BQ133" s="471"/>
      <c r="BR133" s="471"/>
      <c r="BS133" s="471"/>
      <c r="BT133" s="471"/>
      <c r="BU133" s="471"/>
      <c r="BV133" s="471"/>
      <c r="BW133" s="471"/>
      <c r="BX133" s="471"/>
      <c r="BY133" s="471"/>
      <c r="BZ133" s="471"/>
      <c r="CA133" s="471"/>
      <c r="CB133" s="471"/>
      <c r="CC133" s="471"/>
      <c r="CD133" s="471"/>
      <c r="CE133" s="471"/>
      <c r="CF133" s="471"/>
      <c r="CG133" s="471"/>
      <c r="CH133" s="471"/>
      <c r="CI133" s="471"/>
      <c r="CJ133" s="471"/>
      <c r="CK133" s="471"/>
      <c r="CL133" s="471"/>
      <c r="CM133" s="471"/>
      <c r="CN133" s="471"/>
      <c r="CO133" s="471"/>
      <c r="CP133" s="471"/>
      <c r="CQ133" s="471"/>
      <c r="CR133" s="471"/>
      <c r="CS133" s="471"/>
    </row>
    <row r="134" spans="1:97" s="20" customForma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42"/>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row>
    <row r="135" spans="1:97" ht="53.25" customHeight="1" x14ac:dyDescent="0.25">
      <c r="A135" s="472" t="s">
        <v>49</v>
      </c>
      <c r="B135" s="473"/>
      <c r="C135" s="473"/>
      <c r="D135" s="473"/>
      <c r="E135" s="474"/>
      <c r="F135" s="472" t="s">
        <v>0</v>
      </c>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4"/>
      <c r="AV135" s="475" t="s">
        <v>79</v>
      </c>
      <c r="AW135" s="476"/>
      <c r="AX135" s="476"/>
      <c r="AY135" s="476"/>
      <c r="AZ135" s="476"/>
      <c r="BA135" s="476"/>
      <c r="BB135" s="476"/>
      <c r="BC135" s="476"/>
      <c r="BD135" s="476"/>
      <c r="BE135" s="476"/>
      <c r="BF135" s="476"/>
      <c r="BG135" s="476"/>
      <c r="BH135" s="476"/>
      <c r="BI135" s="476"/>
      <c r="BJ135" s="476"/>
      <c r="BK135" s="476"/>
      <c r="BL135" s="477"/>
      <c r="BM135" s="475" t="s">
        <v>80</v>
      </c>
      <c r="BN135" s="476"/>
      <c r="BO135" s="476"/>
      <c r="BP135" s="476"/>
      <c r="BQ135" s="476"/>
      <c r="BR135" s="476"/>
      <c r="BS135" s="476"/>
      <c r="BT135" s="476"/>
      <c r="BU135" s="476"/>
      <c r="BV135" s="476"/>
      <c r="BW135" s="476"/>
      <c r="BX135" s="476"/>
      <c r="BY135" s="476"/>
      <c r="BZ135" s="476"/>
      <c r="CA135" s="476"/>
      <c r="CB135" s="476"/>
      <c r="CC135" s="477"/>
      <c r="CD135" s="475" t="s">
        <v>81</v>
      </c>
      <c r="CE135" s="476"/>
      <c r="CF135" s="476"/>
      <c r="CG135" s="476"/>
      <c r="CH135" s="476"/>
      <c r="CI135" s="476"/>
      <c r="CJ135" s="476"/>
      <c r="CK135" s="476"/>
      <c r="CL135" s="476"/>
      <c r="CM135" s="476"/>
      <c r="CN135" s="476"/>
      <c r="CO135" s="476"/>
      <c r="CP135" s="476"/>
      <c r="CQ135" s="476"/>
      <c r="CR135" s="476"/>
      <c r="CS135" s="477"/>
    </row>
    <row r="136" spans="1:97" s="22" customFormat="1" x14ac:dyDescent="0.3">
      <c r="A136" s="465">
        <v>1</v>
      </c>
      <c r="B136" s="465"/>
      <c r="C136" s="465"/>
      <c r="D136" s="465"/>
      <c r="E136" s="465"/>
      <c r="F136" s="465">
        <v>2</v>
      </c>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5"/>
      <c r="AO136" s="465"/>
      <c r="AP136" s="465"/>
      <c r="AQ136" s="465"/>
      <c r="AR136" s="465"/>
      <c r="AS136" s="465"/>
      <c r="AT136" s="465"/>
      <c r="AU136" s="465"/>
      <c r="AV136" s="466">
        <v>3</v>
      </c>
      <c r="AW136" s="467"/>
      <c r="AX136" s="467"/>
      <c r="AY136" s="467"/>
      <c r="AZ136" s="467"/>
      <c r="BA136" s="467"/>
      <c r="BB136" s="467"/>
      <c r="BC136" s="467"/>
      <c r="BD136" s="467"/>
      <c r="BE136" s="467"/>
      <c r="BF136" s="467"/>
      <c r="BG136" s="467"/>
      <c r="BH136" s="467"/>
      <c r="BI136" s="467"/>
      <c r="BJ136" s="467"/>
      <c r="BK136" s="467"/>
      <c r="BL136" s="468"/>
      <c r="BM136" s="466">
        <v>4</v>
      </c>
      <c r="BN136" s="467"/>
      <c r="BO136" s="467"/>
      <c r="BP136" s="467"/>
      <c r="BQ136" s="467"/>
      <c r="BR136" s="467"/>
      <c r="BS136" s="467"/>
      <c r="BT136" s="467"/>
      <c r="BU136" s="467"/>
      <c r="BV136" s="467"/>
      <c r="BW136" s="467"/>
      <c r="BX136" s="467"/>
      <c r="BY136" s="467"/>
      <c r="BZ136" s="467"/>
      <c r="CA136" s="467"/>
      <c r="CB136" s="467"/>
      <c r="CC136" s="468"/>
      <c r="CD136" s="466">
        <v>5</v>
      </c>
      <c r="CE136" s="467"/>
      <c r="CF136" s="467"/>
      <c r="CG136" s="467"/>
      <c r="CH136" s="467"/>
      <c r="CI136" s="467"/>
      <c r="CJ136" s="467"/>
      <c r="CK136" s="467"/>
      <c r="CL136" s="467"/>
      <c r="CM136" s="467"/>
      <c r="CN136" s="467"/>
      <c r="CO136" s="467"/>
      <c r="CP136" s="467"/>
      <c r="CQ136" s="467"/>
      <c r="CR136" s="467"/>
      <c r="CS136" s="468"/>
    </row>
    <row r="137" spans="1:97" s="23" customFormat="1" ht="15" customHeight="1" x14ac:dyDescent="0.3">
      <c r="A137" s="452"/>
      <c r="B137" s="452"/>
      <c r="C137" s="452"/>
      <c r="D137" s="452"/>
      <c r="E137" s="452"/>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c r="AO137" s="459"/>
      <c r="AP137" s="459"/>
      <c r="AQ137" s="459"/>
      <c r="AR137" s="459"/>
      <c r="AS137" s="459"/>
      <c r="AT137" s="459"/>
      <c r="AU137" s="459"/>
      <c r="AV137" s="460"/>
      <c r="AW137" s="461"/>
      <c r="AX137" s="461"/>
      <c r="AY137" s="461"/>
      <c r="AZ137" s="461"/>
      <c r="BA137" s="461"/>
      <c r="BB137" s="461"/>
      <c r="BC137" s="461"/>
      <c r="BD137" s="461"/>
      <c r="BE137" s="461"/>
      <c r="BF137" s="461"/>
      <c r="BG137" s="461"/>
      <c r="BH137" s="461"/>
      <c r="BI137" s="461"/>
      <c r="BJ137" s="461"/>
      <c r="BK137" s="461"/>
      <c r="BL137" s="462"/>
      <c r="BM137" s="460"/>
      <c r="BN137" s="461"/>
      <c r="BO137" s="461"/>
      <c r="BP137" s="461"/>
      <c r="BQ137" s="461"/>
      <c r="BR137" s="461"/>
      <c r="BS137" s="461"/>
      <c r="BT137" s="461"/>
      <c r="BU137" s="461"/>
      <c r="BV137" s="461"/>
      <c r="BW137" s="461"/>
      <c r="BX137" s="461"/>
      <c r="BY137" s="461"/>
      <c r="BZ137" s="461"/>
      <c r="CA137" s="461"/>
      <c r="CB137" s="461"/>
      <c r="CC137" s="462"/>
      <c r="CD137" s="460"/>
      <c r="CE137" s="461"/>
      <c r="CF137" s="461"/>
      <c r="CG137" s="461"/>
      <c r="CH137" s="461"/>
      <c r="CI137" s="461"/>
      <c r="CJ137" s="461"/>
      <c r="CK137" s="461"/>
      <c r="CL137" s="461"/>
      <c r="CM137" s="461"/>
      <c r="CN137" s="461"/>
      <c r="CO137" s="461"/>
      <c r="CP137" s="461"/>
      <c r="CQ137" s="461"/>
      <c r="CR137" s="461"/>
      <c r="CS137" s="462"/>
    </row>
    <row r="138" spans="1:97" s="23" customFormat="1" ht="15" customHeight="1" x14ac:dyDescent="0.3">
      <c r="A138" s="452"/>
      <c r="B138" s="452"/>
      <c r="C138" s="452"/>
      <c r="D138" s="452"/>
      <c r="E138" s="452"/>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c r="AO138" s="459"/>
      <c r="AP138" s="459"/>
      <c r="AQ138" s="459"/>
      <c r="AR138" s="459"/>
      <c r="AS138" s="459"/>
      <c r="AT138" s="459"/>
      <c r="AU138" s="459"/>
      <c r="AV138" s="460"/>
      <c r="AW138" s="461"/>
      <c r="AX138" s="461"/>
      <c r="AY138" s="461"/>
      <c r="AZ138" s="461"/>
      <c r="BA138" s="461"/>
      <c r="BB138" s="461"/>
      <c r="BC138" s="461"/>
      <c r="BD138" s="461"/>
      <c r="BE138" s="461"/>
      <c r="BF138" s="461"/>
      <c r="BG138" s="461"/>
      <c r="BH138" s="461"/>
      <c r="BI138" s="461"/>
      <c r="BJ138" s="461"/>
      <c r="BK138" s="461"/>
      <c r="BL138" s="462"/>
      <c r="BM138" s="460"/>
      <c r="BN138" s="461"/>
      <c r="BO138" s="461"/>
      <c r="BP138" s="461"/>
      <c r="BQ138" s="461"/>
      <c r="BR138" s="461"/>
      <c r="BS138" s="461"/>
      <c r="BT138" s="461"/>
      <c r="BU138" s="461"/>
      <c r="BV138" s="461"/>
      <c r="BW138" s="461"/>
      <c r="BX138" s="461"/>
      <c r="BY138" s="461"/>
      <c r="BZ138" s="461"/>
      <c r="CA138" s="461"/>
      <c r="CB138" s="461"/>
      <c r="CC138" s="462"/>
      <c r="CD138" s="460"/>
      <c r="CE138" s="461"/>
      <c r="CF138" s="461"/>
      <c r="CG138" s="461"/>
      <c r="CH138" s="461"/>
      <c r="CI138" s="461"/>
      <c r="CJ138" s="461"/>
      <c r="CK138" s="461"/>
      <c r="CL138" s="461"/>
      <c r="CM138" s="461"/>
      <c r="CN138" s="461"/>
      <c r="CO138" s="461"/>
      <c r="CP138" s="461"/>
      <c r="CQ138" s="461"/>
      <c r="CR138" s="461"/>
      <c r="CS138" s="462"/>
    </row>
    <row r="139" spans="1:97" s="23" customFormat="1" ht="15" customHeight="1" x14ac:dyDescent="0.3">
      <c r="A139" s="452"/>
      <c r="B139" s="452"/>
      <c r="C139" s="452"/>
      <c r="D139" s="452"/>
      <c r="E139" s="452"/>
      <c r="F139" s="463" t="s">
        <v>56</v>
      </c>
      <c r="G139" s="463"/>
      <c r="H139" s="463"/>
      <c r="I139" s="463"/>
      <c r="J139" s="463"/>
      <c r="K139" s="463"/>
      <c r="L139" s="463"/>
      <c r="M139" s="463"/>
      <c r="N139" s="463"/>
      <c r="O139" s="463"/>
      <c r="P139" s="463"/>
      <c r="Q139" s="463"/>
      <c r="R139" s="463"/>
      <c r="S139" s="463"/>
      <c r="T139" s="463"/>
      <c r="U139" s="463"/>
      <c r="V139" s="463"/>
      <c r="W139" s="463"/>
      <c r="X139" s="463"/>
      <c r="Y139" s="463"/>
      <c r="Z139" s="463"/>
      <c r="AA139" s="463"/>
      <c r="AB139" s="463"/>
      <c r="AC139" s="463"/>
      <c r="AD139" s="463"/>
      <c r="AE139" s="463"/>
      <c r="AF139" s="463"/>
      <c r="AG139" s="463"/>
      <c r="AH139" s="463"/>
      <c r="AI139" s="463"/>
      <c r="AJ139" s="463"/>
      <c r="AK139" s="463"/>
      <c r="AL139" s="463"/>
      <c r="AM139" s="463"/>
      <c r="AN139" s="463"/>
      <c r="AO139" s="463"/>
      <c r="AP139" s="463"/>
      <c r="AQ139" s="463"/>
      <c r="AR139" s="463"/>
      <c r="AS139" s="463"/>
      <c r="AT139" s="463"/>
      <c r="AU139" s="464"/>
      <c r="AV139" s="460"/>
      <c r="AW139" s="461"/>
      <c r="AX139" s="461"/>
      <c r="AY139" s="461"/>
      <c r="AZ139" s="461"/>
      <c r="BA139" s="461"/>
      <c r="BB139" s="461"/>
      <c r="BC139" s="461"/>
      <c r="BD139" s="461"/>
      <c r="BE139" s="461"/>
      <c r="BF139" s="461"/>
      <c r="BG139" s="461"/>
      <c r="BH139" s="461"/>
      <c r="BI139" s="461"/>
      <c r="BJ139" s="461"/>
      <c r="BK139" s="461"/>
      <c r="BL139" s="462"/>
      <c r="BM139" s="460"/>
      <c r="BN139" s="461"/>
      <c r="BO139" s="461"/>
      <c r="BP139" s="461"/>
      <c r="BQ139" s="461"/>
      <c r="BR139" s="461"/>
      <c r="BS139" s="461"/>
      <c r="BT139" s="461"/>
      <c r="BU139" s="461"/>
      <c r="BV139" s="461"/>
      <c r="BW139" s="461"/>
      <c r="BX139" s="461"/>
      <c r="BY139" s="461"/>
      <c r="BZ139" s="461"/>
      <c r="CA139" s="461"/>
      <c r="CB139" s="461"/>
      <c r="CC139" s="462"/>
      <c r="CD139" s="460"/>
      <c r="CE139" s="461"/>
      <c r="CF139" s="461"/>
      <c r="CG139" s="461"/>
      <c r="CH139" s="461"/>
      <c r="CI139" s="461"/>
      <c r="CJ139" s="461"/>
      <c r="CK139" s="461"/>
      <c r="CL139" s="461"/>
      <c r="CM139" s="461"/>
      <c r="CN139" s="461"/>
      <c r="CO139" s="461"/>
      <c r="CP139" s="461"/>
      <c r="CQ139" s="461"/>
      <c r="CR139" s="461"/>
      <c r="CS139" s="462"/>
    </row>
    <row r="141" spans="1:97" ht="30.75" customHeight="1" x14ac:dyDescent="0.25">
      <c r="A141" s="428" t="s">
        <v>336</v>
      </c>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428"/>
      <c r="BG141" s="428"/>
      <c r="BH141" s="428"/>
      <c r="BI141" s="428"/>
      <c r="BJ141" s="428"/>
      <c r="BK141" s="428"/>
      <c r="BL141" s="428"/>
      <c r="BM141" s="428"/>
      <c r="BN141" s="428"/>
      <c r="BO141" s="428"/>
      <c r="BP141" s="428"/>
      <c r="BQ141" s="428"/>
      <c r="BR141" s="428"/>
      <c r="BS141" s="428"/>
      <c r="BT141" s="428"/>
      <c r="BU141" s="428"/>
      <c r="BV141" s="428"/>
      <c r="BW141" s="428"/>
      <c r="BX141" s="428"/>
      <c r="BY141" s="428"/>
      <c r="BZ141" s="428"/>
      <c r="CA141" s="428"/>
      <c r="CB141" s="428"/>
      <c r="CC141" s="428"/>
      <c r="CD141" s="428"/>
      <c r="CE141" s="428"/>
      <c r="CF141" s="428"/>
      <c r="CG141" s="428"/>
      <c r="CH141" s="428"/>
      <c r="CI141" s="428"/>
      <c r="CJ141" s="428"/>
      <c r="CK141" s="428"/>
      <c r="CL141" s="428"/>
      <c r="CM141" s="428"/>
      <c r="CN141" s="428"/>
      <c r="CO141" s="428"/>
      <c r="CP141" s="428"/>
      <c r="CQ141" s="428"/>
      <c r="CR141" s="428"/>
      <c r="CS141" s="428"/>
    </row>
    <row r="142" spans="1:97" x14ac:dyDescent="0.25">
      <c r="A142" s="456" t="s">
        <v>464</v>
      </c>
      <c r="B142" s="456"/>
      <c r="C142" s="456"/>
      <c r="D142" s="456"/>
      <c r="E142" s="456"/>
      <c r="F142" s="456"/>
      <c r="G142" s="456"/>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E142" s="456"/>
      <c r="AF142" s="456"/>
      <c r="AG142" s="456"/>
      <c r="AH142" s="456"/>
      <c r="AI142" s="456"/>
      <c r="AJ142" s="456"/>
      <c r="AK142" s="456"/>
      <c r="AL142" s="456"/>
      <c r="AM142" s="456"/>
      <c r="AN142" s="456"/>
      <c r="AO142" s="456"/>
      <c r="AP142" s="456"/>
      <c r="AQ142" s="456"/>
      <c r="AR142" s="456"/>
      <c r="AS142" s="456"/>
      <c r="AT142" s="456"/>
      <c r="AU142" s="456"/>
      <c r="AV142" s="457"/>
      <c r="AW142" s="457"/>
      <c r="AX142" s="457"/>
      <c r="AY142" s="457"/>
      <c r="AZ142" s="457"/>
      <c r="BA142" s="457"/>
      <c r="BB142" s="457"/>
      <c r="BC142" s="457"/>
      <c r="BD142" s="457"/>
      <c r="BE142" s="457"/>
      <c r="BF142" s="457"/>
      <c r="BG142" s="457"/>
      <c r="BH142" s="457"/>
      <c r="BI142" s="457"/>
      <c r="BJ142" s="457"/>
      <c r="BK142" s="457"/>
      <c r="BL142" s="457"/>
      <c r="BM142" s="457"/>
      <c r="BN142" s="457"/>
      <c r="BO142" s="457"/>
      <c r="BP142" s="457"/>
      <c r="BQ142" s="457"/>
      <c r="BR142" s="457"/>
      <c r="BS142" s="457"/>
      <c r="BT142" s="457"/>
      <c r="BU142" s="457"/>
      <c r="BV142" s="457"/>
      <c r="BW142" s="457"/>
      <c r="BX142" s="457"/>
      <c r="BY142" s="457"/>
      <c r="BZ142" s="457"/>
      <c r="CA142" s="457"/>
      <c r="CB142" s="457"/>
      <c r="CC142" s="457"/>
      <c r="CD142" s="458">
        <f>AV24+BW35+CD43+CD72+AV91+CD102+CD61+AV51+AV25+AV124</f>
        <v>167014640.78999999</v>
      </c>
      <c r="CE142" s="456"/>
      <c r="CF142" s="456"/>
      <c r="CG142" s="456"/>
      <c r="CH142" s="456"/>
      <c r="CI142" s="456"/>
      <c r="CJ142" s="456"/>
      <c r="CK142" s="456"/>
      <c r="CL142" s="456"/>
      <c r="CM142" s="456"/>
      <c r="CN142" s="456"/>
      <c r="CO142" s="456"/>
      <c r="CP142" s="456"/>
      <c r="CQ142" s="456"/>
      <c r="CR142" s="456"/>
      <c r="CS142" s="456"/>
    </row>
  </sheetData>
  <mergeCells count="355">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E47"/>
    <mergeCell ref="F47:AU47"/>
    <mergeCell ref="AV47:CS47"/>
    <mergeCell ref="A48:E48"/>
    <mergeCell ref="F48:AU48"/>
    <mergeCell ref="AV48:CS48"/>
    <mergeCell ref="A43:E43"/>
    <mergeCell ref="F43:AU43"/>
    <mergeCell ref="AV43:BL43"/>
    <mergeCell ref="BM43:CC43"/>
    <mergeCell ref="CD43:CS43"/>
    <mergeCell ref="A45:CS45"/>
    <mergeCell ref="A51:E51"/>
    <mergeCell ref="F51:AU51"/>
    <mergeCell ref="AV51:CS51"/>
    <mergeCell ref="A53:CS53"/>
    <mergeCell ref="A55:AP55"/>
    <mergeCell ref="AQ55:CS55"/>
    <mergeCell ref="A49:E49"/>
    <mergeCell ref="F49:AU49"/>
    <mergeCell ref="AV49:CS49"/>
    <mergeCell ref="A50:E50"/>
    <mergeCell ref="F50:AU50"/>
    <mergeCell ref="AV50:CS50"/>
    <mergeCell ref="A57:E57"/>
    <mergeCell ref="F57:AU57"/>
    <mergeCell ref="AV57:BL57"/>
    <mergeCell ref="BM57:CC57"/>
    <mergeCell ref="CD57:CS57"/>
    <mergeCell ref="A58:E58"/>
    <mergeCell ref="F58:AU58"/>
    <mergeCell ref="AV58:BL58"/>
    <mergeCell ref="BM58:CC58"/>
    <mergeCell ref="CD58:CS58"/>
    <mergeCell ref="A59:E59"/>
    <mergeCell ref="F59:AU59"/>
    <mergeCell ref="AV59:BL59"/>
    <mergeCell ref="BM59:CC59"/>
    <mergeCell ref="CD59:CS59"/>
    <mergeCell ref="A60:E60"/>
    <mergeCell ref="F60:AU60"/>
    <mergeCell ref="AV60:BL60"/>
    <mergeCell ref="BM60:CC60"/>
    <mergeCell ref="CD60:CS60"/>
    <mergeCell ref="A65:AP65"/>
    <mergeCell ref="AQ65:CS65"/>
    <mergeCell ref="A67:E67"/>
    <mergeCell ref="F67:AU67"/>
    <mergeCell ref="AV67:BL67"/>
    <mergeCell ref="BM67:CC67"/>
    <mergeCell ref="CD67:CS67"/>
    <mergeCell ref="A61:E61"/>
    <mergeCell ref="F61:AU61"/>
    <mergeCell ref="AV61:BL61"/>
    <mergeCell ref="BM61:CC61"/>
    <mergeCell ref="CD61:CS61"/>
    <mergeCell ref="A63:CS63"/>
    <mergeCell ref="A68:E68"/>
    <mergeCell ref="F68:AU68"/>
    <mergeCell ref="AV68:BL68"/>
    <mergeCell ref="BM68:CC68"/>
    <mergeCell ref="CD68:CS68"/>
    <mergeCell ref="A69:E69"/>
    <mergeCell ref="F69:AU69"/>
    <mergeCell ref="AV69:BL69"/>
    <mergeCell ref="BM69:CC69"/>
    <mergeCell ref="CD69:CS69"/>
    <mergeCell ref="A72:E72"/>
    <mergeCell ref="F72:AU72"/>
    <mergeCell ref="AV72:BL72"/>
    <mergeCell ref="BM72:CC72"/>
    <mergeCell ref="CD72:CS72"/>
    <mergeCell ref="A74:CS74"/>
    <mergeCell ref="A70:E70"/>
    <mergeCell ref="F70:AU70"/>
    <mergeCell ref="AV70:BL70"/>
    <mergeCell ref="BM70:CC70"/>
    <mergeCell ref="CD70:CS70"/>
    <mergeCell ref="A71:E71"/>
    <mergeCell ref="F71:AU71"/>
    <mergeCell ref="AV71:BL71"/>
    <mergeCell ref="BM71:CC71"/>
    <mergeCell ref="CD71:CS71"/>
    <mergeCell ref="A80:E80"/>
    <mergeCell ref="F80:AU80"/>
    <mergeCell ref="AV80:CS80"/>
    <mergeCell ref="A91:E91"/>
    <mergeCell ref="F91:AU91"/>
    <mergeCell ref="AV91:CS91"/>
    <mergeCell ref="A76:AP76"/>
    <mergeCell ref="AQ76:CS76"/>
    <mergeCell ref="A78:E78"/>
    <mergeCell ref="F78:AU78"/>
    <mergeCell ref="AV78:CS78"/>
    <mergeCell ref="A79:E79"/>
    <mergeCell ref="F79:AU79"/>
    <mergeCell ref="AV79:CS79"/>
    <mergeCell ref="A81:E81"/>
    <mergeCell ref="A84:E84"/>
    <mergeCell ref="A88:E88"/>
    <mergeCell ref="F81:AU81"/>
    <mergeCell ref="F84:AU84"/>
    <mergeCell ref="F88:AU88"/>
    <mergeCell ref="AV81:CS81"/>
    <mergeCell ref="AV84:CS84"/>
    <mergeCell ref="AV88:CS88"/>
    <mergeCell ref="A82:E82"/>
    <mergeCell ref="A98:E98"/>
    <mergeCell ref="F98:AL98"/>
    <mergeCell ref="AM98:AU98"/>
    <mergeCell ref="AV98:BL98"/>
    <mergeCell ref="BM98:CC98"/>
    <mergeCell ref="CD98:CS98"/>
    <mergeCell ref="A93:CS93"/>
    <mergeCell ref="A95:AP95"/>
    <mergeCell ref="AQ95:CS95"/>
    <mergeCell ref="A97:E97"/>
    <mergeCell ref="F97:AL97"/>
    <mergeCell ref="AM97:AU97"/>
    <mergeCell ref="AV97:BL97"/>
    <mergeCell ref="BM97:CC97"/>
    <mergeCell ref="CD97:CS97"/>
    <mergeCell ref="A100:E100"/>
    <mergeCell ref="F100:AL100"/>
    <mergeCell ref="AM100:AU100"/>
    <mergeCell ref="AV100:BL100"/>
    <mergeCell ref="BM100:CC100"/>
    <mergeCell ref="CD100:CS100"/>
    <mergeCell ref="A99:E99"/>
    <mergeCell ref="F99:AL99"/>
    <mergeCell ref="AM99:AU99"/>
    <mergeCell ref="AV99:BL99"/>
    <mergeCell ref="BM99:CC99"/>
    <mergeCell ref="CD99:CS99"/>
    <mergeCell ref="A102:E102"/>
    <mergeCell ref="F102:AU102"/>
    <mergeCell ref="AV102:BL102"/>
    <mergeCell ref="BM102:CC102"/>
    <mergeCell ref="CD102:CS102"/>
    <mergeCell ref="A106:CS106"/>
    <mergeCell ref="A101:E101"/>
    <mergeCell ref="F101:AL101"/>
    <mergeCell ref="AM101:AU101"/>
    <mergeCell ref="AV101:BL101"/>
    <mergeCell ref="BM101:CC101"/>
    <mergeCell ref="CD101:CS101"/>
    <mergeCell ref="A111:E111"/>
    <mergeCell ref="F111:AL111"/>
    <mergeCell ref="AM111:AU111"/>
    <mergeCell ref="AV111:BL111"/>
    <mergeCell ref="BM111:CC111"/>
    <mergeCell ref="CD111:CS111"/>
    <mergeCell ref="A108:AP108"/>
    <mergeCell ref="AQ108:CS108"/>
    <mergeCell ref="A110:E110"/>
    <mergeCell ref="F110:AL110"/>
    <mergeCell ref="AM110:AU110"/>
    <mergeCell ref="AV110:BL110"/>
    <mergeCell ref="BM110:CC110"/>
    <mergeCell ref="CD110:CS110"/>
    <mergeCell ref="A113:E113"/>
    <mergeCell ref="F113:AL113"/>
    <mergeCell ref="AM113:AU113"/>
    <mergeCell ref="AV113:BL113"/>
    <mergeCell ref="BM113:CC113"/>
    <mergeCell ref="CD113:CS113"/>
    <mergeCell ref="A112:E112"/>
    <mergeCell ref="F112:AL112"/>
    <mergeCell ref="AM112:AU112"/>
    <mergeCell ref="AV112:BL112"/>
    <mergeCell ref="BM112:CC112"/>
    <mergeCell ref="CD112:CS112"/>
    <mergeCell ref="A118:AU118"/>
    <mergeCell ref="AV118:CS118"/>
    <mergeCell ref="A120:E120"/>
    <mergeCell ref="F120:AU120"/>
    <mergeCell ref="AV120:CS120"/>
    <mergeCell ref="A121:E121"/>
    <mergeCell ref="F121:AU121"/>
    <mergeCell ref="AV121:CS121"/>
    <mergeCell ref="A114:E114"/>
    <mergeCell ref="F114:AU114"/>
    <mergeCell ref="AV114:BL114"/>
    <mergeCell ref="BM114:CC114"/>
    <mergeCell ref="CD114:CS114"/>
    <mergeCell ref="A116:CS116"/>
    <mergeCell ref="A126:CS126"/>
    <mergeCell ref="A127:E127"/>
    <mergeCell ref="F127:AU127"/>
    <mergeCell ref="AV127:CS127"/>
    <mergeCell ref="A128:AU128"/>
    <mergeCell ref="AV128:CS128"/>
    <mergeCell ref="A122:CS122"/>
    <mergeCell ref="A123:E123"/>
    <mergeCell ref="F123:AU123"/>
    <mergeCell ref="AV123:CS123"/>
    <mergeCell ref="A125:AU125"/>
    <mergeCell ref="AV125:CS125"/>
    <mergeCell ref="A124:E124"/>
    <mergeCell ref="F124:AU124"/>
    <mergeCell ref="AV124:CS124"/>
    <mergeCell ref="A129:AU129"/>
    <mergeCell ref="AV129:CS129"/>
    <mergeCell ref="A131:CS131"/>
    <mergeCell ref="V133:CS133"/>
    <mergeCell ref="A135:E135"/>
    <mergeCell ref="F135:AU135"/>
    <mergeCell ref="AV135:BL135"/>
    <mergeCell ref="BM135:CC135"/>
    <mergeCell ref="CD135:CS135"/>
    <mergeCell ref="A136:E136"/>
    <mergeCell ref="F136:AU136"/>
    <mergeCell ref="AV136:BL136"/>
    <mergeCell ref="BM136:CC136"/>
    <mergeCell ref="CD136:CS136"/>
    <mergeCell ref="A137:E137"/>
    <mergeCell ref="F137:AU137"/>
    <mergeCell ref="AV137:BL137"/>
    <mergeCell ref="BM137:CC137"/>
    <mergeCell ref="CD137:CS137"/>
    <mergeCell ref="A141:CS141"/>
    <mergeCell ref="A142:AU142"/>
    <mergeCell ref="AV142:BL142"/>
    <mergeCell ref="BM142:CC142"/>
    <mergeCell ref="CD142:CS142"/>
    <mergeCell ref="A138:E138"/>
    <mergeCell ref="F138:AU138"/>
    <mergeCell ref="AV138:BL138"/>
    <mergeCell ref="BM138:CC138"/>
    <mergeCell ref="CD138:CS138"/>
    <mergeCell ref="A139:E139"/>
    <mergeCell ref="F139:AU139"/>
    <mergeCell ref="AV139:BL139"/>
    <mergeCell ref="BM139:CC139"/>
    <mergeCell ref="CD139:CS139"/>
    <mergeCell ref="F82:AU82"/>
    <mergeCell ref="AV82:CS82"/>
    <mergeCell ref="A83:E83"/>
    <mergeCell ref="F83:AU83"/>
    <mergeCell ref="AV83:CS83"/>
    <mergeCell ref="A85:E85"/>
    <mergeCell ref="A86:E86"/>
    <mergeCell ref="A87:E87"/>
    <mergeCell ref="A90:E90"/>
    <mergeCell ref="F85:AU85"/>
    <mergeCell ref="F86:AU86"/>
    <mergeCell ref="F87:AU87"/>
    <mergeCell ref="F90:AU90"/>
    <mergeCell ref="AV85:CS85"/>
    <mergeCell ref="AV86:CS86"/>
    <mergeCell ref="AV87:CS87"/>
    <mergeCell ref="AV90:CS90"/>
    <mergeCell ref="A89:E89"/>
    <mergeCell ref="F89:AU89"/>
    <mergeCell ref="AV89:CS89"/>
  </mergeCells>
  <pageMargins left="0.98425196850393704" right="0.39370078740157483" top="0.59055118110236227" bottom="0.39370078740157483" header="0.31496062992125984" footer="0.31496062992125984"/>
  <pageSetup paperSize="9" scale="79" fitToHeight="0" orientation="portrait" r:id="rId1"/>
  <rowBreaks count="1" manualBreakCount="1">
    <brk id="63" max="9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110"/>
  <sheetViews>
    <sheetView view="pageBreakPreview" zoomScale="95" zoomScaleNormal="96" zoomScaleSheetLayoutView="95" workbookViewId="0">
      <selection activeCell="BW30" sqref="BW29:CS30"/>
    </sheetView>
  </sheetViews>
  <sheetFormatPr defaultColWidth="0.88671875" defaultRowHeight="13.8" x14ac:dyDescent="0.25"/>
  <cols>
    <col min="1" max="97" width="1.109375" style="13" customWidth="1"/>
    <col min="98" max="102" width="0.88671875" style="13"/>
    <col min="103" max="103" width="16.332031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25" t="s">
        <v>948</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c r="CI2" s="525"/>
      <c r="CJ2" s="525"/>
      <c r="CK2" s="525"/>
      <c r="CL2" s="525"/>
      <c r="CM2" s="525"/>
      <c r="CN2" s="525"/>
      <c r="CO2" s="525"/>
      <c r="CP2" s="525"/>
      <c r="CQ2" s="525"/>
      <c r="CR2" s="525"/>
      <c r="CS2" s="525"/>
    </row>
    <row r="3" spans="1:97" ht="19.5" customHeight="1" x14ac:dyDescent="0.25"/>
    <row r="4" spans="1:97" ht="15.6" x14ac:dyDescent="0.3">
      <c r="A4" s="347" t="s">
        <v>249</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row>
    <row r="5" spans="1:97" ht="19.5" customHeight="1" x14ac:dyDescent="0.25"/>
    <row r="6" spans="1:97" s="20" customFormat="1" ht="15.6" hidden="1" x14ac:dyDescent="0.3">
      <c r="A6" s="470" t="s">
        <v>250</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row>
    <row r="7" spans="1:97" ht="6" hidden="1" customHeight="1" x14ac:dyDescent="0.25"/>
    <row r="8" spans="1:97" s="20" customFormat="1" ht="15.6" hidden="1" x14ac:dyDescent="0.3">
      <c r="A8" s="470" t="s">
        <v>268</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c r="BW8" s="490"/>
      <c r="BX8" s="490"/>
      <c r="BY8" s="490"/>
      <c r="BZ8" s="490"/>
      <c r="CA8" s="490"/>
      <c r="CB8" s="490"/>
      <c r="CC8" s="490"/>
      <c r="CD8" s="490"/>
      <c r="CE8" s="490"/>
      <c r="CF8" s="490"/>
      <c r="CG8" s="490"/>
      <c r="CH8" s="490"/>
      <c r="CI8" s="490"/>
      <c r="CJ8" s="490"/>
      <c r="CK8" s="490"/>
      <c r="CL8" s="490"/>
      <c r="CM8" s="490"/>
      <c r="CN8" s="490"/>
      <c r="CO8" s="490"/>
      <c r="CP8" s="490"/>
      <c r="CQ8" s="490"/>
      <c r="CR8" s="490"/>
      <c r="CS8" s="490"/>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485" t="s">
        <v>263</v>
      </c>
      <c r="B10" s="485"/>
      <c r="C10" s="485"/>
      <c r="D10" s="485"/>
      <c r="E10" s="485"/>
      <c r="F10" s="485" t="s">
        <v>0</v>
      </c>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72" t="s">
        <v>295</v>
      </c>
      <c r="AW10" s="473"/>
      <c r="AX10" s="473"/>
      <c r="AY10" s="473"/>
      <c r="AZ10" s="473"/>
      <c r="BA10" s="473"/>
      <c r="BB10" s="473"/>
      <c r="BC10" s="473"/>
      <c r="BD10" s="473"/>
      <c r="BE10" s="473"/>
      <c r="BF10" s="473"/>
      <c r="BG10" s="473"/>
      <c r="BH10" s="473"/>
      <c r="BI10" s="473"/>
      <c r="BJ10" s="473"/>
      <c r="BK10" s="473"/>
      <c r="BL10" s="474"/>
      <c r="BM10" s="472" t="s">
        <v>243</v>
      </c>
      <c r="BN10" s="473"/>
      <c r="BO10" s="473"/>
      <c r="BP10" s="473"/>
      <c r="BQ10" s="473"/>
      <c r="BR10" s="473"/>
      <c r="BS10" s="473"/>
      <c r="BT10" s="473"/>
      <c r="BU10" s="473"/>
      <c r="BV10" s="473"/>
      <c r="BW10" s="473"/>
      <c r="BX10" s="473"/>
      <c r="BY10" s="473"/>
      <c r="BZ10" s="473"/>
      <c r="CA10" s="473"/>
      <c r="CB10" s="473"/>
      <c r="CC10" s="474"/>
      <c r="CD10" s="472" t="s">
        <v>244</v>
      </c>
      <c r="CE10" s="473"/>
      <c r="CF10" s="473"/>
      <c r="CG10" s="473"/>
      <c r="CH10" s="473"/>
      <c r="CI10" s="473"/>
      <c r="CJ10" s="473"/>
      <c r="CK10" s="473"/>
      <c r="CL10" s="473"/>
      <c r="CM10" s="473"/>
      <c r="CN10" s="473"/>
      <c r="CO10" s="473"/>
      <c r="CP10" s="473"/>
      <c r="CQ10" s="473"/>
      <c r="CR10" s="473"/>
      <c r="CS10" s="474"/>
    </row>
    <row r="11" spans="1:97" s="22" customFormat="1" hidden="1" x14ac:dyDescent="0.3">
      <c r="A11" s="465">
        <v>1</v>
      </c>
      <c r="B11" s="465"/>
      <c r="C11" s="465"/>
      <c r="D11" s="465"/>
      <c r="E11" s="465"/>
      <c r="F11" s="465">
        <v>2</v>
      </c>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v>3</v>
      </c>
      <c r="AW11" s="465"/>
      <c r="AX11" s="465"/>
      <c r="AY11" s="465"/>
      <c r="AZ11" s="465"/>
      <c r="BA11" s="465"/>
      <c r="BB11" s="465"/>
      <c r="BC11" s="465"/>
      <c r="BD11" s="465"/>
      <c r="BE11" s="465"/>
      <c r="BF11" s="465"/>
      <c r="BG11" s="465"/>
      <c r="BH11" s="465"/>
      <c r="BI11" s="465"/>
      <c r="BJ11" s="465"/>
      <c r="BK11" s="465"/>
      <c r="BL11" s="465"/>
      <c r="BM11" s="465">
        <v>4</v>
      </c>
      <c r="BN11" s="465"/>
      <c r="BO11" s="465"/>
      <c r="BP11" s="465"/>
      <c r="BQ11" s="465"/>
      <c r="BR11" s="465"/>
      <c r="BS11" s="465"/>
      <c r="BT11" s="465"/>
      <c r="BU11" s="465"/>
      <c r="BV11" s="465"/>
      <c r="BW11" s="465"/>
      <c r="BX11" s="465"/>
      <c r="BY11" s="465"/>
      <c r="BZ11" s="465"/>
      <c r="CA11" s="465"/>
      <c r="CB11" s="465"/>
      <c r="CC11" s="465"/>
      <c r="CD11" s="465">
        <v>5</v>
      </c>
      <c r="CE11" s="465"/>
      <c r="CF11" s="465"/>
      <c r="CG11" s="465"/>
      <c r="CH11" s="465"/>
      <c r="CI11" s="465"/>
      <c r="CJ11" s="465"/>
      <c r="CK11" s="465"/>
      <c r="CL11" s="465"/>
      <c r="CM11" s="465"/>
      <c r="CN11" s="465"/>
      <c r="CO11" s="465"/>
      <c r="CP11" s="465"/>
      <c r="CQ11" s="465"/>
      <c r="CR11" s="465"/>
      <c r="CS11" s="465"/>
    </row>
    <row r="12" spans="1:97" s="23" customFormat="1" ht="15" hidden="1" customHeight="1" x14ac:dyDescent="0.3">
      <c r="A12" s="453"/>
      <c r="B12" s="454"/>
      <c r="C12" s="454"/>
      <c r="D12" s="454"/>
      <c r="E12" s="455"/>
      <c r="F12" s="446"/>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8"/>
      <c r="AV12" s="460"/>
      <c r="AW12" s="461"/>
      <c r="AX12" s="461"/>
      <c r="AY12" s="461"/>
      <c r="AZ12" s="461"/>
      <c r="BA12" s="461"/>
      <c r="BB12" s="461"/>
      <c r="BC12" s="461"/>
      <c r="BD12" s="461"/>
      <c r="BE12" s="461"/>
      <c r="BF12" s="461"/>
      <c r="BG12" s="461"/>
      <c r="BH12" s="461"/>
      <c r="BI12" s="461"/>
      <c r="BJ12" s="461"/>
      <c r="BK12" s="461"/>
      <c r="BL12" s="462"/>
      <c r="BM12" s="460"/>
      <c r="BN12" s="461"/>
      <c r="BO12" s="461"/>
      <c r="BP12" s="461"/>
      <c r="BQ12" s="461"/>
      <c r="BR12" s="461"/>
      <c r="BS12" s="461"/>
      <c r="BT12" s="461"/>
      <c r="BU12" s="461"/>
      <c r="BV12" s="461"/>
      <c r="BW12" s="461"/>
      <c r="BX12" s="461"/>
      <c r="BY12" s="461"/>
      <c r="BZ12" s="461"/>
      <c r="CA12" s="461"/>
      <c r="CB12" s="461"/>
      <c r="CC12" s="462"/>
      <c r="CD12" s="460"/>
      <c r="CE12" s="461"/>
      <c r="CF12" s="461"/>
      <c r="CG12" s="461"/>
      <c r="CH12" s="461"/>
      <c r="CI12" s="461"/>
      <c r="CJ12" s="461"/>
      <c r="CK12" s="461"/>
      <c r="CL12" s="461"/>
      <c r="CM12" s="461"/>
      <c r="CN12" s="461"/>
      <c r="CO12" s="461"/>
      <c r="CP12" s="461"/>
      <c r="CQ12" s="461"/>
      <c r="CR12" s="461"/>
      <c r="CS12" s="462"/>
    </row>
    <row r="13" spans="1:97" s="23" customFormat="1" ht="15" hidden="1" customHeight="1" x14ac:dyDescent="0.3">
      <c r="A13" s="453"/>
      <c r="B13" s="454"/>
      <c r="C13" s="454"/>
      <c r="D13" s="454"/>
      <c r="E13" s="455"/>
      <c r="F13" s="446"/>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8"/>
      <c r="AV13" s="460"/>
      <c r="AW13" s="461"/>
      <c r="AX13" s="461"/>
      <c r="AY13" s="461"/>
      <c r="AZ13" s="461"/>
      <c r="BA13" s="461"/>
      <c r="BB13" s="461"/>
      <c r="BC13" s="461"/>
      <c r="BD13" s="461"/>
      <c r="BE13" s="461"/>
      <c r="BF13" s="461"/>
      <c r="BG13" s="461"/>
      <c r="BH13" s="461"/>
      <c r="BI13" s="461"/>
      <c r="BJ13" s="461"/>
      <c r="BK13" s="461"/>
      <c r="BL13" s="462"/>
      <c r="BM13" s="460"/>
      <c r="BN13" s="461"/>
      <c r="BO13" s="461"/>
      <c r="BP13" s="461"/>
      <c r="BQ13" s="461"/>
      <c r="BR13" s="461"/>
      <c r="BS13" s="461"/>
      <c r="BT13" s="461"/>
      <c r="BU13" s="461"/>
      <c r="BV13" s="461"/>
      <c r="BW13" s="461"/>
      <c r="BX13" s="461"/>
      <c r="BY13" s="461"/>
      <c r="BZ13" s="461"/>
      <c r="CA13" s="461"/>
      <c r="CB13" s="461"/>
      <c r="CC13" s="462"/>
      <c r="CD13" s="460"/>
      <c r="CE13" s="461"/>
      <c r="CF13" s="461"/>
      <c r="CG13" s="461"/>
      <c r="CH13" s="461"/>
      <c r="CI13" s="461"/>
      <c r="CJ13" s="461"/>
      <c r="CK13" s="461"/>
      <c r="CL13" s="461"/>
      <c r="CM13" s="461"/>
      <c r="CN13" s="461"/>
      <c r="CO13" s="461"/>
      <c r="CP13" s="461"/>
      <c r="CQ13" s="461"/>
      <c r="CR13" s="461"/>
      <c r="CS13" s="462"/>
    </row>
    <row r="14" spans="1:97" s="23" customFormat="1" ht="15" hidden="1" customHeight="1" x14ac:dyDescent="0.3">
      <c r="A14" s="469" t="s">
        <v>56</v>
      </c>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4"/>
      <c r="AV14" s="460" t="s">
        <v>4</v>
      </c>
      <c r="AW14" s="461"/>
      <c r="AX14" s="461"/>
      <c r="AY14" s="461"/>
      <c r="AZ14" s="461"/>
      <c r="BA14" s="461"/>
      <c r="BB14" s="461"/>
      <c r="BC14" s="461"/>
      <c r="BD14" s="461"/>
      <c r="BE14" s="461"/>
      <c r="BF14" s="461"/>
      <c r="BG14" s="461"/>
      <c r="BH14" s="461"/>
      <c r="BI14" s="461"/>
      <c r="BJ14" s="461"/>
      <c r="BK14" s="461"/>
      <c r="BL14" s="462"/>
      <c r="BM14" s="460"/>
      <c r="BN14" s="461"/>
      <c r="BO14" s="461"/>
      <c r="BP14" s="461"/>
      <c r="BQ14" s="461"/>
      <c r="BR14" s="461"/>
      <c r="BS14" s="461"/>
      <c r="BT14" s="461"/>
      <c r="BU14" s="461"/>
      <c r="BV14" s="461"/>
      <c r="BW14" s="461"/>
      <c r="BX14" s="461"/>
      <c r="BY14" s="461"/>
      <c r="BZ14" s="461"/>
      <c r="CA14" s="461"/>
      <c r="CB14" s="461"/>
      <c r="CC14" s="462"/>
      <c r="CD14" s="460"/>
      <c r="CE14" s="461"/>
      <c r="CF14" s="461"/>
      <c r="CG14" s="461"/>
      <c r="CH14" s="461"/>
      <c r="CI14" s="461"/>
      <c r="CJ14" s="461"/>
      <c r="CK14" s="461"/>
      <c r="CL14" s="461"/>
      <c r="CM14" s="461"/>
      <c r="CN14" s="461"/>
      <c r="CO14" s="461"/>
      <c r="CP14" s="461"/>
      <c r="CQ14" s="461"/>
      <c r="CR14" s="461"/>
      <c r="CS14" s="462"/>
    </row>
    <row r="15" spans="1:97" ht="12" hidden="1" customHeight="1" x14ac:dyDescent="0.25"/>
    <row r="16" spans="1:97" s="20" customFormat="1" ht="15.6" x14ac:dyDescent="0.3">
      <c r="A16" s="470" t="s">
        <v>261</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row>
    <row r="17" spans="1:103"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3" s="20" customFormat="1" ht="15.6" x14ac:dyDescent="0.3">
      <c r="A18" s="470" t="s">
        <v>268</v>
      </c>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90" t="s">
        <v>440</v>
      </c>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row>
    <row r="19" spans="1:103"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3" s="20" customFormat="1" ht="27" customHeight="1" x14ac:dyDescent="0.25">
      <c r="A20" s="524" t="s">
        <v>339</v>
      </c>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c r="CK20" s="524"/>
      <c r="CL20" s="524"/>
      <c r="CM20" s="524"/>
      <c r="CN20" s="524"/>
      <c r="CO20" s="524"/>
      <c r="CP20" s="524"/>
      <c r="CQ20" s="524"/>
      <c r="CR20" s="524"/>
      <c r="CS20" s="524"/>
    </row>
    <row r="21" spans="1:103"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3" s="21" customFormat="1" ht="78.75" customHeight="1" x14ac:dyDescent="0.3">
      <c r="A22" s="485" t="s">
        <v>263</v>
      </c>
      <c r="B22" s="485"/>
      <c r="C22" s="485"/>
      <c r="D22" s="485"/>
      <c r="E22" s="485"/>
      <c r="F22" s="485" t="s">
        <v>0</v>
      </c>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7" t="s">
        <v>308</v>
      </c>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9"/>
      <c r="CY22" s="58">
        <f>'Раздел 1'!H27</f>
        <v>134901700</v>
      </c>
    </row>
    <row r="23" spans="1:103" s="22" customFormat="1" x14ac:dyDescent="0.3">
      <c r="A23" s="465">
        <v>1</v>
      </c>
      <c r="B23" s="465"/>
      <c r="C23" s="465"/>
      <c r="D23" s="465"/>
      <c r="E23" s="465"/>
      <c r="F23" s="465">
        <v>2</v>
      </c>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6">
        <v>3</v>
      </c>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67"/>
      <c r="CO23" s="467"/>
      <c r="CP23" s="467"/>
      <c r="CQ23" s="467"/>
      <c r="CR23" s="467"/>
      <c r="CS23" s="468"/>
      <c r="CY23" s="57"/>
    </row>
    <row r="24" spans="1:103" s="23" customFormat="1" ht="15" customHeight="1" x14ac:dyDescent="0.3">
      <c r="A24" s="452" t="s">
        <v>441</v>
      </c>
      <c r="B24" s="452"/>
      <c r="C24" s="452"/>
      <c r="D24" s="452"/>
      <c r="E24" s="452"/>
      <c r="F24" s="459" t="s">
        <v>442</v>
      </c>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97">
        <v>121752000</v>
      </c>
      <c r="AW24" s="498"/>
      <c r="AX24" s="498"/>
      <c r="AY24" s="498"/>
      <c r="AZ24" s="498"/>
      <c r="BA24" s="498"/>
      <c r="BB24" s="498"/>
      <c r="BC24" s="498"/>
      <c r="BD24" s="498"/>
      <c r="BE24" s="498"/>
      <c r="BF24" s="498"/>
      <c r="BG24" s="498"/>
      <c r="BH24" s="498"/>
      <c r="BI24" s="498"/>
      <c r="BJ24" s="498"/>
      <c r="BK24" s="498"/>
      <c r="BL24" s="498"/>
      <c r="BM24" s="498"/>
      <c r="BN24" s="498"/>
      <c r="BO24" s="498"/>
      <c r="BP24" s="498"/>
      <c r="BQ24" s="498"/>
      <c r="BR24" s="498"/>
      <c r="BS24" s="498"/>
      <c r="BT24" s="498"/>
      <c r="BU24" s="498"/>
      <c r="BV24" s="498"/>
      <c r="BW24" s="498"/>
      <c r="BX24" s="498"/>
      <c r="BY24" s="498"/>
      <c r="BZ24" s="498"/>
      <c r="CA24" s="498"/>
      <c r="CB24" s="498"/>
      <c r="CC24" s="498"/>
      <c r="CD24" s="498"/>
      <c r="CE24" s="498"/>
      <c r="CF24" s="498"/>
      <c r="CG24" s="498"/>
      <c r="CH24" s="498"/>
      <c r="CI24" s="498"/>
      <c r="CJ24" s="498"/>
      <c r="CK24" s="498"/>
      <c r="CL24" s="498"/>
      <c r="CM24" s="498"/>
      <c r="CN24" s="498"/>
      <c r="CO24" s="498"/>
      <c r="CP24" s="498"/>
      <c r="CQ24" s="498"/>
      <c r="CR24" s="498"/>
      <c r="CS24" s="499"/>
      <c r="CY24" s="55">
        <f>AV26+BW35+CD43-AV25</f>
        <v>134586600</v>
      </c>
    </row>
    <row r="25" spans="1:103" s="23" customFormat="1" ht="15" customHeight="1" x14ac:dyDescent="0.3">
      <c r="A25" s="452" t="s">
        <v>444</v>
      </c>
      <c r="B25" s="452"/>
      <c r="C25" s="452"/>
      <c r="D25" s="452"/>
      <c r="E25" s="452"/>
      <c r="F25" s="459" t="s">
        <v>871</v>
      </c>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97">
        <v>315100</v>
      </c>
      <c r="AW25" s="498"/>
      <c r="AX25" s="498"/>
      <c r="AY25" s="498"/>
      <c r="AZ25" s="498"/>
      <c r="BA25" s="498"/>
      <c r="BB25" s="498"/>
      <c r="BC25" s="498"/>
      <c r="BD25" s="498"/>
      <c r="BE25" s="498"/>
      <c r="BF25" s="498"/>
      <c r="BG25" s="498"/>
      <c r="BH25" s="498"/>
      <c r="BI25" s="498"/>
      <c r="BJ25" s="498"/>
      <c r="BK25" s="498"/>
      <c r="BL25" s="498"/>
      <c r="BM25" s="498"/>
      <c r="BN25" s="498"/>
      <c r="BO25" s="498"/>
      <c r="BP25" s="498"/>
      <c r="BQ25" s="498"/>
      <c r="BR25" s="498"/>
      <c r="BS25" s="498"/>
      <c r="BT25" s="498"/>
      <c r="BU25" s="498"/>
      <c r="BV25" s="498"/>
      <c r="BW25" s="498"/>
      <c r="BX25" s="498"/>
      <c r="BY25" s="498"/>
      <c r="BZ25" s="498"/>
      <c r="CA25" s="498"/>
      <c r="CB25" s="498"/>
      <c r="CC25" s="498"/>
      <c r="CD25" s="498"/>
      <c r="CE25" s="498"/>
      <c r="CF25" s="498"/>
      <c r="CG25" s="498"/>
      <c r="CH25" s="498"/>
      <c r="CI25" s="498"/>
      <c r="CJ25" s="498"/>
      <c r="CK25" s="498"/>
      <c r="CL25" s="498"/>
      <c r="CM25" s="498"/>
      <c r="CN25" s="498"/>
      <c r="CO25" s="498"/>
      <c r="CP25" s="498"/>
      <c r="CQ25" s="498"/>
      <c r="CR25" s="498"/>
      <c r="CS25" s="499"/>
      <c r="CY25" s="55">
        <f>CY22-CY24</f>
        <v>315100</v>
      </c>
    </row>
    <row r="26" spans="1:103" s="23" customFormat="1" ht="15" customHeight="1" x14ac:dyDescent="0.3">
      <c r="A26" s="452"/>
      <c r="B26" s="452"/>
      <c r="C26" s="452"/>
      <c r="D26" s="452"/>
      <c r="E26" s="452"/>
      <c r="F26" s="463" t="s">
        <v>56</v>
      </c>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4"/>
      <c r="AV26" s="493">
        <f>SUM(AV24:AV25)</f>
        <v>122067100</v>
      </c>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3"/>
      <c r="CY26" s="56"/>
    </row>
    <row r="27" spans="1:103"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Y27" s="56"/>
    </row>
    <row r="28" spans="1:103" s="23" customFormat="1" ht="26.25" customHeight="1" x14ac:dyDescent="0.25">
      <c r="A28" s="524" t="s">
        <v>335</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c r="CK28" s="524"/>
      <c r="CL28" s="524"/>
      <c r="CM28" s="524"/>
      <c r="CN28" s="524"/>
      <c r="CO28" s="524"/>
      <c r="CP28" s="524"/>
      <c r="CQ28" s="524"/>
      <c r="CR28" s="524"/>
      <c r="CS28" s="524"/>
    </row>
    <row r="29" spans="1:103"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3" s="21" customFormat="1" ht="96" customHeight="1" x14ac:dyDescent="0.3">
      <c r="A30" s="485" t="s">
        <v>263</v>
      </c>
      <c r="B30" s="485"/>
      <c r="C30" s="485"/>
      <c r="D30" s="485"/>
      <c r="E30" s="485"/>
      <c r="F30" s="485" t="s">
        <v>272</v>
      </c>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t="s">
        <v>246</v>
      </c>
      <c r="AW30" s="485"/>
      <c r="AX30" s="485"/>
      <c r="AY30" s="485"/>
      <c r="AZ30" s="485"/>
      <c r="BA30" s="485"/>
      <c r="BB30" s="485"/>
      <c r="BC30" s="485"/>
      <c r="BD30" s="485"/>
      <c r="BE30" s="485"/>
      <c r="BF30" s="485"/>
      <c r="BG30" s="485"/>
      <c r="BH30" s="485"/>
      <c r="BI30" s="485"/>
      <c r="BJ30" s="485" t="s">
        <v>267</v>
      </c>
      <c r="BK30" s="485"/>
      <c r="BL30" s="485"/>
      <c r="BM30" s="485"/>
      <c r="BN30" s="485"/>
      <c r="BO30" s="485"/>
      <c r="BP30" s="485"/>
      <c r="BQ30" s="485"/>
      <c r="BR30" s="485"/>
      <c r="BS30" s="485"/>
      <c r="BT30" s="485"/>
      <c r="BU30" s="485"/>
      <c r="BV30" s="485"/>
      <c r="BW30" s="485" t="s">
        <v>266</v>
      </c>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row>
    <row r="31" spans="1:103" s="22" customFormat="1" x14ac:dyDescent="0.3">
      <c r="A31" s="465">
        <v>1</v>
      </c>
      <c r="B31" s="465"/>
      <c r="C31" s="465"/>
      <c r="D31" s="465"/>
      <c r="E31" s="465"/>
      <c r="F31" s="465">
        <v>2</v>
      </c>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v>3</v>
      </c>
      <c r="AW31" s="465"/>
      <c r="AX31" s="465"/>
      <c r="AY31" s="465"/>
      <c r="AZ31" s="465"/>
      <c r="BA31" s="465"/>
      <c r="BB31" s="465"/>
      <c r="BC31" s="465"/>
      <c r="BD31" s="465"/>
      <c r="BE31" s="465"/>
      <c r="BF31" s="465"/>
      <c r="BG31" s="465"/>
      <c r="BH31" s="465"/>
      <c r="BI31" s="465"/>
      <c r="BJ31" s="465">
        <v>4</v>
      </c>
      <c r="BK31" s="465"/>
      <c r="BL31" s="465"/>
      <c r="BM31" s="465"/>
      <c r="BN31" s="465"/>
      <c r="BO31" s="465"/>
      <c r="BP31" s="465"/>
      <c r="BQ31" s="465"/>
      <c r="BR31" s="465"/>
      <c r="BS31" s="465"/>
      <c r="BT31" s="465"/>
      <c r="BU31" s="465"/>
      <c r="BV31" s="465"/>
      <c r="BW31" s="465">
        <v>5</v>
      </c>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row>
    <row r="32" spans="1:103" s="22" customFormat="1" x14ac:dyDescent="0.3">
      <c r="A32" s="465" t="s">
        <v>441</v>
      </c>
      <c r="B32" s="465"/>
      <c r="C32" s="465"/>
      <c r="D32" s="465"/>
      <c r="E32" s="465"/>
      <c r="F32" s="509" t="s">
        <v>443</v>
      </c>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1"/>
      <c r="AV32" s="465">
        <v>48</v>
      </c>
      <c r="AW32" s="465"/>
      <c r="AX32" s="465"/>
      <c r="AY32" s="465"/>
      <c r="AZ32" s="465"/>
      <c r="BA32" s="465"/>
      <c r="BB32" s="465"/>
      <c r="BC32" s="465"/>
      <c r="BD32" s="465"/>
      <c r="BE32" s="465"/>
      <c r="BF32" s="465"/>
      <c r="BG32" s="465"/>
      <c r="BH32" s="465"/>
      <c r="BI32" s="465"/>
      <c r="BJ32" s="518">
        <f>BW32/AV32</f>
        <v>250881.25</v>
      </c>
      <c r="BK32" s="519"/>
      <c r="BL32" s="519"/>
      <c r="BM32" s="519"/>
      <c r="BN32" s="519"/>
      <c r="BO32" s="519"/>
      <c r="BP32" s="519"/>
      <c r="BQ32" s="519"/>
      <c r="BR32" s="519"/>
      <c r="BS32" s="519"/>
      <c r="BT32" s="519"/>
      <c r="BU32" s="519"/>
      <c r="BV32" s="520"/>
      <c r="BW32" s="521">
        <v>12042300</v>
      </c>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3"/>
    </row>
    <row r="33" spans="1:97" s="22" customFormat="1" ht="23.25" customHeight="1" x14ac:dyDescent="0.3">
      <c r="A33" s="465" t="s">
        <v>444</v>
      </c>
      <c r="B33" s="465"/>
      <c r="C33" s="465"/>
      <c r="D33" s="465"/>
      <c r="E33" s="465"/>
      <c r="F33" s="509" t="s">
        <v>445</v>
      </c>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1"/>
      <c r="AV33" s="465">
        <v>28</v>
      </c>
      <c r="AW33" s="465"/>
      <c r="AX33" s="465"/>
      <c r="AY33" s="465"/>
      <c r="AZ33" s="465"/>
      <c r="BA33" s="465"/>
      <c r="BB33" s="465"/>
      <c r="BC33" s="465"/>
      <c r="BD33" s="465"/>
      <c r="BE33" s="465"/>
      <c r="BF33" s="465"/>
      <c r="BG33" s="465"/>
      <c r="BH33" s="465"/>
      <c r="BI33" s="465"/>
      <c r="BJ33" s="512">
        <f>BW33/AV33</f>
        <v>3907.1428571428573</v>
      </c>
      <c r="BK33" s="513"/>
      <c r="BL33" s="513"/>
      <c r="BM33" s="513"/>
      <c r="BN33" s="513"/>
      <c r="BO33" s="513"/>
      <c r="BP33" s="513"/>
      <c r="BQ33" s="513"/>
      <c r="BR33" s="513"/>
      <c r="BS33" s="513"/>
      <c r="BT33" s="513"/>
      <c r="BU33" s="513"/>
      <c r="BV33" s="514"/>
      <c r="BW33" s="515">
        <v>109400</v>
      </c>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7"/>
    </row>
    <row r="34" spans="1:97" s="22" customFormat="1" x14ac:dyDescent="0.3">
      <c r="A34" s="465" t="s">
        <v>446</v>
      </c>
      <c r="B34" s="465"/>
      <c r="C34" s="465"/>
      <c r="D34" s="465"/>
      <c r="E34" s="465"/>
      <c r="F34" s="509" t="s">
        <v>447</v>
      </c>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1"/>
      <c r="AV34" s="465">
        <v>70</v>
      </c>
      <c r="AW34" s="465"/>
      <c r="AX34" s="465"/>
      <c r="AY34" s="465"/>
      <c r="AZ34" s="465"/>
      <c r="BA34" s="465"/>
      <c r="BB34" s="465"/>
      <c r="BC34" s="465"/>
      <c r="BD34" s="465"/>
      <c r="BE34" s="465"/>
      <c r="BF34" s="465"/>
      <c r="BG34" s="465"/>
      <c r="BH34" s="465"/>
      <c r="BI34" s="465"/>
      <c r="BJ34" s="512">
        <f>BW34/AV34</f>
        <v>6041.4285714285716</v>
      </c>
      <c r="BK34" s="513"/>
      <c r="BL34" s="513"/>
      <c r="BM34" s="513"/>
      <c r="BN34" s="513"/>
      <c r="BO34" s="513"/>
      <c r="BP34" s="513"/>
      <c r="BQ34" s="513"/>
      <c r="BR34" s="513"/>
      <c r="BS34" s="513"/>
      <c r="BT34" s="513"/>
      <c r="BU34" s="513"/>
      <c r="BV34" s="514"/>
      <c r="BW34" s="515">
        <v>422900</v>
      </c>
      <c r="BX34" s="516"/>
      <c r="BY34" s="516"/>
      <c r="BZ34" s="516"/>
      <c r="CA34" s="516"/>
      <c r="CB34" s="516"/>
      <c r="CC34" s="516"/>
      <c r="CD34" s="516"/>
      <c r="CE34" s="516"/>
      <c r="CF34" s="516"/>
      <c r="CG34" s="516"/>
      <c r="CH34" s="516"/>
      <c r="CI34" s="516"/>
      <c r="CJ34" s="516"/>
      <c r="CK34" s="516"/>
      <c r="CL34" s="516"/>
      <c r="CM34" s="516"/>
      <c r="CN34" s="516"/>
      <c r="CO34" s="516"/>
      <c r="CP34" s="516"/>
      <c r="CQ34" s="516"/>
      <c r="CR34" s="516"/>
      <c r="CS34" s="517"/>
    </row>
    <row r="35" spans="1:97" s="22" customFormat="1" x14ac:dyDescent="0.3">
      <c r="A35" s="465"/>
      <c r="B35" s="465"/>
      <c r="C35" s="465"/>
      <c r="D35" s="465"/>
      <c r="E35" s="465"/>
      <c r="F35" s="505" t="s">
        <v>37</v>
      </c>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507">
        <f>SUM(BW32:BW34)</f>
        <v>12574600</v>
      </c>
      <c r="BX35" s="508"/>
      <c r="BY35" s="508"/>
      <c r="BZ35" s="508"/>
      <c r="CA35" s="508"/>
      <c r="CB35" s="508"/>
      <c r="CC35" s="508"/>
      <c r="CD35" s="508"/>
      <c r="CE35" s="508"/>
      <c r="CF35" s="508"/>
      <c r="CG35" s="508"/>
      <c r="CH35" s="508"/>
      <c r="CI35" s="508"/>
      <c r="CJ35" s="508"/>
      <c r="CK35" s="508"/>
      <c r="CL35" s="508"/>
      <c r="CM35" s="508"/>
      <c r="CN35" s="508"/>
      <c r="CO35" s="508"/>
      <c r="CP35" s="508"/>
      <c r="CQ35" s="508"/>
      <c r="CR35" s="508"/>
      <c r="CS35" s="508"/>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70" t="s">
        <v>294</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485" t="s">
        <v>263</v>
      </c>
      <c r="B39" s="485"/>
      <c r="C39" s="485"/>
      <c r="D39" s="485"/>
      <c r="E39" s="485"/>
      <c r="F39" s="485" t="s">
        <v>245</v>
      </c>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t="s">
        <v>299</v>
      </c>
      <c r="AW39" s="485"/>
      <c r="AX39" s="485"/>
      <c r="AY39" s="485"/>
      <c r="AZ39" s="485"/>
      <c r="BA39" s="485"/>
      <c r="BB39" s="485"/>
      <c r="BC39" s="485"/>
      <c r="BD39" s="485"/>
      <c r="BE39" s="485"/>
      <c r="BF39" s="485"/>
      <c r="BG39" s="485"/>
      <c r="BH39" s="485"/>
      <c r="BI39" s="485"/>
      <c r="BJ39" s="485"/>
      <c r="BK39" s="485"/>
      <c r="BL39" s="485"/>
      <c r="BM39" s="485" t="s">
        <v>300</v>
      </c>
      <c r="BN39" s="485"/>
      <c r="BO39" s="485"/>
      <c r="BP39" s="485"/>
      <c r="BQ39" s="485"/>
      <c r="BR39" s="485"/>
      <c r="BS39" s="485"/>
      <c r="BT39" s="485"/>
      <c r="BU39" s="485"/>
      <c r="BV39" s="485"/>
      <c r="BW39" s="485"/>
      <c r="BX39" s="485"/>
      <c r="BY39" s="485"/>
      <c r="BZ39" s="485"/>
      <c r="CA39" s="485"/>
      <c r="CB39" s="485"/>
      <c r="CC39" s="485"/>
      <c r="CD39" s="485" t="s">
        <v>244</v>
      </c>
      <c r="CE39" s="485"/>
      <c r="CF39" s="485"/>
      <c r="CG39" s="485"/>
      <c r="CH39" s="485"/>
      <c r="CI39" s="485"/>
      <c r="CJ39" s="485"/>
      <c r="CK39" s="485"/>
      <c r="CL39" s="485"/>
      <c r="CM39" s="485"/>
      <c r="CN39" s="485"/>
      <c r="CO39" s="485"/>
      <c r="CP39" s="485"/>
      <c r="CQ39" s="485"/>
      <c r="CR39" s="485"/>
      <c r="CS39" s="485"/>
    </row>
    <row r="40" spans="1:97" s="22" customFormat="1" x14ac:dyDescent="0.3">
      <c r="A40" s="465">
        <v>1</v>
      </c>
      <c r="B40" s="465"/>
      <c r="C40" s="465"/>
      <c r="D40" s="465"/>
      <c r="E40" s="465"/>
      <c r="F40" s="465">
        <v>2</v>
      </c>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v>3</v>
      </c>
      <c r="AW40" s="465"/>
      <c r="AX40" s="465"/>
      <c r="AY40" s="465"/>
      <c r="AZ40" s="465"/>
      <c r="BA40" s="465"/>
      <c r="BB40" s="465"/>
      <c r="BC40" s="465"/>
      <c r="BD40" s="465"/>
      <c r="BE40" s="465"/>
      <c r="BF40" s="465"/>
      <c r="BG40" s="465"/>
      <c r="BH40" s="465"/>
      <c r="BI40" s="465"/>
      <c r="BJ40" s="465"/>
      <c r="BK40" s="465"/>
      <c r="BL40" s="465"/>
      <c r="BM40" s="465">
        <v>4</v>
      </c>
      <c r="BN40" s="465"/>
      <c r="BO40" s="465"/>
      <c r="BP40" s="465"/>
      <c r="BQ40" s="465"/>
      <c r="BR40" s="465"/>
      <c r="BS40" s="465"/>
      <c r="BT40" s="465"/>
      <c r="BU40" s="465"/>
      <c r="BV40" s="465"/>
      <c r="BW40" s="465"/>
      <c r="BX40" s="465"/>
      <c r="BY40" s="465"/>
      <c r="BZ40" s="465"/>
      <c r="CA40" s="465"/>
      <c r="CB40" s="465"/>
      <c r="CC40" s="465"/>
      <c r="CD40" s="465">
        <v>5</v>
      </c>
      <c r="CE40" s="465"/>
      <c r="CF40" s="465"/>
      <c r="CG40" s="465"/>
      <c r="CH40" s="465"/>
      <c r="CI40" s="465"/>
      <c r="CJ40" s="465"/>
      <c r="CK40" s="465"/>
      <c r="CL40" s="465"/>
      <c r="CM40" s="465"/>
      <c r="CN40" s="465"/>
      <c r="CO40" s="465"/>
      <c r="CP40" s="465"/>
      <c r="CQ40" s="465"/>
      <c r="CR40" s="465"/>
      <c r="CS40" s="465"/>
    </row>
    <row r="41" spans="1:97" s="23" customFormat="1" ht="41.25" customHeight="1" x14ac:dyDescent="0.3">
      <c r="A41" s="452" t="s">
        <v>441</v>
      </c>
      <c r="B41" s="452"/>
      <c r="C41" s="452"/>
      <c r="D41" s="452"/>
      <c r="E41" s="452"/>
      <c r="F41" s="459" t="s">
        <v>448</v>
      </c>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503">
        <f>CD41/BM41</f>
        <v>619.04761904761904</v>
      </c>
      <c r="AW41" s="503"/>
      <c r="AX41" s="503"/>
      <c r="AY41" s="503"/>
      <c r="AZ41" s="503"/>
      <c r="BA41" s="503"/>
      <c r="BB41" s="503"/>
      <c r="BC41" s="503"/>
      <c r="BD41" s="503"/>
      <c r="BE41" s="503"/>
      <c r="BF41" s="503"/>
      <c r="BG41" s="503"/>
      <c r="BH41" s="503"/>
      <c r="BI41" s="503"/>
      <c r="BJ41" s="503"/>
      <c r="BK41" s="503"/>
      <c r="BL41" s="503"/>
      <c r="BM41" s="486">
        <v>420</v>
      </c>
      <c r="BN41" s="486"/>
      <c r="BO41" s="486"/>
      <c r="BP41" s="486"/>
      <c r="BQ41" s="486"/>
      <c r="BR41" s="486"/>
      <c r="BS41" s="486"/>
      <c r="BT41" s="486"/>
      <c r="BU41" s="486"/>
      <c r="BV41" s="486"/>
      <c r="BW41" s="486"/>
      <c r="BX41" s="486"/>
      <c r="BY41" s="486"/>
      <c r="BZ41" s="486"/>
      <c r="CA41" s="486"/>
      <c r="CB41" s="486"/>
      <c r="CC41" s="486"/>
      <c r="CD41" s="492">
        <v>260000</v>
      </c>
      <c r="CE41" s="492"/>
      <c r="CF41" s="492"/>
      <c r="CG41" s="492"/>
      <c r="CH41" s="492"/>
      <c r="CI41" s="492"/>
      <c r="CJ41" s="492"/>
      <c r="CK41" s="492"/>
      <c r="CL41" s="492"/>
      <c r="CM41" s="492"/>
      <c r="CN41" s="492"/>
      <c r="CO41" s="492"/>
      <c r="CP41" s="492"/>
      <c r="CQ41" s="492"/>
      <c r="CR41" s="492"/>
      <c r="CS41" s="492"/>
    </row>
    <row r="42" spans="1:97" s="23" customFormat="1" ht="15" customHeight="1" x14ac:dyDescent="0.3">
      <c r="A42" s="452"/>
      <c r="B42" s="452"/>
      <c r="C42" s="452"/>
      <c r="D42" s="452"/>
      <c r="E42" s="452"/>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row>
    <row r="43" spans="1:97" s="23" customFormat="1" ht="15" customHeight="1" x14ac:dyDescent="0.3">
      <c r="A43" s="452"/>
      <c r="B43" s="452"/>
      <c r="C43" s="452"/>
      <c r="D43" s="452"/>
      <c r="E43" s="452"/>
      <c r="F43" s="463" t="s">
        <v>56</v>
      </c>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4"/>
      <c r="AV43" s="486" t="s">
        <v>4</v>
      </c>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91">
        <f>SUM(CD41:CD42)</f>
        <v>260000</v>
      </c>
      <c r="CE43" s="496"/>
      <c r="CF43" s="496"/>
      <c r="CG43" s="496"/>
      <c r="CH43" s="496"/>
      <c r="CI43" s="496"/>
      <c r="CJ43" s="496"/>
      <c r="CK43" s="496"/>
      <c r="CL43" s="496"/>
      <c r="CM43" s="496"/>
      <c r="CN43" s="496"/>
      <c r="CO43" s="496"/>
      <c r="CP43" s="496"/>
      <c r="CQ43" s="496"/>
      <c r="CR43" s="496"/>
      <c r="CS43" s="496"/>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70" t="s">
        <v>262</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row>
    <row r="46" spans="1:97" s="27" customFormat="1" ht="12.75" hidden="1" customHeight="1" x14ac:dyDescent="0.3"/>
    <row r="47" spans="1:97" s="20" customFormat="1" ht="15.6" hidden="1" x14ac:dyDescent="0.3">
      <c r="A47" s="470" t="s">
        <v>268</v>
      </c>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row>
    <row r="48" spans="1:97" ht="14.25" hidden="1" customHeight="1" x14ac:dyDescent="0.25"/>
    <row r="49" spans="1:97" ht="46.5" hidden="1" customHeight="1" x14ac:dyDescent="0.25">
      <c r="A49" s="472" t="s">
        <v>49</v>
      </c>
      <c r="B49" s="473"/>
      <c r="C49" s="473"/>
      <c r="D49" s="473"/>
      <c r="E49" s="474"/>
      <c r="F49" s="472" t="s">
        <v>0</v>
      </c>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4"/>
      <c r="AV49" s="472" t="s">
        <v>270</v>
      </c>
      <c r="AW49" s="473"/>
      <c r="AX49" s="473"/>
      <c r="AY49" s="473"/>
      <c r="AZ49" s="473"/>
      <c r="BA49" s="473"/>
      <c r="BB49" s="473"/>
      <c r="BC49" s="473"/>
      <c r="BD49" s="473"/>
      <c r="BE49" s="473"/>
      <c r="BF49" s="473"/>
      <c r="BG49" s="473"/>
      <c r="BH49" s="473"/>
      <c r="BI49" s="473"/>
      <c r="BJ49" s="473"/>
      <c r="BK49" s="473"/>
      <c r="BL49" s="474"/>
      <c r="BM49" s="487" t="s">
        <v>304</v>
      </c>
      <c r="BN49" s="488"/>
      <c r="BO49" s="488"/>
      <c r="BP49" s="488"/>
      <c r="BQ49" s="488"/>
      <c r="BR49" s="488"/>
      <c r="BS49" s="488"/>
      <c r="BT49" s="488"/>
      <c r="BU49" s="488"/>
      <c r="BV49" s="488"/>
      <c r="BW49" s="488"/>
      <c r="BX49" s="488"/>
      <c r="BY49" s="488"/>
      <c r="BZ49" s="488"/>
      <c r="CA49" s="488"/>
      <c r="CB49" s="488"/>
      <c r="CC49" s="489"/>
      <c r="CD49" s="472" t="s">
        <v>244</v>
      </c>
      <c r="CE49" s="473"/>
      <c r="CF49" s="473"/>
      <c r="CG49" s="473"/>
      <c r="CH49" s="473"/>
      <c r="CI49" s="473"/>
      <c r="CJ49" s="473"/>
      <c r="CK49" s="473"/>
      <c r="CL49" s="473"/>
      <c r="CM49" s="473"/>
      <c r="CN49" s="473"/>
      <c r="CO49" s="473"/>
      <c r="CP49" s="473"/>
      <c r="CQ49" s="473"/>
      <c r="CR49" s="473"/>
      <c r="CS49" s="474"/>
    </row>
    <row r="50" spans="1:97" s="22" customFormat="1" hidden="1" x14ac:dyDescent="0.3">
      <c r="A50" s="465">
        <v>1</v>
      </c>
      <c r="B50" s="465"/>
      <c r="C50" s="465"/>
      <c r="D50" s="465"/>
      <c r="E50" s="465"/>
      <c r="F50" s="465">
        <v>2</v>
      </c>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v>3</v>
      </c>
      <c r="AW50" s="465"/>
      <c r="AX50" s="465"/>
      <c r="AY50" s="465"/>
      <c r="AZ50" s="465"/>
      <c r="BA50" s="465"/>
      <c r="BB50" s="465"/>
      <c r="BC50" s="465"/>
      <c r="BD50" s="465"/>
      <c r="BE50" s="465"/>
      <c r="BF50" s="465"/>
      <c r="BG50" s="465"/>
      <c r="BH50" s="465"/>
      <c r="BI50" s="465"/>
      <c r="BJ50" s="465"/>
      <c r="BK50" s="465"/>
      <c r="BL50" s="465"/>
      <c r="BM50" s="465">
        <v>4</v>
      </c>
      <c r="BN50" s="465"/>
      <c r="BO50" s="465"/>
      <c r="BP50" s="465"/>
      <c r="BQ50" s="465"/>
      <c r="BR50" s="465"/>
      <c r="BS50" s="465"/>
      <c r="BT50" s="465"/>
      <c r="BU50" s="465"/>
      <c r="BV50" s="465"/>
      <c r="BW50" s="465"/>
      <c r="BX50" s="465"/>
      <c r="BY50" s="465"/>
      <c r="BZ50" s="465"/>
      <c r="CA50" s="465"/>
      <c r="CB50" s="465"/>
      <c r="CC50" s="465"/>
      <c r="CD50" s="465">
        <v>5</v>
      </c>
      <c r="CE50" s="465"/>
      <c r="CF50" s="465"/>
      <c r="CG50" s="465"/>
      <c r="CH50" s="465"/>
      <c r="CI50" s="465"/>
      <c r="CJ50" s="465"/>
      <c r="CK50" s="465"/>
      <c r="CL50" s="465"/>
      <c r="CM50" s="465"/>
      <c r="CN50" s="465"/>
      <c r="CO50" s="465"/>
      <c r="CP50" s="465"/>
      <c r="CQ50" s="465"/>
      <c r="CR50" s="465"/>
      <c r="CS50" s="465"/>
    </row>
    <row r="51" spans="1:97" s="23" customFormat="1" ht="15" hidden="1" customHeight="1" x14ac:dyDescent="0.3">
      <c r="A51" s="452"/>
      <c r="B51" s="452"/>
      <c r="C51" s="452"/>
      <c r="D51" s="452"/>
      <c r="E51" s="452"/>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row>
    <row r="52" spans="1:97" s="23" customFormat="1" ht="15" hidden="1" customHeight="1" x14ac:dyDescent="0.3">
      <c r="A52" s="452"/>
      <c r="B52" s="452"/>
      <c r="C52" s="452"/>
      <c r="D52" s="452"/>
      <c r="E52" s="452"/>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row>
    <row r="53" spans="1:97" s="23" customFormat="1" ht="15" hidden="1" customHeight="1" x14ac:dyDescent="0.3">
      <c r="A53" s="452"/>
      <c r="B53" s="452"/>
      <c r="C53" s="452"/>
      <c r="D53" s="452"/>
      <c r="E53" s="452"/>
      <c r="F53" s="463" t="s">
        <v>56</v>
      </c>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4"/>
      <c r="AV53" s="486" t="s">
        <v>4</v>
      </c>
      <c r="AW53" s="486"/>
      <c r="AX53" s="486"/>
      <c r="AY53" s="486"/>
      <c r="AZ53" s="486"/>
      <c r="BA53" s="486"/>
      <c r="BB53" s="486"/>
      <c r="BC53" s="486"/>
      <c r="BD53" s="486"/>
      <c r="BE53" s="486"/>
      <c r="BF53" s="486"/>
      <c r="BG53" s="486"/>
      <c r="BH53" s="486"/>
      <c r="BI53" s="486"/>
      <c r="BJ53" s="486"/>
      <c r="BK53" s="486"/>
      <c r="BL53" s="486"/>
      <c r="BM53" s="486" t="s">
        <v>4</v>
      </c>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470" t="s">
        <v>296</v>
      </c>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70"/>
      <c r="CL55" s="470"/>
      <c r="CM55" s="470"/>
      <c r="CN55" s="470"/>
      <c r="CO55" s="470"/>
      <c r="CP55" s="470"/>
      <c r="CQ55" s="470"/>
      <c r="CR55" s="470"/>
      <c r="CS55" s="470"/>
    </row>
    <row r="56" spans="1:97" s="27" customFormat="1" ht="6" hidden="1" customHeight="1" x14ac:dyDescent="0.3"/>
    <row r="57" spans="1:97" s="20" customFormat="1" ht="15.6" hidden="1" x14ac:dyDescent="0.3">
      <c r="A57" s="470" t="s">
        <v>268</v>
      </c>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0"/>
      <c r="BU57" s="490"/>
      <c r="BV57" s="490"/>
      <c r="BW57" s="490"/>
      <c r="BX57" s="490"/>
      <c r="BY57" s="490"/>
      <c r="BZ57" s="490"/>
      <c r="CA57" s="490"/>
      <c r="CB57" s="490"/>
      <c r="CC57" s="490"/>
      <c r="CD57" s="490"/>
      <c r="CE57" s="490"/>
      <c r="CF57" s="490"/>
      <c r="CG57" s="490"/>
      <c r="CH57" s="490"/>
      <c r="CI57" s="490"/>
      <c r="CJ57" s="490"/>
      <c r="CK57" s="490"/>
      <c r="CL57" s="490"/>
      <c r="CM57" s="490"/>
      <c r="CN57" s="490"/>
      <c r="CO57" s="490"/>
      <c r="CP57" s="490"/>
      <c r="CQ57" s="490"/>
      <c r="CR57" s="490"/>
      <c r="CS57" s="490"/>
    </row>
    <row r="58" spans="1:97" ht="10.5" hidden="1" customHeight="1" x14ac:dyDescent="0.25"/>
    <row r="59" spans="1:97" s="21" customFormat="1" ht="65.25" hidden="1" customHeight="1" x14ac:dyDescent="0.3">
      <c r="A59" s="485" t="s">
        <v>263</v>
      </c>
      <c r="B59" s="485"/>
      <c r="C59" s="485"/>
      <c r="D59" s="485"/>
      <c r="E59" s="485"/>
      <c r="F59" s="485" t="s">
        <v>269</v>
      </c>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72" t="s">
        <v>95</v>
      </c>
      <c r="AW59" s="473"/>
      <c r="AX59" s="473"/>
      <c r="AY59" s="473"/>
      <c r="AZ59" s="473"/>
      <c r="BA59" s="473"/>
      <c r="BB59" s="473"/>
      <c r="BC59" s="473"/>
      <c r="BD59" s="473"/>
      <c r="BE59" s="473"/>
      <c r="BF59" s="473"/>
      <c r="BG59" s="473"/>
      <c r="BH59" s="473"/>
      <c r="BI59" s="473"/>
      <c r="BJ59" s="473"/>
      <c r="BK59" s="473"/>
      <c r="BL59" s="474"/>
      <c r="BM59" s="472" t="s">
        <v>248</v>
      </c>
      <c r="BN59" s="473"/>
      <c r="BO59" s="473"/>
      <c r="BP59" s="473"/>
      <c r="BQ59" s="473"/>
      <c r="BR59" s="473"/>
      <c r="BS59" s="473"/>
      <c r="BT59" s="473"/>
      <c r="BU59" s="473"/>
      <c r="BV59" s="473"/>
      <c r="BW59" s="473"/>
      <c r="BX59" s="473"/>
      <c r="BY59" s="473"/>
      <c r="BZ59" s="473"/>
      <c r="CA59" s="473"/>
      <c r="CB59" s="473"/>
      <c r="CC59" s="474"/>
      <c r="CD59" s="472" t="s">
        <v>244</v>
      </c>
      <c r="CE59" s="473"/>
      <c r="CF59" s="473"/>
      <c r="CG59" s="473"/>
      <c r="CH59" s="473"/>
      <c r="CI59" s="473"/>
      <c r="CJ59" s="473"/>
      <c r="CK59" s="473"/>
      <c r="CL59" s="473"/>
      <c r="CM59" s="473"/>
      <c r="CN59" s="473"/>
      <c r="CO59" s="473"/>
      <c r="CP59" s="473"/>
      <c r="CQ59" s="473"/>
      <c r="CR59" s="473"/>
      <c r="CS59" s="474"/>
    </row>
    <row r="60" spans="1:97" s="22" customFormat="1" hidden="1" x14ac:dyDescent="0.3">
      <c r="A60" s="466">
        <v>1</v>
      </c>
      <c r="B60" s="467"/>
      <c r="C60" s="467"/>
      <c r="D60" s="467"/>
      <c r="E60" s="468"/>
      <c r="F60" s="466">
        <v>2</v>
      </c>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8"/>
      <c r="AV60" s="465">
        <v>3</v>
      </c>
      <c r="AW60" s="465"/>
      <c r="AX60" s="465"/>
      <c r="AY60" s="465"/>
      <c r="AZ60" s="465"/>
      <c r="BA60" s="465"/>
      <c r="BB60" s="465"/>
      <c r="BC60" s="465"/>
      <c r="BD60" s="465"/>
      <c r="BE60" s="465"/>
      <c r="BF60" s="465"/>
      <c r="BG60" s="465"/>
      <c r="BH60" s="465"/>
      <c r="BI60" s="465"/>
      <c r="BJ60" s="465"/>
      <c r="BK60" s="465"/>
      <c r="BL60" s="465"/>
      <c r="BM60" s="465">
        <v>4</v>
      </c>
      <c r="BN60" s="465"/>
      <c r="BO60" s="465"/>
      <c r="BP60" s="465"/>
      <c r="BQ60" s="465"/>
      <c r="BR60" s="465"/>
      <c r="BS60" s="465"/>
      <c r="BT60" s="465"/>
      <c r="BU60" s="465"/>
      <c r="BV60" s="465"/>
      <c r="BW60" s="465"/>
      <c r="BX60" s="465"/>
      <c r="BY60" s="465"/>
      <c r="BZ60" s="465"/>
      <c r="CA60" s="465"/>
      <c r="CB60" s="465"/>
      <c r="CC60" s="465"/>
      <c r="CD60" s="465">
        <v>5</v>
      </c>
      <c r="CE60" s="465"/>
      <c r="CF60" s="465"/>
      <c r="CG60" s="465"/>
      <c r="CH60" s="465"/>
      <c r="CI60" s="465"/>
      <c r="CJ60" s="465"/>
      <c r="CK60" s="465"/>
      <c r="CL60" s="465"/>
      <c r="CM60" s="465"/>
      <c r="CN60" s="465"/>
      <c r="CO60" s="465"/>
      <c r="CP60" s="465"/>
      <c r="CQ60" s="465"/>
      <c r="CR60" s="465"/>
      <c r="CS60" s="465"/>
    </row>
    <row r="61" spans="1:97" s="23" customFormat="1" ht="15" hidden="1" customHeight="1" x14ac:dyDescent="0.3">
      <c r="A61" s="452"/>
      <c r="B61" s="452"/>
      <c r="C61" s="452"/>
      <c r="D61" s="452"/>
      <c r="E61" s="452"/>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86"/>
      <c r="AW61" s="486"/>
      <c r="AX61" s="486"/>
      <c r="AY61" s="486"/>
      <c r="AZ61" s="486"/>
      <c r="BA61" s="486"/>
      <c r="BB61" s="486"/>
      <c r="BC61" s="486"/>
      <c r="BD61" s="486"/>
      <c r="BE61" s="486"/>
      <c r="BF61" s="486"/>
      <c r="BG61" s="486"/>
      <c r="BH61" s="486"/>
      <c r="BI61" s="486"/>
      <c r="BJ61" s="486"/>
      <c r="BK61" s="486"/>
      <c r="BL61" s="486"/>
      <c r="BM61" s="492"/>
      <c r="BN61" s="492"/>
      <c r="BO61" s="492"/>
      <c r="BP61" s="492"/>
      <c r="BQ61" s="492"/>
      <c r="BR61" s="492"/>
      <c r="BS61" s="492"/>
      <c r="BT61" s="492"/>
      <c r="BU61" s="492"/>
      <c r="BV61" s="492"/>
      <c r="BW61" s="492"/>
      <c r="BX61" s="492"/>
      <c r="BY61" s="492"/>
      <c r="BZ61" s="492"/>
      <c r="CA61" s="492"/>
      <c r="CB61" s="492"/>
      <c r="CC61" s="492"/>
      <c r="CD61" s="492"/>
      <c r="CE61" s="492"/>
      <c r="CF61" s="492"/>
      <c r="CG61" s="492"/>
      <c r="CH61" s="492"/>
      <c r="CI61" s="492"/>
      <c r="CJ61" s="492"/>
      <c r="CK61" s="492"/>
      <c r="CL61" s="492"/>
      <c r="CM61" s="492"/>
      <c r="CN61" s="492"/>
      <c r="CO61" s="492"/>
      <c r="CP61" s="492"/>
      <c r="CQ61" s="492"/>
      <c r="CR61" s="492"/>
      <c r="CS61" s="492"/>
    </row>
    <row r="62" spans="1:97" s="23" customFormat="1" ht="15" hidden="1" customHeight="1" x14ac:dyDescent="0.3">
      <c r="A62" s="452"/>
      <c r="B62" s="452"/>
      <c r="C62" s="452"/>
      <c r="D62" s="452"/>
      <c r="E62" s="452"/>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86"/>
      <c r="AW62" s="486"/>
      <c r="AX62" s="486"/>
      <c r="AY62" s="486"/>
      <c r="AZ62" s="486"/>
      <c r="BA62" s="486"/>
      <c r="BB62" s="486"/>
      <c r="BC62" s="486"/>
      <c r="BD62" s="486"/>
      <c r="BE62" s="486"/>
      <c r="BF62" s="486"/>
      <c r="BG62" s="486"/>
      <c r="BH62" s="486"/>
      <c r="BI62" s="486"/>
      <c r="BJ62" s="486"/>
      <c r="BK62" s="486"/>
      <c r="BL62" s="486"/>
      <c r="BM62" s="486"/>
      <c r="BN62" s="486"/>
      <c r="BO62" s="486"/>
      <c r="BP62" s="486"/>
      <c r="BQ62" s="486"/>
      <c r="BR62" s="486"/>
      <c r="BS62" s="486"/>
      <c r="BT62" s="486"/>
      <c r="BU62" s="486"/>
      <c r="BV62" s="486"/>
      <c r="BW62" s="486"/>
      <c r="BX62" s="486"/>
      <c r="BY62" s="486"/>
      <c r="BZ62" s="486"/>
      <c r="CA62" s="486"/>
      <c r="CB62" s="486"/>
      <c r="CC62" s="486"/>
      <c r="CD62" s="486"/>
      <c r="CE62" s="486"/>
      <c r="CF62" s="486"/>
      <c r="CG62" s="486"/>
      <c r="CH62" s="486"/>
      <c r="CI62" s="486"/>
      <c r="CJ62" s="486"/>
      <c r="CK62" s="486"/>
      <c r="CL62" s="486"/>
      <c r="CM62" s="486"/>
      <c r="CN62" s="486"/>
      <c r="CO62" s="486"/>
      <c r="CP62" s="486"/>
      <c r="CQ62" s="486"/>
      <c r="CR62" s="486"/>
      <c r="CS62" s="486"/>
    </row>
    <row r="63" spans="1:97" s="23" customFormat="1" ht="15" hidden="1" customHeight="1" x14ac:dyDescent="0.3">
      <c r="A63" s="452"/>
      <c r="B63" s="452"/>
      <c r="C63" s="452"/>
      <c r="D63" s="452"/>
      <c r="E63" s="452"/>
      <c r="F63" s="463" t="s">
        <v>56</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4"/>
      <c r="AV63" s="486" t="s">
        <v>4</v>
      </c>
      <c r="AW63" s="486"/>
      <c r="AX63" s="486"/>
      <c r="AY63" s="486"/>
      <c r="AZ63" s="486"/>
      <c r="BA63" s="486"/>
      <c r="BB63" s="486"/>
      <c r="BC63" s="486"/>
      <c r="BD63" s="486"/>
      <c r="BE63" s="486"/>
      <c r="BF63" s="486"/>
      <c r="BG63" s="486"/>
      <c r="BH63" s="486"/>
      <c r="BI63" s="486"/>
      <c r="BJ63" s="486"/>
      <c r="BK63" s="486"/>
      <c r="BL63" s="486"/>
      <c r="BM63" s="486" t="s">
        <v>4</v>
      </c>
      <c r="BN63" s="486"/>
      <c r="BO63" s="486"/>
      <c r="BP63" s="486"/>
      <c r="BQ63" s="486"/>
      <c r="BR63" s="486"/>
      <c r="BS63" s="486"/>
      <c r="BT63" s="486"/>
      <c r="BU63" s="486"/>
      <c r="BV63" s="486"/>
      <c r="BW63" s="486"/>
      <c r="BX63" s="486"/>
      <c r="BY63" s="486"/>
      <c r="BZ63" s="486"/>
      <c r="CA63" s="486"/>
      <c r="CB63" s="486"/>
      <c r="CC63" s="486"/>
      <c r="CD63" s="491">
        <f>SUM(CD61:CD62)</f>
        <v>0</v>
      </c>
      <c r="CE63" s="496"/>
      <c r="CF63" s="496"/>
      <c r="CG63" s="496"/>
      <c r="CH63" s="496"/>
      <c r="CI63" s="496"/>
      <c r="CJ63" s="496"/>
      <c r="CK63" s="496"/>
      <c r="CL63" s="496"/>
      <c r="CM63" s="496"/>
      <c r="CN63" s="496"/>
      <c r="CO63" s="496"/>
      <c r="CP63" s="496"/>
      <c r="CQ63" s="496"/>
      <c r="CR63" s="496"/>
      <c r="CS63" s="496"/>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84" t="s">
        <v>307</v>
      </c>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4"/>
      <c r="BK65" s="484"/>
      <c r="BL65" s="484"/>
      <c r="BM65" s="484"/>
      <c r="BN65" s="484"/>
      <c r="BO65" s="484"/>
      <c r="BP65" s="484"/>
      <c r="BQ65" s="484"/>
      <c r="BR65" s="484"/>
      <c r="BS65" s="484"/>
      <c r="BT65" s="484"/>
      <c r="BU65" s="484"/>
      <c r="BV65" s="484"/>
      <c r="BW65" s="484"/>
      <c r="BX65" s="484"/>
      <c r="BY65" s="484"/>
      <c r="BZ65" s="484"/>
      <c r="CA65" s="484"/>
      <c r="CB65" s="484"/>
      <c r="CC65" s="484"/>
      <c r="CD65" s="484"/>
      <c r="CE65" s="484"/>
      <c r="CF65" s="484"/>
      <c r="CG65" s="484"/>
      <c r="CH65" s="484"/>
      <c r="CI65" s="484"/>
      <c r="CJ65" s="484"/>
      <c r="CK65" s="484"/>
      <c r="CL65" s="484"/>
      <c r="CM65" s="484"/>
      <c r="CN65" s="484"/>
      <c r="CO65" s="484"/>
      <c r="CP65" s="484"/>
      <c r="CQ65" s="484"/>
      <c r="CR65" s="484"/>
      <c r="CS65" s="484"/>
    </row>
    <row r="66" spans="1:97" s="27" customFormat="1" ht="11.25" hidden="1" customHeight="1" x14ac:dyDescent="0.3"/>
    <row r="67" spans="1:97" s="20" customFormat="1" ht="15" hidden="1" customHeight="1" x14ac:dyDescent="0.3">
      <c r="A67" s="470" t="s">
        <v>268</v>
      </c>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c r="CN67" s="490"/>
      <c r="CO67" s="490"/>
      <c r="CP67" s="490"/>
      <c r="CQ67" s="490"/>
      <c r="CR67" s="490"/>
      <c r="CS67" s="490"/>
    </row>
    <row r="68" spans="1:97" ht="10.5" hidden="1" customHeight="1" x14ac:dyDescent="0.25"/>
    <row r="69" spans="1:97" s="21" customFormat="1" ht="60" hidden="1" customHeight="1" x14ac:dyDescent="0.3">
      <c r="A69" s="485" t="s">
        <v>263</v>
      </c>
      <c r="B69" s="485"/>
      <c r="C69" s="485"/>
      <c r="D69" s="485"/>
      <c r="E69" s="485"/>
      <c r="F69" s="485" t="s">
        <v>271</v>
      </c>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t="s">
        <v>244</v>
      </c>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5"/>
      <c r="CB69" s="485"/>
      <c r="CC69" s="485"/>
      <c r="CD69" s="485"/>
      <c r="CE69" s="485"/>
      <c r="CF69" s="485"/>
      <c r="CG69" s="485"/>
      <c r="CH69" s="485"/>
      <c r="CI69" s="485"/>
      <c r="CJ69" s="485"/>
      <c r="CK69" s="485"/>
      <c r="CL69" s="485"/>
      <c r="CM69" s="485"/>
      <c r="CN69" s="485"/>
      <c r="CO69" s="485"/>
      <c r="CP69" s="485"/>
      <c r="CQ69" s="485"/>
      <c r="CR69" s="485"/>
      <c r="CS69" s="485"/>
    </row>
    <row r="70" spans="1:97" s="22" customFormat="1" hidden="1" x14ac:dyDescent="0.3">
      <c r="A70" s="466">
        <v>1</v>
      </c>
      <c r="B70" s="467"/>
      <c r="C70" s="467"/>
      <c r="D70" s="467"/>
      <c r="E70" s="468"/>
      <c r="F70" s="466">
        <v>2</v>
      </c>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8"/>
      <c r="AV70" s="466">
        <v>3</v>
      </c>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8"/>
    </row>
    <row r="71" spans="1:97" s="23" customFormat="1" ht="15" hidden="1" customHeight="1" x14ac:dyDescent="0.3">
      <c r="A71" s="452"/>
      <c r="B71" s="452"/>
      <c r="C71" s="452"/>
      <c r="D71" s="452"/>
      <c r="E71" s="452"/>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66"/>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8"/>
    </row>
    <row r="72" spans="1:97" s="23" customFormat="1" ht="15" hidden="1" customHeight="1" x14ac:dyDescent="0.3">
      <c r="A72" s="452"/>
      <c r="B72" s="452"/>
      <c r="C72" s="452"/>
      <c r="D72" s="452"/>
      <c r="E72" s="452"/>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66"/>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7"/>
      <c r="CM72" s="467"/>
      <c r="CN72" s="467"/>
      <c r="CO72" s="467"/>
      <c r="CP72" s="467"/>
      <c r="CQ72" s="467"/>
      <c r="CR72" s="467"/>
      <c r="CS72" s="468"/>
    </row>
    <row r="73" spans="1:97" s="23" customFormat="1" ht="15" hidden="1" customHeight="1" x14ac:dyDescent="0.3">
      <c r="A73" s="452"/>
      <c r="B73" s="452"/>
      <c r="C73" s="452"/>
      <c r="D73" s="452"/>
      <c r="E73" s="452"/>
      <c r="F73" s="463" t="s">
        <v>56</v>
      </c>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4"/>
      <c r="AV73" s="460"/>
      <c r="AW73" s="461"/>
      <c r="AX73" s="461"/>
      <c r="AY73" s="461"/>
      <c r="AZ73" s="461"/>
      <c r="BA73" s="461"/>
      <c r="BB73" s="461"/>
      <c r="BC73" s="461"/>
      <c r="BD73" s="461"/>
      <c r="BE73" s="461"/>
      <c r="BF73" s="461"/>
      <c r="BG73" s="461"/>
      <c r="BH73" s="461"/>
      <c r="BI73" s="461"/>
      <c r="BJ73" s="461"/>
      <c r="BK73" s="461"/>
      <c r="BL73" s="461"/>
      <c r="BM73" s="461"/>
      <c r="BN73" s="461"/>
      <c r="BO73" s="461"/>
      <c r="BP73" s="461"/>
      <c r="BQ73" s="461"/>
      <c r="BR73" s="461"/>
      <c r="BS73" s="461"/>
      <c r="BT73" s="461"/>
      <c r="BU73" s="461"/>
      <c r="BV73" s="461"/>
      <c r="BW73" s="461"/>
      <c r="BX73" s="461"/>
      <c r="BY73" s="461"/>
      <c r="BZ73" s="461"/>
      <c r="CA73" s="461"/>
      <c r="CB73" s="461"/>
      <c r="CC73" s="461"/>
      <c r="CD73" s="461"/>
      <c r="CE73" s="461"/>
      <c r="CF73" s="461"/>
      <c r="CG73" s="461"/>
      <c r="CH73" s="461"/>
      <c r="CI73" s="461"/>
      <c r="CJ73" s="461"/>
      <c r="CK73" s="461"/>
      <c r="CL73" s="461"/>
      <c r="CM73" s="461"/>
      <c r="CN73" s="461"/>
      <c r="CO73" s="461"/>
      <c r="CP73" s="461"/>
      <c r="CQ73" s="461"/>
      <c r="CR73" s="461"/>
      <c r="CS73" s="462"/>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70" t="s">
        <v>297</v>
      </c>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0"/>
      <c r="CP75" s="470"/>
      <c r="CQ75" s="470"/>
      <c r="CR75" s="470"/>
      <c r="CS75" s="470"/>
    </row>
    <row r="76" spans="1:97" s="27" customFormat="1" ht="6" hidden="1" customHeight="1" x14ac:dyDescent="0.3"/>
    <row r="77" spans="1:97" s="20" customFormat="1" ht="15.6" hidden="1" x14ac:dyDescent="0.3">
      <c r="A77" s="470" t="s">
        <v>268</v>
      </c>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c r="CN77" s="490"/>
      <c r="CO77" s="490"/>
      <c r="CP77" s="490"/>
      <c r="CQ77" s="490"/>
      <c r="CR77" s="490"/>
      <c r="CS77" s="490"/>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485" t="s">
        <v>263</v>
      </c>
      <c r="B79" s="485"/>
      <c r="C79" s="485"/>
      <c r="D79" s="485"/>
      <c r="E79" s="485"/>
      <c r="F79" s="487" t="s">
        <v>0</v>
      </c>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9"/>
      <c r="AM79" s="487" t="s">
        <v>196</v>
      </c>
      <c r="AN79" s="488"/>
      <c r="AO79" s="488"/>
      <c r="AP79" s="488"/>
      <c r="AQ79" s="488"/>
      <c r="AR79" s="488"/>
      <c r="AS79" s="488"/>
      <c r="AT79" s="488"/>
      <c r="AU79" s="489"/>
      <c r="AV79" s="472" t="s">
        <v>303</v>
      </c>
      <c r="AW79" s="473"/>
      <c r="AX79" s="473"/>
      <c r="AY79" s="473"/>
      <c r="AZ79" s="473"/>
      <c r="BA79" s="473"/>
      <c r="BB79" s="473"/>
      <c r="BC79" s="473"/>
      <c r="BD79" s="473"/>
      <c r="BE79" s="473"/>
      <c r="BF79" s="473"/>
      <c r="BG79" s="473"/>
      <c r="BH79" s="473"/>
      <c r="BI79" s="473"/>
      <c r="BJ79" s="473"/>
      <c r="BK79" s="473"/>
      <c r="BL79" s="474"/>
      <c r="BM79" s="472" t="s">
        <v>302</v>
      </c>
      <c r="BN79" s="473"/>
      <c r="BO79" s="473"/>
      <c r="BP79" s="473"/>
      <c r="BQ79" s="473"/>
      <c r="BR79" s="473"/>
      <c r="BS79" s="473"/>
      <c r="BT79" s="473"/>
      <c r="BU79" s="473"/>
      <c r="BV79" s="473"/>
      <c r="BW79" s="473"/>
      <c r="BX79" s="473"/>
      <c r="BY79" s="473"/>
      <c r="BZ79" s="473"/>
      <c r="CA79" s="473"/>
      <c r="CB79" s="473"/>
      <c r="CC79" s="474"/>
      <c r="CD79" s="472" t="s">
        <v>244</v>
      </c>
      <c r="CE79" s="473"/>
      <c r="CF79" s="473"/>
      <c r="CG79" s="473"/>
      <c r="CH79" s="473"/>
      <c r="CI79" s="473"/>
      <c r="CJ79" s="473"/>
      <c r="CK79" s="473"/>
      <c r="CL79" s="473"/>
      <c r="CM79" s="473"/>
      <c r="CN79" s="473"/>
      <c r="CO79" s="473"/>
      <c r="CP79" s="473"/>
      <c r="CQ79" s="473"/>
      <c r="CR79" s="473"/>
      <c r="CS79" s="474"/>
    </row>
    <row r="80" spans="1:97" s="22" customFormat="1" hidden="1" x14ac:dyDescent="0.3">
      <c r="A80" s="465">
        <v>1</v>
      </c>
      <c r="B80" s="465"/>
      <c r="C80" s="465"/>
      <c r="D80" s="465"/>
      <c r="E80" s="465"/>
      <c r="F80" s="466">
        <v>2</v>
      </c>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8"/>
      <c r="AM80" s="466">
        <v>3</v>
      </c>
      <c r="AN80" s="467"/>
      <c r="AO80" s="467"/>
      <c r="AP80" s="467"/>
      <c r="AQ80" s="467"/>
      <c r="AR80" s="467"/>
      <c r="AS80" s="467"/>
      <c r="AT80" s="467"/>
      <c r="AU80" s="468"/>
      <c r="AV80" s="465">
        <v>4</v>
      </c>
      <c r="AW80" s="465"/>
      <c r="AX80" s="465"/>
      <c r="AY80" s="465"/>
      <c r="AZ80" s="465"/>
      <c r="BA80" s="465"/>
      <c r="BB80" s="465"/>
      <c r="BC80" s="465"/>
      <c r="BD80" s="465"/>
      <c r="BE80" s="465"/>
      <c r="BF80" s="465"/>
      <c r="BG80" s="465"/>
      <c r="BH80" s="465"/>
      <c r="BI80" s="465"/>
      <c r="BJ80" s="465"/>
      <c r="BK80" s="465"/>
      <c r="BL80" s="465"/>
      <c r="BM80" s="465">
        <v>5</v>
      </c>
      <c r="BN80" s="465"/>
      <c r="BO80" s="465"/>
      <c r="BP80" s="465"/>
      <c r="BQ80" s="465"/>
      <c r="BR80" s="465"/>
      <c r="BS80" s="465"/>
      <c r="BT80" s="465"/>
      <c r="BU80" s="465"/>
      <c r="BV80" s="465"/>
      <c r="BW80" s="465"/>
      <c r="BX80" s="465"/>
      <c r="BY80" s="465"/>
      <c r="BZ80" s="465"/>
      <c r="CA80" s="465"/>
      <c r="CB80" s="465"/>
      <c r="CC80" s="465"/>
      <c r="CD80" s="465">
        <v>6</v>
      </c>
      <c r="CE80" s="465"/>
      <c r="CF80" s="465"/>
      <c r="CG80" s="465"/>
      <c r="CH80" s="465"/>
      <c r="CI80" s="465"/>
      <c r="CJ80" s="465"/>
      <c r="CK80" s="465"/>
      <c r="CL80" s="465"/>
      <c r="CM80" s="465"/>
      <c r="CN80" s="465"/>
      <c r="CO80" s="465"/>
      <c r="CP80" s="465"/>
      <c r="CQ80" s="465"/>
      <c r="CR80" s="465"/>
      <c r="CS80" s="465"/>
    </row>
    <row r="81" spans="1:108" s="23" customFormat="1" ht="15" hidden="1" customHeight="1" x14ac:dyDescent="0.3">
      <c r="A81" s="452"/>
      <c r="B81" s="452"/>
      <c r="C81" s="452"/>
      <c r="D81" s="452"/>
      <c r="E81" s="452"/>
      <c r="F81" s="487"/>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9"/>
      <c r="AM81" s="487"/>
      <c r="AN81" s="488"/>
      <c r="AO81" s="488"/>
      <c r="AP81" s="488"/>
      <c r="AQ81" s="488"/>
      <c r="AR81" s="488"/>
      <c r="AS81" s="488"/>
      <c r="AT81" s="488"/>
      <c r="AU81" s="489"/>
      <c r="AV81" s="486"/>
      <c r="AW81" s="486"/>
      <c r="AX81" s="486"/>
      <c r="AY81" s="486"/>
      <c r="AZ81" s="486"/>
      <c r="BA81" s="486"/>
      <c r="BB81" s="486"/>
      <c r="BC81" s="486"/>
      <c r="BD81" s="486"/>
      <c r="BE81" s="486"/>
      <c r="BF81" s="486"/>
      <c r="BG81" s="486"/>
      <c r="BH81" s="486"/>
      <c r="BI81" s="486"/>
      <c r="BJ81" s="486"/>
      <c r="BK81" s="486"/>
      <c r="BL81" s="486"/>
      <c r="BM81" s="486"/>
      <c r="BN81" s="486"/>
      <c r="BO81" s="486"/>
      <c r="BP81" s="486"/>
      <c r="BQ81" s="486"/>
      <c r="BR81" s="486"/>
      <c r="BS81" s="486"/>
      <c r="BT81" s="486"/>
      <c r="BU81" s="486"/>
      <c r="BV81" s="486"/>
      <c r="BW81" s="486"/>
      <c r="BX81" s="486"/>
      <c r="BY81" s="486"/>
      <c r="BZ81" s="486"/>
      <c r="CA81" s="486"/>
      <c r="CB81" s="486"/>
      <c r="CC81" s="486"/>
      <c r="CD81" s="486"/>
      <c r="CE81" s="486"/>
      <c r="CF81" s="486"/>
      <c r="CG81" s="486"/>
      <c r="CH81" s="486"/>
      <c r="CI81" s="486"/>
      <c r="CJ81" s="486"/>
      <c r="CK81" s="486"/>
      <c r="CL81" s="486"/>
      <c r="CM81" s="486"/>
      <c r="CN81" s="486"/>
      <c r="CO81" s="486"/>
      <c r="CP81" s="486"/>
      <c r="CQ81" s="486"/>
      <c r="CR81" s="486"/>
      <c r="CS81" s="486"/>
    </row>
    <row r="82" spans="1:108" s="23" customFormat="1" ht="15" hidden="1" customHeight="1" x14ac:dyDescent="0.3">
      <c r="A82" s="452"/>
      <c r="B82" s="452"/>
      <c r="C82" s="452"/>
      <c r="D82" s="452"/>
      <c r="E82" s="452"/>
      <c r="F82" s="487"/>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9"/>
      <c r="AM82" s="487"/>
      <c r="AN82" s="488"/>
      <c r="AO82" s="488"/>
      <c r="AP82" s="488"/>
      <c r="AQ82" s="488"/>
      <c r="AR82" s="488"/>
      <c r="AS82" s="488"/>
      <c r="AT82" s="488"/>
      <c r="AU82" s="489"/>
      <c r="AV82" s="486"/>
      <c r="AW82" s="486"/>
      <c r="AX82" s="486"/>
      <c r="AY82" s="486"/>
      <c r="AZ82" s="486"/>
      <c r="BA82" s="486"/>
      <c r="BB82" s="486"/>
      <c r="BC82" s="486"/>
      <c r="BD82" s="486"/>
      <c r="BE82" s="486"/>
      <c r="BF82" s="486"/>
      <c r="BG82" s="486"/>
      <c r="BH82" s="486"/>
      <c r="BI82" s="486"/>
      <c r="BJ82" s="486"/>
      <c r="BK82" s="486"/>
      <c r="BL82" s="486"/>
      <c r="BM82" s="486"/>
      <c r="BN82" s="486"/>
      <c r="BO82" s="486"/>
      <c r="BP82" s="486"/>
      <c r="BQ82" s="486"/>
      <c r="BR82" s="486"/>
      <c r="BS82" s="486"/>
      <c r="BT82" s="486"/>
      <c r="BU82" s="486"/>
      <c r="BV82" s="486"/>
      <c r="BW82" s="486"/>
      <c r="BX82" s="486"/>
      <c r="BY82" s="486"/>
      <c r="BZ82" s="486"/>
      <c r="CA82" s="486"/>
      <c r="CB82" s="486"/>
      <c r="CC82" s="486"/>
      <c r="CD82" s="486"/>
      <c r="CE82" s="486"/>
      <c r="CF82" s="486"/>
      <c r="CG82" s="486"/>
      <c r="CH82" s="486"/>
      <c r="CI82" s="486"/>
      <c r="CJ82" s="486"/>
      <c r="CK82" s="486"/>
      <c r="CL82" s="486"/>
      <c r="CM82" s="486"/>
      <c r="CN82" s="486"/>
      <c r="CO82" s="486"/>
      <c r="CP82" s="486"/>
      <c r="CQ82" s="486"/>
      <c r="CR82" s="486"/>
      <c r="CS82" s="486"/>
    </row>
    <row r="83" spans="1:108" s="23" customFormat="1" ht="15" hidden="1" customHeight="1" x14ac:dyDescent="0.3">
      <c r="A83" s="452"/>
      <c r="B83" s="452"/>
      <c r="C83" s="452"/>
      <c r="D83" s="452"/>
      <c r="E83" s="452"/>
      <c r="F83" s="463" t="s">
        <v>56</v>
      </c>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4"/>
      <c r="AV83" s="486" t="s">
        <v>4</v>
      </c>
      <c r="AW83" s="486"/>
      <c r="AX83" s="486"/>
      <c r="AY83" s="486"/>
      <c r="AZ83" s="486"/>
      <c r="BA83" s="486"/>
      <c r="BB83" s="486"/>
      <c r="BC83" s="486"/>
      <c r="BD83" s="486"/>
      <c r="BE83" s="486"/>
      <c r="BF83" s="486"/>
      <c r="BG83" s="486"/>
      <c r="BH83" s="486"/>
      <c r="BI83" s="486"/>
      <c r="BJ83" s="486"/>
      <c r="BK83" s="486"/>
      <c r="BL83" s="486"/>
      <c r="BM83" s="486" t="s">
        <v>4</v>
      </c>
      <c r="BN83" s="486"/>
      <c r="BO83" s="486"/>
      <c r="BP83" s="486"/>
      <c r="BQ83" s="486"/>
      <c r="BR83" s="486"/>
      <c r="BS83" s="486"/>
      <c r="BT83" s="486"/>
      <c r="BU83" s="486"/>
      <c r="BV83" s="486"/>
      <c r="BW83" s="486"/>
      <c r="BX83" s="486"/>
      <c r="BY83" s="486"/>
      <c r="BZ83" s="486"/>
      <c r="CA83" s="486"/>
      <c r="CB83" s="486"/>
      <c r="CC83" s="486"/>
      <c r="CD83" s="486"/>
      <c r="CE83" s="486"/>
      <c r="CF83" s="486"/>
      <c r="CG83" s="486"/>
      <c r="CH83" s="486"/>
      <c r="CI83" s="486"/>
      <c r="CJ83" s="486"/>
      <c r="CK83" s="486"/>
      <c r="CL83" s="486"/>
      <c r="CM83" s="486"/>
      <c r="CN83" s="486"/>
      <c r="CO83" s="486"/>
      <c r="CP83" s="486"/>
      <c r="CQ83" s="486"/>
      <c r="CR83" s="486"/>
      <c r="CS83" s="486"/>
    </row>
    <row r="84" spans="1:108" hidden="1" x14ac:dyDescent="0.25"/>
    <row r="85" spans="1:108" s="29" customFormat="1" ht="15" hidden="1" customHeight="1" x14ac:dyDescent="0.3">
      <c r="A85" s="470" t="s">
        <v>298</v>
      </c>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70"/>
      <c r="CL85" s="470"/>
      <c r="CM85" s="470"/>
      <c r="CN85" s="470"/>
      <c r="CO85" s="470"/>
      <c r="CP85" s="470"/>
      <c r="CQ85" s="470"/>
      <c r="CR85" s="470"/>
      <c r="CS85" s="470"/>
    </row>
    <row r="86" spans="1:108" s="33" customFormat="1" ht="6" hidden="1" customHeight="1" x14ac:dyDescent="0.3"/>
    <row r="87" spans="1:108" s="29" customFormat="1" ht="30.75" hidden="1" customHeight="1" x14ac:dyDescent="0.3">
      <c r="A87" s="484" t="s">
        <v>264</v>
      </c>
      <c r="B87" s="484"/>
      <c r="C87" s="484"/>
      <c r="D87" s="484"/>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71"/>
      <c r="AW87" s="471"/>
      <c r="AX87" s="471"/>
      <c r="AY87" s="471"/>
      <c r="AZ87" s="471"/>
      <c r="BA87" s="471"/>
      <c r="BB87" s="471"/>
      <c r="BC87" s="471"/>
      <c r="BD87" s="471"/>
      <c r="BE87" s="471"/>
      <c r="BF87" s="471"/>
      <c r="BG87" s="471"/>
      <c r="BH87" s="471"/>
      <c r="BI87" s="471"/>
      <c r="BJ87" s="471"/>
      <c r="BK87" s="471"/>
      <c r="BL87" s="471"/>
      <c r="BM87" s="471"/>
      <c r="BN87" s="471"/>
      <c r="BO87" s="471"/>
      <c r="BP87" s="471"/>
      <c r="BQ87" s="471"/>
      <c r="BR87" s="471"/>
      <c r="BS87" s="471"/>
      <c r="BT87" s="471"/>
      <c r="BU87" s="471"/>
      <c r="BV87" s="471"/>
      <c r="BW87" s="471"/>
      <c r="BX87" s="471"/>
      <c r="BY87" s="471"/>
      <c r="BZ87" s="471"/>
      <c r="CA87" s="471"/>
      <c r="CB87" s="471"/>
      <c r="CC87" s="471"/>
      <c r="CD87" s="471"/>
      <c r="CE87" s="471"/>
      <c r="CF87" s="471"/>
      <c r="CG87" s="471"/>
      <c r="CH87" s="471"/>
      <c r="CI87" s="471"/>
      <c r="CJ87" s="471"/>
      <c r="CK87" s="471"/>
      <c r="CL87" s="471"/>
      <c r="CM87" s="471"/>
      <c r="CN87" s="471"/>
      <c r="CO87" s="471"/>
      <c r="CP87" s="471"/>
      <c r="CQ87" s="471"/>
      <c r="CR87" s="471"/>
      <c r="CS87" s="471"/>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72" t="s">
        <v>49</v>
      </c>
      <c r="B89" s="473"/>
      <c r="C89" s="473"/>
      <c r="D89" s="473"/>
      <c r="E89" s="474"/>
      <c r="F89" s="472" t="s">
        <v>0</v>
      </c>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4"/>
      <c r="AV89" s="485" t="s">
        <v>244</v>
      </c>
      <c r="AW89" s="485"/>
      <c r="AX89" s="485"/>
      <c r="AY89" s="485"/>
      <c r="AZ89" s="485"/>
      <c r="BA89" s="485"/>
      <c r="BB89" s="485"/>
      <c r="BC89" s="485"/>
      <c r="BD89" s="485"/>
      <c r="BE89" s="485"/>
      <c r="BF89" s="485"/>
      <c r="BG89" s="485"/>
      <c r="BH89" s="485"/>
      <c r="BI89" s="485"/>
      <c r="BJ89" s="485"/>
      <c r="BK89" s="485"/>
      <c r="BL89" s="485"/>
      <c r="BM89" s="485"/>
      <c r="BN89" s="485"/>
      <c r="BO89" s="485"/>
      <c r="BP89" s="485"/>
      <c r="BQ89" s="485"/>
      <c r="BR89" s="485"/>
      <c r="BS89" s="485"/>
      <c r="BT89" s="485"/>
      <c r="BU89" s="485"/>
      <c r="BV89" s="485"/>
      <c r="BW89" s="485"/>
      <c r="BX89" s="485"/>
      <c r="BY89" s="485"/>
      <c r="BZ89" s="485"/>
      <c r="CA89" s="485"/>
      <c r="CB89" s="485"/>
      <c r="CC89" s="485"/>
      <c r="CD89" s="485"/>
      <c r="CE89" s="485"/>
      <c r="CF89" s="485"/>
      <c r="CG89" s="485"/>
      <c r="CH89" s="485"/>
      <c r="CI89" s="485"/>
      <c r="CJ89" s="485"/>
      <c r="CK89" s="485"/>
      <c r="CL89" s="485"/>
      <c r="CM89" s="485"/>
      <c r="CN89" s="485"/>
      <c r="CO89" s="485"/>
      <c r="CP89" s="485"/>
      <c r="CQ89" s="485"/>
      <c r="CR89" s="485"/>
      <c r="CS89" s="485"/>
      <c r="DD89" s="29"/>
    </row>
    <row r="90" spans="1:108" s="38" customFormat="1" hidden="1" x14ac:dyDescent="0.3">
      <c r="A90" s="465">
        <v>1</v>
      </c>
      <c r="B90" s="465"/>
      <c r="C90" s="465"/>
      <c r="D90" s="465"/>
      <c r="E90" s="465"/>
      <c r="F90" s="465">
        <v>2</v>
      </c>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6">
        <v>3</v>
      </c>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7"/>
      <c r="CM90" s="467"/>
      <c r="CN90" s="467"/>
      <c r="CO90" s="467"/>
      <c r="CP90" s="467"/>
      <c r="CQ90" s="467"/>
      <c r="CR90" s="467"/>
      <c r="CS90" s="468"/>
    </row>
    <row r="91" spans="1:108" s="39" customFormat="1" ht="15" hidden="1" customHeight="1" x14ac:dyDescent="0.3">
      <c r="A91" s="478" t="s">
        <v>258</v>
      </c>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79"/>
      <c r="BN91" s="479"/>
      <c r="BO91" s="479"/>
      <c r="BP91" s="479"/>
      <c r="BQ91" s="479"/>
      <c r="BR91" s="479"/>
      <c r="BS91" s="479"/>
      <c r="BT91" s="479"/>
      <c r="BU91" s="479"/>
      <c r="BV91" s="479"/>
      <c r="BW91" s="479"/>
      <c r="BX91" s="479"/>
      <c r="BY91" s="479"/>
      <c r="BZ91" s="479"/>
      <c r="CA91" s="479"/>
      <c r="CB91" s="479"/>
      <c r="CC91" s="479"/>
      <c r="CD91" s="479"/>
      <c r="CE91" s="479"/>
      <c r="CF91" s="479"/>
      <c r="CG91" s="479"/>
      <c r="CH91" s="479"/>
      <c r="CI91" s="479"/>
      <c r="CJ91" s="479"/>
      <c r="CK91" s="479"/>
      <c r="CL91" s="479"/>
      <c r="CM91" s="479"/>
      <c r="CN91" s="479"/>
      <c r="CO91" s="479"/>
      <c r="CP91" s="479"/>
      <c r="CQ91" s="479"/>
      <c r="CR91" s="479"/>
      <c r="CS91" s="480"/>
    </row>
    <row r="92" spans="1:108" s="39" customFormat="1" ht="15" hidden="1" customHeight="1" x14ac:dyDescent="0.3">
      <c r="A92" s="452"/>
      <c r="B92" s="452"/>
      <c r="C92" s="452"/>
      <c r="D92" s="452"/>
      <c r="E92" s="452"/>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60"/>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2"/>
    </row>
    <row r="93" spans="1:108" s="39" customFormat="1" ht="15" hidden="1" customHeight="1" x14ac:dyDescent="0.3">
      <c r="A93" s="469" t="s">
        <v>56</v>
      </c>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4"/>
      <c r="AV93" s="460"/>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2"/>
    </row>
    <row r="94" spans="1:108" s="39" customFormat="1" ht="15" hidden="1" customHeight="1" x14ac:dyDescent="0.3">
      <c r="A94" s="478" t="s">
        <v>258</v>
      </c>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479"/>
      <c r="BM94" s="479"/>
      <c r="BN94" s="479"/>
      <c r="BO94" s="479"/>
      <c r="BP94" s="479"/>
      <c r="BQ94" s="479"/>
      <c r="BR94" s="479"/>
      <c r="BS94" s="479"/>
      <c r="BT94" s="479"/>
      <c r="BU94" s="479"/>
      <c r="BV94" s="479"/>
      <c r="BW94" s="479"/>
      <c r="BX94" s="479"/>
      <c r="BY94" s="479"/>
      <c r="BZ94" s="479"/>
      <c r="CA94" s="479"/>
      <c r="CB94" s="479"/>
      <c r="CC94" s="479"/>
      <c r="CD94" s="479"/>
      <c r="CE94" s="479"/>
      <c r="CF94" s="479"/>
      <c r="CG94" s="479"/>
      <c r="CH94" s="479"/>
      <c r="CI94" s="479"/>
      <c r="CJ94" s="479"/>
      <c r="CK94" s="479"/>
      <c r="CL94" s="479"/>
      <c r="CM94" s="479"/>
      <c r="CN94" s="479"/>
      <c r="CO94" s="479"/>
      <c r="CP94" s="479"/>
      <c r="CQ94" s="479"/>
      <c r="CR94" s="479"/>
      <c r="CS94" s="480"/>
    </row>
    <row r="95" spans="1:108" s="39" customFormat="1" ht="15" hidden="1" customHeight="1" x14ac:dyDescent="0.3">
      <c r="A95" s="452"/>
      <c r="B95" s="452"/>
      <c r="C95" s="452"/>
      <c r="D95" s="452"/>
      <c r="E95" s="452"/>
      <c r="F95" s="459"/>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60"/>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461"/>
      <c r="BX95" s="461"/>
      <c r="BY95" s="461"/>
      <c r="BZ95" s="461"/>
      <c r="CA95" s="461"/>
      <c r="CB95" s="461"/>
      <c r="CC95" s="461"/>
      <c r="CD95" s="461"/>
      <c r="CE95" s="461"/>
      <c r="CF95" s="461"/>
      <c r="CG95" s="461"/>
      <c r="CH95" s="461"/>
      <c r="CI95" s="461"/>
      <c r="CJ95" s="461"/>
      <c r="CK95" s="461"/>
      <c r="CL95" s="461"/>
      <c r="CM95" s="461"/>
      <c r="CN95" s="461"/>
      <c r="CO95" s="461"/>
      <c r="CP95" s="461"/>
      <c r="CQ95" s="461"/>
      <c r="CR95" s="461"/>
      <c r="CS95" s="462"/>
    </row>
    <row r="96" spans="1:108" s="39" customFormat="1" ht="15" hidden="1" customHeight="1" x14ac:dyDescent="0.3">
      <c r="A96" s="469" t="s">
        <v>56</v>
      </c>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4"/>
      <c r="AV96" s="460"/>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2"/>
    </row>
    <row r="97" spans="1:97" s="39" customFormat="1" ht="15" hidden="1" customHeight="1" x14ac:dyDescent="0.3">
      <c r="A97" s="469" t="s">
        <v>56</v>
      </c>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4"/>
      <c r="AV97" s="460"/>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2"/>
    </row>
    <row r="98" spans="1:97" hidden="1" x14ac:dyDescent="0.25"/>
    <row r="99" spans="1:97" s="41" customFormat="1" ht="15" hidden="1" customHeight="1" x14ac:dyDescent="0.3">
      <c r="A99" s="470" t="s">
        <v>337</v>
      </c>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70"/>
      <c r="CL99" s="470"/>
      <c r="CM99" s="470"/>
      <c r="CN99" s="470"/>
      <c r="CO99" s="470"/>
      <c r="CP99" s="470"/>
      <c r="CQ99" s="470"/>
      <c r="CR99" s="470"/>
      <c r="CS99" s="470"/>
    </row>
    <row r="100" spans="1:97" s="27" customFormat="1" ht="6" hidden="1" customHeight="1" x14ac:dyDescent="0.3"/>
    <row r="101" spans="1:97" s="41" customFormat="1" ht="15.6" hidden="1" x14ac:dyDescent="0.3">
      <c r="A101" s="41" t="s">
        <v>215</v>
      </c>
      <c r="V101" s="471"/>
      <c r="W101" s="471"/>
      <c r="X101" s="471"/>
      <c r="Y101" s="471"/>
      <c r="Z101" s="471"/>
      <c r="AA101" s="471"/>
      <c r="AB101" s="471"/>
      <c r="AC101" s="471"/>
      <c r="AD101" s="471"/>
      <c r="AE101" s="471"/>
      <c r="AF101" s="471"/>
      <c r="AG101" s="471"/>
      <c r="AH101" s="471"/>
      <c r="AI101" s="471"/>
      <c r="AJ101" s="471"/>
      <c r="AK101" s="471"/>
      <c r="AL101" s="471"/>
      <c r="AM101" s="471"/>
      <c r="AN101" s="471"/>
      <c r="AO101" s="471"/>
      <c r="AP101" s="471"/>
      <c r="AQ101" s="471"/>
      <c r="AR101" s="471"/>
      <c r="AS101" s="471"/>
      <c r="AT101" s="471"/>
      <c r="AU101" s="471"/>
      <c r="AV101" s="471"/>
      <c r="AW101" s="471"/>
      <c r="AX101" s="471"/>
      <c r="AY101" s="471"/>
      <c r="AZ101" s="471"/>
      <c r="BA101" s="471"/>
      <c r="BB101" s="471"/>
      <c r="BC101" s="471"/>
      <c r="BD101" s="471"/>
      <c r="BE101" s="471"/>
      <c r="BF101" s="471"/>
      <c r="BG101" s="471"/>
      <c r="BH101" s="471"/>
      <c r="BI101" s="471"/>
      <c r="BJ101" s="471"/>
      <c r="BK101" s="471"/>
      <c r="BL101" s="471"/>
      <c r="BM101" s="471"/>
      <c r="BN101" s="471"/>
      <c r="BO101" s="471"/>
      <c r="BP101" s="471"/>
      <c r="BQ101" s="471"/>
      <c r="BR101" s="471"/>
      <c r="BS101" s="471"/>
      <c r="BT101" s="471"/>
      <c r="BU101" s="471"/>
      <c r="BV101" s="471"/>
      <c r="BW101" s="471"/>
      <c r="BX101" s="471"/>
      <c r="BY101" s="471"/>
      <c r="BZ101" s="471"/>
      <c r="CA101" s="471"/>
      <c r="CB101" s="471"/>
      <c r="CC101" s="471"/>
      <c r="CD101" s="471"/>
      <c r="CE101" s="471"/>
      <c r="CF101" s="471"/>
      <c r="CG101" s="471"/>
      <c r="CH101" s="471"/>
      <c r="CI101" s="471"/>
      <c r="CJ101" s="471"/>
      <c r="CK101" s="471"/>
      <c r="CL101" s="471"/>
      <c r="CM101" s="471"/>
      <c r="CN101" s="471"/>
      <c r="CO101" s="471"/>
      <c r="CP101" s="471"/>
      <c r="CQ101" s="471"/>
      <c r="CR101" s="471"/>
      <c r="CS101" s="471"/>
    </row>
    <row r="102" spans="1:97"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7" ht="53.25" hidden="1" customHeight="1" x14ac:dyDescent="0.25">
      <c r="A103" s="472" t="s">
        <v>49</v>
      </c>
      <c r="B103" s="473"/>
      <c r="C103" s="473"/>
      <c r="D103" s="473"/>
      <c r="E103" s="474"/>
      <c r="F103" s="472" t="s">
        <v>0</v>
      </c>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4"/>
      <c r="AV103" s="475" t="s">
        <v>79</v>
      </c>
      <c r="AW103" s="476"/>
      <c r="AX103" s="476"/>
      <c r="AY103" s="476"/>
      <c r="AZ103" s="476"/>
      <c r="BA103" s="476"/>
      <c r="BB103" s="476"/>
      <c r="BC103" s="476"/>
      <c r="BD103" s="476"/>
      <c r="BE103" s="476"/>
      <c r="BF103" s="476"/>
      <c r="BG103" s="476"/>
      <c r="BH103" s="476"/>
      <c r="BI103" s="476"/>
      <c r="BJ103" s="476"/>
      <c r="BK103" s="476"/>
      <c r="BL103" s="477"/>
      <c r="BM103" s="475" t="s">
        <v>80</v>
      </c>
      <c r="BN103" s="476"/>
      <c r="BO103" s="476"/>
      <c r="BP103" s="476"/>
      <c r="BQ103" s="476"/>
      <c r="BR103" s="476"/>
      <c r="BS103" s="476"/>
      <c r="BT103" s="476"/>
      <c r="BU103" s="476"/>
      <c r="BV103" s="476"/>
      <c r="BW103" s="476"/>
      <c r="BX103" s="476"/>
      <c r="BY103" s="476"/>
      <c r="BZ103" s="476"/>
      <c r="CA103" s="476"/>
      <c r="CB103" s="476"/>
      <c r="CC103" s="477"/>
      <c r="CD103" s="475" t="s">
        <v>81</v>
      </c>
      <c r="CE103" s="476"/>
      <c r="CF103" s="476"/>
      <c r="CG103" s="476"/>
      <c r="CH103" s="476"/>
      <c r="CI103" s="476"/>
      <c r="CJ103" s="476"/>
      <c r="CK103" s="476"/>
      <c r="CL103" s="476"/>
      <c r="CM103" s="476"/>
      <c r="CN103" s="476"/>
      <c r="CO103" s="476"/>
      <c r="CP103" s="476"/>
      <c r="CQ103" s="476"/>
      <c r="CR103" s="476"/>
      <c r="CS103" s="477"/>
    </row>
    <row r="104" spans="1:97" s="22" customFormat="1" hidden="1" x14ac:dyDescent="0.3">
      <c r="A104" s="465">
        <v>1</v>
      </c>
      <c r="B104" s="465"/>
      <c r="C104" s="465"/>
      <c r="D104" s="465"/>
      <c r="E104" s="465"/>
      <c r="F104" s="465">
        <v>2</v>
      </c>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6">
        <v>3</v>
      </c>
      <c r="AW104" s="467"/>
      <c r="AX104" s="467"/>
      <c r="AY104" s="467"/>
      <c r="AZ104" s="467"/>
      <c r="BA104" s="467"/>
      <c r="BB104" s="467"/>
      <c r="BC104" s="467"/>
      <c r="BD104" s="467"/>
      <c r="BE104" s="467"/>
      <c r="BF104" s="467"/>
      <c r="BG104" s="467"/>
      <c r="BH104" s="467"/>
      <c r="BI104" s="467"/>
      <c r="BJ104" s="467"/>
      <c r="BK104" s="467"/>
      <c r="BL104" s="468"/>
      <c r="BM104" s="466">
        <v>4</v>
      </c>
      <c r="BN104" s="467"/>
      <c r="BO104" s="467"/>
      <c r="BP104" s="467"/>
      <c r="BQ104" s="467"/>
      <c r="BR104" s="467"/>
      <c r="BS104" s="467"/>
      <c r="BT104" s="467"/>
      <c r="BU104" s="467"/>
      <c r="BV104" s="467"/>
      <c r="BW104" s="467"/>
      <c r="BX104" s="467"/>
      <c r="BY104" s="467"/>
      <c r="BZ104" s="467"/>
      <c r="CA104" s="467"/>
      <c r="CB104" s="467"/>
      <c r="CC104" s="468"/>
      <c r="CD104" s="466">
        <v>5</v>
      </c>
      <c r="CE104" s="467"/>
      <c r="CF104" s="467"/>
      <c r="CG104" s="467"/>
      <c r="CH104" s="467"/>
      <c r="CI104" s="467"/>
      <c r="CJ104" s="467"/>
      <c r="CK104" s="467"/>
      <c r="CL104" s="467"/>
      <c r="CM104" s="467"/>
      <c r="CN104" s="467"/>
      <c r="CO104" s="467"/>
      <c r="CP104" s="467"/>
      <c r="CQ104" s="467"/>
      <c r="CR104" s="467"/>
      <c r="CS104" s="468"/>
    </row>
    <row r="105" spans="1:97" s="23" customFormat="1" ht="15" hidden="1" customHeight="1" x14ac:dyDescent="0.3">
      <c r="A105" s="452"/>
      <c r="B105" s="452"/>
      <c r="C105" s="452"/>
      <c r="D105" s="452"/>
      <c r="E105" s="452"/>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60"/>
      <c r="AW105" s="461"/>
      <c r="AX105" s="461"/>
      <c r="AY105" s="461"/>
      <c r="AZ105" s="461"/>
      <c r="BA105" s="461"/>
      <c r="BB105" s="461"/>
      <c r="BC105" s="461"/>
      <c r="BD105" s="461"/>
      <c r="BE105" s="461"/>
      <c r="BF105" s="461"/>
      <c r="BG105" s="461"/>
      <c r="BH105" s="461"/>
      <c r="BI105" s="461"/>
      <c r="BJ105" s="461"/>
      <c r="BK105" s="461"/>
      <c r="BL105" s="462"/>
      <c r="BM105" s="460"/>
      <c r="BN105" s="461"/>
      <c r="BO105" s="461"/>
      <c r="BP105" s="461"/>
      <c r="BQ105" s="461"/>
      <c r="BR105" s="461"/>
      <c r="BS105" s="461"/>
      <c r="BT105" s="461"/>
      <c r="BU105" s="461"/>
      <c r="BV105" s="461"/>
      <c r="BW105" s="461"/>
      <c r="BX105" s="461"/>
      <c r="BY105" s="461"/>
      <c r="BZ105" s="461"/>
      <c r="CA105" s="461"/>
      <c r="CB105" s="461"/>
      <c r="CC105" s="462"/>
      <c r="CD105" s="460"/>
      <c r="CE105" s="461"/>
      <c r="CF105" s="461"/>
      <c r="CG105" s="461"/>
      <c r="CH105" s="461"/>
      <c r="CI105" s="461"/>
      <c r="CJ105" s="461"/>
      <c r="CK105" s="461"/>
      <c r="CL105" s="461"/>
      <c r="CM105" s="461"/>
      <c r="CN105" s="461"/>
      <c r="CO105" s="461"/>
      <c r="CP105" s="461"/>
      <c r="CQ105" s="461"/>
      <c r="CR105" s="461"/>
      <c r="CS105" s="462"/>
    </row>
    <row r="106" spans="1:97" s="23" customFormat="1" ht="15" hidden="1" customHeight="1" x14ac:dyDescent="0.3">
      <c r="A106" s="452"/>
      <c r="B106" s="452"/>
      <c r="C106" s="452"/>
      <c r="D106" s="452"/>
      <c r="E106" s="452"/>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60"/>
      <c r="AW106" s="461"/>
      <c r="AX106" s="461"/>
      <c r="AY106" s="461"/>
      <c r="AZ106" s="461"/>
      <c r="BA106" s="461"/>
      <c r="BB106" s="461"/>
      <c r="BC106" s="461"/>
      <c r="BD106" s="461"/>
      <c r="BE106" s="461"/>
      <c r="BF106" s="461"/>
      <c r="BG106" s="461"/>
      <c r="BH106" s="461"/>
      <c r="BI106" s="461"/>
      <c r="BJ106" s="461"/>
      <c r="BK106" s="461"/>
      <c r="BL106" s="462"/>
      <c r="BM106" s="460"/>
      <c r="BN106" s="461"/>
      <c r="BO106" s="461"/>
      <c r="BP106" s="461"/>
      <c r="BQ106" s="461"/>
      <c r="BR106" s="461"/>
      <c r="BS106" s="461"/>
      <c r="BT106" s="461"/>
      <c r="BU106" s="461"/>
      <c r="BV106" s="461"/>
      <c r="BW106" s="461"/>
      <c r="BX106" s="461"/>
      <c r="BY106" s="461"/>
      <c r="BZ106" s="461"/>
      <c r="CA106" s="461"/>
      <c r="CB106" s="461"/>
      <c r="CC106" s="462"/>
      <c r="CD106" s="460"/>
      <c r="CE106" s="461"/>
      <c r="CF106" s="461"/>
      <c r="CG106" s="461"/>
      <c r="CH106" s="461"/>
      <c r="CI106" s="461"/>
      <c r="CJ106" s="461"/>
      <c r="CK106" s="461"/>
      <c r="CL106" s="461"/>
      <c r="CM106" s="461"/>
      <c r="CN106" s="461"/>
      <c r="CO106" s="461"/>
      <c r="CP106" s="461"/>
      <c r="CQ106" s="461"/>
      <c r="CR106" s="461"/>
      <c r="CS106" s="462"/>
    </row>
    <row r="107" spans="1:97" s="23" customFormat="1" ht="15" hidden="1" customHeight="1" x14ac:dyDescent="0.3">
      <c r="A107" s="452"/>
      <c r="B107" s="452"/>
      <c r="C107" s="452"/>
      <c r="D107" s="452"/>
      <c r="E107" s="452"/>
      <c r="F107" s="463" t="s">
        <v>56</v>
      </c>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4"/>
      <c r="AV107" s="460"/>
      <c r="AW107" s="461"/>
      <c r="AX107" s="461"/>
      <c r="AY107" s="461"/>
      <c r="AZ107" s="461"/>
      <c r="BA107" s="461"/>
      <c r="BB107" s="461"/>
      <c r="BC107" s="461"/>
      <c r="BD107" s="461"/>
      <c r="BE107" s="461"/>
      <c r="BF107" s="461"/>
      <c r="BG107" s="461"/>
      <c r="BH107" s="461"/>
      <c r="BI107" s="461"/>
      <c r="BJ107" s="461"/>
      <c r="BK107" s="461"/>
      <c r="BL107" s="462"/>
      <c r="BM107" s="460"/>
      <c r="BN107" s="461"/>
      <c r="BO107" s="461"/>
      <c r="BP107" s="461"/>
      <c r="BQ107" s="461"/>
      <c r="BR107" s="461"/>
      <c r="BS107" s="461"/>
      <c r="BT107" s="461"/>
      <c r="BU107" s="461"/>
      <c r="BV107" s="461"/>
      <c r="BW107" s="461"/>
      <c r="BX107" s="461"/>
      <c r="BY107" s="461"/>
      <c r="BZ107" s="461"/>
      <c r="CA107" s="461"/>
      <c r="CB107" s="461"/>
      <c r="CC107" s="462"/>
      <c r="CD107" s="460"/>
      <c r="CE107" s="461"/>
      <c r="CF107" s="461"/>
      <c r="CG107" s="461"/>
      <c r="CH107" s="461"/>
      <c r="CI107" s="461"/>
      <c r="CJ107" s="461"/>
      <c r="CK107" s="461"/>
      <c r="CL107" s="461"/>
      <c r="CM107" s="461"/>
      <c r="CN107" s="461"/>
      <c r="CO107" s="461"/>
      <c r="CP107" s="461"/>
      <c r="CQ107" s="461"/>
      <c r="CR107" s="461"/>
      <c r="CS107" s="462"/>
    </row>
    <row r="108" spans="1:97" hidden="1" x14ac:dyDescent="0.25"/>
    <row r="109" spans="1:97" ht="30.75" customHeight="1" x14ac:dyDescent="0.25">
      <c r="A109" s="428" t="s">
        <v>336</v>
      </c>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8"/>
      <c r="AY109" s="428"/>
      <c r="AZ109" s="428"/>
      <c r="BA109" s="428"/>
      <c r="BB109" s="428"/>
      <c r="BC109" s="428"/>
      <c r="BD109" s="428"/>
      <c r="BE109" s="428"/>
      <c r="BF109" s="428"/>
      <c r="BG109" s="428"/>
      <c r="BH109" s="428"/>
      <c r="BI109" s="428"/>
      <c r="BJ109" s="428"/>
      <c r="BK109" s="428"/>
      <c r="BL109" s="428"/>
      <c r="BM109" s="428"/>
      <c r="BN109" s="428"/>
      <c r="BO109" s="428"/>
      <c r="BP109" s="428"/>
      <c r="BQ109" s="428"/>
      <c r="BR109" s="428"/>
      <c r="BS109" s="428"/>
      <c r="BT109" s="428"/>
      <c r="BU109" s="428"/>
      <c r="BV109" s="428"/>
      <c r="BW109" s="428"/>
      <c r="BX109" s="428"/>
      <c r="BY109" s="428"/>
      <c r="BZ109" s="428"/>
      <c r="CA109" s="428"/>
      <c r="CB109" s="428"/>
      <c r="CC109" s="428"/>
      <c r="CD109" s="428"/>
      <c r="CE109" s="428"/>
      <c r="CF109" s="428"/>
      <c r="CG109" s="428"/>
      <c r="CH109" s="428"/>
      <c r="CI109" s="428"/>
      <c r="CJ109" s="428"/>
      <c r="CK109" s="428"/>
      <c r="CL109" s="428"/>
      <c r="CM109" s="428"/>
      <c r="CN109" s="428"/>
      <c r="CO109" s="428"/>
      <c r="CP109" s="428"/>
      <c r="CQ109" s="428"/>
      <c r="CR109" s="428"/>
      <c r="CS109" s="428"/>
    </row>
    <row r="110" spans="1:97" x14ac:dyDescent="0.25">
      <c r="A110" s="456" t="s">
        <v>464</v>
      </c>
      <c r="B110" s="456"/>
      <c r="C110" s="456"/>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7"/>
      <c r="AW110" s="457"/>
      <c r="AX110" s="457"/>
      <c r="AY110" s="457"/>
      <c r="AZ110" s="457"/>
      <c r="BA110" s="457"/>
      <c r="BB110" s="457"/>
      <c r="BC110" s="457"/>
      <c r="BD110" s="457"/>
      <c r="BE110" s="457"/>
      <c r="BF110" s="457"/>
      <c r="BG110" s="457"/>
      <c r="BH110" s="457"/>
      <c r="BI110" s="457"/>
      <c r="BJ110" s="457"/>
      <c r="BK110" s="457"/>
      <c r="BL110" s="457"/>
      <c r="BM110" s="457"/>
      <c r="BN110" s="457"/>
      <c r="BO110" s="457"/>
      <c r="BP110" s="457"/>
      <c r="BQ110" s="457"/>
      <c r="BR110" s="457"/>
      <c r="BS110" s="457"/>
      <c r="BT110" s="457"/>
      <c r="BU110" s="457"/>
      <c r="BV110" s="457"/>
      <c r="BW110" s="457"/>
      <c r="BX110" s="457"/>
      <c r="BY110" s="457"/>
      <c r="BZ110" s="457"/>
      <c r="CA110" s="457"/>
      <c r="CB110" s="457"/>
      <c r="CC110" s="457"/>
      <c r="CD110" s="458">
        <f>AV24+BW35+CD43+CD63+AV25</f>
        <v>134901700</v>
      </c>
      <c r="CE110" s="456"/>
      <c r="CF110" s="456"/>
      <c r="CG110" s="456"/>
      <c r="CH110" s="456"/>
      <c r="CI110" s="456"/>
      <c r="CJ110" s="456"/>
      <c r="CK110" s="456"/>
      <c r="CL110" s="456"/>
      <c r="CM110" s="456"/>
      <c r="CN110" s="456"/>
      <c r="CO110" s="456"/>
      <c r="CP110" s="456"/>
      <c r="CQ110" s="456"/>
      <c r="CR110" s="456"/>
      <c r="CS110" s="456"/>
    </row>
  </sheetData>
  <mergeCells count="266">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 ref="A104:E104"/>
    <mergeCell ref="F104:AU104"/>
    <mergeCell ref="AV104:BL104"/>
    <mergeCell ref="BM104:CC104"/>
    <mergeCell ref="CD104:CS104"/>
    <mergeCell ref="A105:E105"/>
    <mergeCell ref="F105:AU105"/>
    <mergeCell ref="AV105:BL105"/>
    <mergeCell ref="BM105:CC105"/>
    <mergeCell ref="CD105:CS105"/>
    <mergeCell ref="A97:AU97"/>
    <mergeCell ref="AV97:CS97"/>
    <mergeCell ref="A99:CS99"/>
    <mergeCell ref="V101:CS101"/>
    <mergeCell ref="A103:E103"/>
    <mergeCell ref="A91:CS91"/>
    <mergeCell ref="A92:E92"/>
    <mergeCell ref="F92:AU92"/>
    <mergeCell ref="AV92:CS92"/>
    <mergeCell ref="A93:AU93"/>
    <mergeCell ref="AV93:CS93"/>
    <mergeCell ref="F103:AU103"/>
    <mergeCell ref="AV103:BL103"/>
    <mergeCell ref="BM103:CC103"/>
    <mergeCell ref="CD103:CS103"/>
    <mergeCell ref="A94:CS94"/>
    <mergeCell ref="A95:E95"/>
    <mergeCell ref="F95:AU95"/>
    <mergeCell ref="AV95:CS95"/>
    <mergeCell ref="A96:AU96"/>
    <mergeCell ref="AV96:CS96"/>
    <mergeCell ref="A85:CS85"/>
    <mergeCell ref="A87:AU87"/>
    <mergeCell ref="AV87:CS87"/>
    <mergeCell ref="A89:E89"/>
    <mergeCell ref="F89:AU89"/>
    <mergeCell ref="AV89:CS89"/>
    <mergeCell ref="A90:E90"/>
    <mergeCell ref="F90:AU90"/>
    <mergeCell ref="AV90:CS90"/>
    <mergeCell ref="A82:E82"/>
    <mergeCell ref="F82:AL82"/>
    <mergeCell ref="AM82:AU82"/>
    <mergeCell ref="AV82:BL82"/>
    <mergeCell ref="BM82:CC82"/>
    <mergeCell ref="CD82:CS82"/>
    <mergeCell ref="A83:E83"/>
    <mergeCell ref="F83:AU83"/>
    <mergeCell ref="AV83:BL83"/>
    <mergeCell ref="BM83:CC83"/>
    <mergeCell ref="CD83:CS83"/>
    <mergeCell ref="A80:E80"/>
    <mergeCell ref="F80:AL80"/>
    <mergeCell ref="AM80:AU80"/>
    <mergeCell ref="AV80:BL80"/>
    <mergeCell ref="BM80:CC80"/>
    <mergeCell ref="CD80:CS80"/>
    <mergeCell ref="A81:E81"/>
    <mergeCell ref="F81:AL81"/>
    <mergeCell ref="AM81:AU81"/>
    <mergeCell ref="AV81:BL81"/>
    <mergeCell ref="BM81:CC81"/>
    <mergeCell ref="CD81:CS81"/>
    <mergeCell ref="A73:E73"/>
    <mergeCell ref="F73:AU73"/>
    <mergeCell ref="AV73:CS73"/>
    <mergeCell ref="A75:CS75"/>
    <mergeCell ref="A77:AP77"/>
    <mergeCell ref="AQ77:CS77"/>
    <mergeCell ref="A79:E79"/>
    <mergeCell ref="F79:AL79"/>
    <mergeCell ref="AM79:AU79"/>
    <mergeCell ref="AV79:BL79"/>
    <mergeCell ref="BM79:CC79"/>
    <mergeCell ref="CD79:CS79"/>
    <mergeCell ref="A70:E70"/>
    <mergeCell ref="F70:AU70"/>
    <mergeCell ref="AV70:CS70"/>
    <mergeCell ref="A71:E71"/>
    <mergeCell ref="F71:AU71"/>
    <mergeCell ref="AV71:CS71"/>
    <mergeCell ref="A72:E72"/>
    <mergeCell ref="F72:AU72"/>
    <mergeCell ref="AV72:CS72"/>
    <mergeCell ref="A63:E63"/>
    <mergeCell ref="F63:AU63"/>
    <mergeCell ref="AV63:BL63"/>
    <mergeCell ref="BM63:CC63"/>
    <mergeCell ref="CD63:CS63"/>
    <mergeCell ref="A65:CS65"/>
    <mergeCell ref="A67:AP67"/>
    <mergeCell ref="AQ67:CS67"/>
    <mergeCell ref="A69:E69"/>
    <mergeCell ref="F69:AU69"/>
    <mergeCell ref="AV69:CS69"/>
    <mergeCell ref="A61:E61"/>
    <mergeCell ref="F61:AU61"/>
    <mergeCell ref="AV61:BL61"/>
    <mergeCell ref="BM61:CC61"/>
    <mergeCell ref="CD61:CS61"/>
    <mergeCell ref="A62:E62"/>
    <mergeCell ref="F62:AU62"/>
    <mergeCell ref="AV62:BL62"/>
    <mergeCell ref="BM62:CC62"/>
    <mergeCell ref="CD62:CS62"/>
    <mergeCell ref="A55:CS55"/>
    <mergeCell ref="A57:AP57"/>
    <mergeCell ref="AQ57:CS57"/>
    <mergeCell ref="A59:E59"/>
    <mergeCell ref="F59:AU59"/>
    <mergeCell ref="AV59:BL59"/>
    <mergeCell ref="BM59:CC59"/>
    <mergeCell ref="CD59:CS59"/>
    <mergeCell ref="A60:E60"/>
    <mergeCell ref="F60:AU60"/>
    <mergeCell ref="AV60:BL60"/>
    <mergeCell ref="BM60:CC60"/>
    <mergeCell ref="CD60:CS60"/>
    <mergeCell ref="A52:E52"/>
    <mergeCell ref="F52:AU52"/>
    <mergeCell ref="AV52:BL52"/>
    <mergeCell ref="BM52:CC52"/>
    <mergeCell ref="CD52:CS52"/>
    <mergeCell ref="A53:E53"/>
    <mergeCell ref="F53:AU53"/>
    <mergeCell ref="AV53:BL53"/>
    <mergeCell ref="BM53:CC53"/>
    <mergeCell ref="CD53:CS53"/>
    <mergeCell ref="A50:E50"/>
    <mergeCell ref="F50:AU50"/>
    <mergeCell ref="AV50:BL50"/>
    <mergeCell ref="BM50:CC50"/>
    <mergeCell ref="CD50:CS50"/>
    <mergeCell ref="A51:E51"/>
    <mergeCell ref="F51:AU51"/>
    <mergeCell ref="AV51:BL51"/>
    <mergeCell ref="BM51:CC51"/>
    <mergeCell ref="CD51:CS51"/>
    <mergeCell ref="A43:E43"/>
    <mergeCell ref="F43:AU43"/>
    <mergeCell ref="AV43:BL43"/>
    <mergeCell ref="BM43:CC43"/>
    <mergeCell ref="CD43:CS43"/>
    <mergeCell ref="A45:CS45"/>
    <mergeCell ref="A47:AP47"/>
    <mergeCell ref="AQ47:CS47"/>
    <mergeCell ref="A49:E49"/>
    <mergeCell ref="F49:AU49"/>
    <mergeCell ref="AV49:BL49"/>
    <mergeCell ref="BM49:CC49"/>
    <mergeCell ref="CD49:CS49"/>
    <mergeCell ref="A41:E41"/>
    <mergeCell ref="F41:AU41"/>
    <mergeCell ref="AV41:BL41"/>
    <mergeCell ref="BM41:CC41"/>
    <mergeCell ref="CD41:CS41"/>
    <mergeCell ref="A42:E42"/>
    <mergeCell ref="F42:AU42"/>
    <mergeCell ref="AV42:BL42"/>
    <mergeCell ref="BM42:CC42"/>
    <mergeCell ref="CD42:CS42"/>
    <mergeCell ref="A37:CS37"/>
    <mergeCell ref="A39:E39"/>
    <mergeCell ref="F39:AU39"/>
    <mergeCell ref="AV39:BL39"/>
    <mergeCell ref="BM39:CC39"/>
    <mergeCell ref="CD39:CS39"/>
    <mergeCell ref="A40:E40"/>
    <mergeCell ref="F40:AU40"/>
    <mergeCell ref="AV40:BL40"/>
    <mergeCell ref="BM40:CC40"/>
    <mergeCell ref="CD40:CS40"/>
    <mergeCell ref="A34:E34"/>
    <mergeCell ref="F34:AU34"/>
    <mergeCell ref="AV34:BI34"/>
    <mergeCell ref="BJ34:BV34"/>
    <mergeCell ref="BW34:CS34"/>
    <mergeCell ref="A35:E35"/>
    <mergeCell ref="F35:AU35"/>
    <mergeCell ref="AV35:BI35"/>
    <mergeCell ref="BJ35:BV35"/>
    <mergeCell ref="BW35:CS35"/>
    <mergeCell ref="A32:E32"/>
    <mergeCell ref="F32:AU32"/>
    <mergeCell ref="AV32:BI32"/>
    <mergeCell ref="BJ32:BV32"/>
    <mergeCell ref="BW32:CS32"/>
    <mergeCell ref="A33:E33"/>
    <mergeCell ref="F33:AU33"/>
    <mergeCell ref="AV33:BI33"/>
    <mergeCell ref="BJ33:BV33"/>
    <mergeCell ref="BW33:CS33"/>
    <mergeCell ref="A28:CS28"/>
    <mergeCell ref="A30:E30"/>
    <mergeCell ref="F30:AU30"/>
    <mergeCell ref="AV30:BI30"/>
    <mergeCell ref="BJ30:BV30"/>
    <mergeCell ref="BW30:CS30"/>
    <mergeCell ref="A31:E31"/>
    <mergeCell ref="F31:AU31"/>
    <mergeCell ref="AV31:BI31"/>
    <mergeCell ref="BJ31:BV31"/>
    <mergeCell ref="BW31:CS31"/>
    <mergeCell ref="A24:E24"/>
    <mergeCell ref="F24:AU24"/>
    <mergeCell ref="AV24:CS24"/>
    <mergeCell ref="A25:E25"/>
    <mergeCell ref="F25:AU25"/>
    <mergeCell ref="AV25:CS25"/>
    <mergeCell ref="A26:E26"/>
    <mergeCell ref="F26:AU26"/>
    <mergeCell ref="AV26:CS26"/>
    <mergeCell ref="A16:CS16"/>
    <mergeCell ref="A18:AP18"/>
    <mergeCell ref="AQ18:CS18"/>
    <mergeCell ref="A20:CS20"/>
    <mergeCell ref="A22:E22"/>
    <mergeCell ref="F22:AU22"/>
    <mergeCell ref="AV22:CS22"/>
    <mergeCell ref="A23:E23"/>
    <mergeCell ref="F23:AU23"/>
    <mergeCell ref="AV23:CS23"/>
    <mergeCell ref="A13:E13"/>
    <mergeCell ref="F13:AU13"/>
    <mergeCell ref="AV13:BL13"/>
    <mergeCell ref="BM13:CC13"/>
    <mergeCell ref="CD13:CS13"/>
    <mergeCell ref="A14:AU14"/>
    <mergeCell ref="AV14:BL14"/>
    <mergeCell ref="BM14:CC14"/>
    <mergeCell ref="CD14:CS14"/>
    <mergeCell ref="A11:E11"/>
    <mergeCell ref="F11:AU11"/>
    <mergeCell ref="AV11:BL11"/>
    <mergeCell ref="BM11:CC11"/>
    <mergeCell ref="CD11:CS11"/>
    <mergeCell ref="A12:E12"/>
    <mergeCell ref="F12:AU12"/>
    <mergeCell ref="AV12:BL12"/>
    <mergeCell ref="BM12:CC12"/>
    <mergeCell ref="CD12:CS12"/>
    <mergeCell ref="A2:CS2"/>
    <mergeCell ref="A4:CS4"/>
    <mergeCell ref="A6:CS6"/>
    <mergeCell ref="A8:AP8"/>
    <mergeCell ref="AQ8:CS8"/>
    <mergeCell ref="A10:E10"/>
    <mergeCell ref="F10:AU10"/>
    <mergeCell ref="AV10:BL10"/>
    <mergeCell ref="BM10:CC10"/>
    <mergeCell ref="CD10:CS10"/>
  </mergeCells>
  <pageMargins left="0.98425196850393704" right="0.39370078740157483" top="0.59055118110236227" bottom="0.59055118110236227" header="0.31496062992125984" footer="0.31496062992125984"/>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D110"/>
  <sheetViews>
    <sheetView view="pageBreakPreview" topLeftCell="E1" zoomScale="92" zoomScaleNormal="85" zoomScaleSheetLayoutView="92" workbookViewId="0">
      <selection activeCell="CD110" sqref="CD110:CS110"/>
    </sheetView>
  </sheetViews>
  <sheetFormatPr defaultColWidth="0.88671875" defaultRowHeight="13.8" x14ac:dyDescent="0.25"/>
  <cols>
    <col min="1" max="97" width="1.109375" style="13" customWidth="1"/>
    <col min="98" max="100" width="0.88671875" style="13"/>
    <col min="101" max="103" width="38.66406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25" t="s">
        <v>949</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c r="CI2" s="525"/>
      <c r="CJ2" s="525"/>
      <c r="CK2" s="525"/>
      <c r="CL2" s="525"/>
      <c r="CM2" s="525"/>
      <c r="CN2" s="525"/>
      <c r="CO2" s="525"/>
      <c r="CP2" s="525"/>
      <c r="CQ2" s="525"/>
      <c r="CR2" s="525"/>
      <c r="CS2" s="525"/>
    </row>
    <row r="3" spans="1:97" ht="19.5" customHeight="1" x14ac:dyDescent="0.25">
      <c r="A3" s="13" t="s">
        <v>465</v>
      </c>
    </row>
    <row r="4" spans="1:97" ht="15.6" x14ac:dyDescent="0.3">
      <c r="A4" s="347" t="s">
        <v>249</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row>
    <row r="5" spans="1:97" ht="19.5" customHeight="1" x14ac:dyDescent="0.25"/>
    <row r="6" spans="1:97" s="20" customFormat="1" ht="15.6" hidden="1" x14ac:dyDescent="0.3">
      <c r="A6" s="470" t="s">
        <v>250</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row>
    <row r="7" spans="1:97" ht="6" hidden="1" customHeight="1" x14ac:dyDescent="0.25"/>
    <row r="8" spans="1:97" s="20" customFormat="1" ht="15.6" hidden="1" x14ac:dyDescent="0.3">
      <c r="A8" s="470" t="s">
        <v>268</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c r="BW8" s="490"/>
      <c r="BX8" s="490"/>
      <c r="BY8" s="490"/>
      <c r="BZ8" s="490"/>
      <c r="CA8" s="490"/>
      <c r="CB8" s="490"/>
      <c r="CC8" s="490"/>
      <c r="CD8" s="490"/>
      <c r="CE8" s="490"/>
      <c r="CF8" s="490"/>
      <c r="CG8" s="490"/>
      <c r="CH8" s="490"/>
      <c r="CI8" s="490"/>
      <c r="CJ8" s="490"/>
      <c r="CK8" s="490"/>
      <c r="CL8" s="490"/>
      <c r="CM8" s="490"/>
      <c r="CN8" s="490"/>
      <c r="CO8" s="490"/>
      <c r="CP8" s="490"/>
      <c r="CQ8" s="490"/>
      <c r="CR8" s="490"/>
      <c r="CS8" s="490"/>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485" t="s">
        <v>263</v>
      </c>
      <c r="B10" s="485"/>
      <c r="C10" s="485"/>
      <c r="D10" s="485"/>
      <c r="E10" s="485"/>
      <c r="F10" s="485" t="s">
        <v>0</v>
      </c>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72" t="s">
        <v>295</v>
      </c>
      <c r="AW10" s="473"/>
      <c r="AX10" s="473"/>
      <c r="AY10" s="473"/>
      <c r="AZ10" s="473"/>
      <c r="BA10" s="473"/>
      <c r="BB10" s="473"/>
      <c r="BC10" s="473"/>
      <c r="BD10" s="473"/>
      <c r="BE10" s="473"/>
      <c r="BF10" s="473"/>
      <c r="BG10" s="473"/>
      <c r="BH10" s="473"/>
      <c r="BI10" s="473"/>
      <c r="BJ10" s="473"/>
      <c r="BK10" s="473"/>
      <c r="BL10" s="474"/>
      <c r="BM10" s="472" t="s">
        <v>243</v>
      </c>
      <c r="BN10" s="473"/>
      <c r="BO10" s="473"/>
      <c r="BP10" s="473"/>
      <c r="BQ10" s="473"/>
      <c r="BR10" s="473"/>
      <c r="BS10" s="473"/>
      <c r="BT10" s="473"/>
      <c r="BU10" s="473"/>
      <c r="BV10" s="473"/>
      <c r="BW10" s="473"/>
      <c r="BX10" s="473"/>
      <c r="BY10" s="473"/>
      <c r="BZ10" s="473"/>
      <c r="CA10" s="473"/>
      <c r="CB10" s="473"/>
      <c r="CC10" s="474"/>
      <c r="CD10" s="472" t="s">
        <v>244</v>
      </c>
      <c r="CE10" s="473"/>
      <c r="CF10" s="473"/>
      <c r="CG10" s="473"/>
      <c r="CH10" s="473"/>
      <c r="CI10" s="473"/>
      <c r="CJ10" s="473"/>
      <c r="CK10" s="473"/>
      <c r="CL10" s="473"/>
      <c r="CM10" s="473"/>
      <c r="CN10" s="473"/>
      <c r="CO10" s="473"/>
      <c r="CP10" s="473"/>
      <c r="CQ10" s="473"/>
      <c r="CR10" s="473"/>
      <c r="CS10" s="474"/>
    </row>
    <row r="11" spans="1:97" s="22" customFormat="1" hidden="1" x14ac:dyDescent="0.3">
      <c r="A11" s="465">
        <v>1</v>
      </c>
      <c r="B11" s="465"/>
      <c r="C11" s="465"/>
      <c r="D11" s="465"/>
      <c r="E11" s="465"/>
      <c r="F11" s="465">
        <v>2</v>
      </c>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v>3</v>
      </c>
      <c r="AW11" s="465"/>
      <c r="AX11" s="465"/>
      <c r="AY11" s="465"/>
      <c r="AZ11" s="465"/>
      <c r="BA11" s="465"/>
      <c r="BB11" s="465"/>
      <c r="BC11" s="465"/>
      <c r="BD11" s="465"/>
      <c r="BE11" s="465"/>
      <c r="BF11" s="465"/>
      <c r="BG11" s="465"/>
      <c r="BH11" s="465"/>
      <c r="BI11" s="465"/>
      <c r="BJ11" s="465"/>
      <c r="BK11" s="465"/>
      <c r="BL11" s="465"/>
      <c r="BM11" s="465">
        <v>4</v>
      </c>
      <c r="BN11" s="465"/>
      <c r="BO11" s="465"/>
      <c r="BP11" s="465"/>
      <c r="BQ11" s="465"/>
      <c r="BR11" s="465"/>
      <c r="BS11" s="465"/>
      <c r="BT11" s="465"/>
      <c r="BU11" s="465"/>
      <c r="BV11" s="465"/>
      <c r="BW11" s="465"/>
      <c r="BX11" s="465"/>
      <c r="BY11" s="465"/>
      <c r="BZ11" s="465"/>
      <c r="CA11" s="465"/>
      <c r="CB11" s="465"/>
      <c r="CC11" s="465"/>
      <c r="CD11" s="465">
        <v>5</v>
      </c>
      <c r="CE11" s="465"/>
      <c r="CF11" s="465"/>
      <c r="CG11" s="465"/>
      <c r="CH11" s="465"/>
      <c r="CI11" s="465"/>
      <c r="CJ11" s="465"/>
      <c r="CK11" s="465"/>
      <c r="CL11" s="465"/>
      <c r="CM11" s="465"/>
      <c r="CN11" s="465"/>
      <c r="CO11" s="465"/>
      <c r="CP11" s="465"/>
      <c r="CQ11" s="465"/>
      <c r="CR11" s="465"/>
      <c r="CS11" s="465"/>
    </row>
    <row r="12" spans="1:97" s="23" customFormat="1" ht="15" hidden="1" customHeight="1" x14ac:dyDescent="0.3">
      <c r="A12" s="453"/>
      <c r="B12" s="454"/>
      <c r="C12" s="454"/>
      <c r="D12" s="454"/>
      <c r="E12" s="455"/>
      <c r="F12" s="446"/>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8"/>
      <c r="AV12" s="460"/>
      <c r="AW12" s="461"/>
      <c r="AX12" s="461"/>
      <c r="AY12" s="461"/>
      <c r="AZ12" s="461"/>
      <c r="BA12" s="461"/>
      <c r="BB12" s="461"/>
      <c r="BC12" s="461"/>
      <c r="BD12" s="461"/>
      <c r="BE12" s="461"/>
      <c r="BF12" s="461"/>
      <c r="BG12" s="461"/>
      <c r="BH12" s="461"/>
      <c r="BI12" s="461"/>
      <c r="BJ12" s="461"/>
      <c r="BK12" s="461"/>
      <c r="BL12" s="462"/>
      <c r="BM12" s="460"/>
      <c r="BN12" s="461"/>
      <c r="BO12" s="461"/>
      <c r="BP12" s="461"/>
      <c r="BQ12" s="461"/>
      <c r="BR12" s="461"/>
      <c r="BS12" s="461"/>
      <c r="BT12" s="461"/>
      <c r="BU12" s="461"/>
      <c r="BV12" s="461"/>
      <c r="BW12" s="461"/>
      <c r="BX12" s="461"/>
      <c r="BY12" s="461"/>
      <c r="BZ12" s="461"/>
      <c r="CA12" s="461"/>
      <c r="CB12" s="461"/>
      <c r="CC12" s="462"/>
      <c r="CD12" s="460"/>
      <c r="CE12" s="461"/>
      <c r="CF12" s="461"/>
      <c r="CG12" s="461"/>
      <c r="CH12" s="461"/>
      <c r="CI12" s="461"/>
      <c r="CJ12" s="461"/>
      <c r="CK12" s="461"/>
      <c r="CL12" s="461"/>
      <c r="CM12" s="461"/>
      <c r="CN12" s="461"/>
      <c r="CO12" s="461"/>
      <c r="CP12" s="461"/>
      <c r="CQ12" s="461"/>
      <c r="CR12" s="461"/>
      <c r="CS12" s="462"/>
    </row>
    <row r="13" spans="1:97" s="23" customFormat="1" ht="15" hidden="1" customHeight="1" x14ac:dyDescent="0.3">
      <c r="A13" s="453"/>
      <c r="B13" s="454"/>
      <c r="C13" s="454"/>
      <c r="D13" s="454"/>
      <c r="E13" s="455"/>
      <c r="F13" s="446"/>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8"/>
      <c r="AV13" s="460"/>
      <c r="AW13" s="461"/>
      <c r="AX13" s="461"/>
      <c r="AY13" s="461"/>
      <c r="AZ13" s="461"/>
      <c r="BA13" s="461"/>
      <c r="BB13" s="461"/>
      <c r="BC13" s="461"/>
      <c r="BD13" s="461"/>
      <c r="BE13" s="461"/>
      <c r="BF13" s="461"/>
      <c r="BG13" s="461"/>
      <c r="BH13" s="461"/>
      <c r="BI13" s="461"/>
      <c r="BJ13" s="461"/>
      <c r="BK13" s="461"/>
      <c r="BL13" s="462"/>
      <c r="BM13" s="460"/>
      <c r="BN13" s="461"/>
      <c r="BO13" s="461"/>
      <c r="BP13" s="461"/>
      <c r="BQ13" s="461"/>
      <c r="BR13" s="461"/>
      <c r="BS13" s="461"/>
      <c r="BT13" s="461"/>
      <c r="BU13" s="461"/>
      <c r="BV13" s="461"/>
      <c r="BW13" s="461"/>
      <c r="BX13" s="461"/>
      <c r="BY13" s="461"/>
      <c r="BZ13" s="461"/>
      <c r="CA13" s="461"/>
      <c r="CB13" s="461"/>
      <c r="CC13" s="462"/>
      <c r="CD13" s="460"/>
      <c r="CE13" s="461"/>
      <c r="CF13" s="461"/>
      <c r="CG13" s="461"/>
      <c r="CH13" s="461"/>
      <c r="CI13" s="461"/>
      <c r="CJ13" s="461"/>
      <c r="CK13" s="461"/>
      <c r="CL13" s="461"/>
      <c r="CM13" s="461"/>
      <c r="CN13" s="461"/>
      <c r="CO13" s="461"/>
      <c r="CP13" s="461"/>
      <c r="CQ13" s="461"/>
      <c r="CR13" s="461"/>
      <c r="CS13" s="462"/>
    </row>
    <row r="14" spans="1:97" s="23" customFormat="1" ht="15" hidden="1" customHeight="1" x14ac:dyDescent="0.3">
      <c r="A14" s="469" t="s">
        <v>56</v>
      </c>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4"/>
      <c r="AV14" s="460" t="s">
        <v>4</v>
      </c>
      <c r="AW14" s="461"/>
      <c r="AX14" s="461"/>
      <c r="AY14" s="461"/>
      <c r="AZ14" s="461"/>
      <c r="BA14" s="461"/>
      <c r="BB14" s="461"/>
      <c r="BC14" s="461"/>
      <c r="BD14" s="461"/>
      <c r="BE14" s="461"/>
      <c r="BF14" s="461"/>
      <c r="BG14" s="461"/>
      <c r="BH14" s="461"/>
      <c r="BI14" s="461"/>
      <c r="BJ14" s="461"/>
      <c r="BK14" s="461"/>
      <c r="BL14" s="462"/>
      <c r="BM14" s="460"/>
      <c r="BN14" s="461"/>
      <c r="BO14" s="461"/>
      <c r="BP14" s="461"/>
      <c r="BQ14" s="461"/>
      <c r="BR14" s="461"/>
      <c r="BS14" s="461"/>
      <c r="BT14" s="461"/>
      <c r="BU14" s="461"/>
      <c r="BV14" s="461"/>
      <c r="BW14" s="461"/>
      <c r="BX14" s="461"/>
      <c r="BY14" s="461"/>
      <c r="BZ14" s="461"/>
      <c r="CA14" s="461"/>
      <c r="CB14" s="461"/>
      <c r="CC14" s="462"/>
      <c r="CD14" s="460"/>
      <c r="CE14" s="461"/>
      <c r="CF14" s="461"/>
      <c r="CG14" s="461"/>
      <c r="CH14" s="461"/>
      <c r="CI14" s="461"/>
      <c r="CJ14" s="461"/>
      <c r="CK14" s="461"/>
      <c r="CL14" s="461"/>
      <c r="CM14" s="461"/>
      <c r="CN14" s="461"/>
      <c r="CO14" s="461"/>
      <c r="CP14" s="461"/>
      <c r="CQ14" s="461"/>
      <c r="CR14" s="461"/>
      <c r="CS14" s="462"/>
    </row>
    <row r="15" spans="1:97" ht="12" hidden="1" customHeight="1" x14ac:dyDescent="0.25"/>
    <row r="16" spans="1:97" s="20" customFormat="1" ht="15.6" x14ac:dyDescent="0.3">
      <c r="A16" s="470" t="s">
        <v>261</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470" t="s">
        <v>268</v>
      </c>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90" t="s">
        <v>440</v>
      </c>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24" t="s">
        <v>339</v>
      </c>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c r="CK20" s="524"/>
      <c r="CL20" s="524"/>
      <c r="CM20" s="524"/>
      <c r="CN20" s="524"/>
      <c r="CO20" s="524"/>
      <c r="CP20" s="524"/>
      <c r="CQ20" s="524"/>
      <c r="CR20" s="524"/>
      <c r="CS20" s="524"/>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1" s="21" customFormat="1" ht="78.75" customHeight="1" x14ac:dyDescent="0.3">
      <c r="A22" s="485" t="s">
        <v>263</v>
      </c>
      <c r="B22" s="485"/>
      <c r="C22" s="485"/>
      <c r="D22" s="485"/>
      <c r="E22" s="485"/>
      <c r="F22" s="485" t="s">
        <v>0</v>
      </c>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7" t="s">
        <v>308</v>
      </c>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9"/>
    </row>
    <row r="23" spans="1:101" s="22" customFormat="1" x14ac:dyDescent="0.3">
      <c r="A23" s="465">
        <v>1</v>
      </c>
      <c r="B23" s="465"/>
      <c r="C23" s="465"/>
      <c r="D23" s="465"/>
      <c r="E23" s="465"/>
      <c r="F23" s="465">
        <v>2</v>
      </c>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6">
        <v>3</v>
      </c>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67"/>
      <c r="CO23" s="467"/>
      <c r="CP23" s="467"/>
      <c r="CQ23" s="467"/>
      <c r="CR23" s="467"/>
      <c r="CS23" s="468"/>
      <c r="CW23" s="59">
        <f>'Раздел 1'!I27</f>
        <v>137757600</v>
      </c>
    </row>
    <row r="24" spans="1:101" s="23" customFormat="1" ht="15" customHeight="1" x14ac:dyDescent="0.3">
      <c r="A24" s="452" t="s">
        <v>441</v>
      </c>
      <c r="B24" s="452"/>
      <c r="C24" s="452"/>
      <c r="D24" s="452"/>
      <c r="E24" s="452"/>
      <c r="F24" s="459" t="s">
        <v>442</v>
      </c>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97">
        <v>124110600</v>
      </c>
      <c r="AW24" s="498"/>
      <c r="AX24" s="498"/>
      <c r="AY24" s="498"/>
      <c r="AZ24" s="498"/>
      <c r="BA24" s="498"/>
      <c r="BB24" s="498"/>
      <c r="BC24" s="498"/>
      <c r="BD24" s="498"/>
      <c r="BE24" s="498"/>
      <c r="BF24" s="498"/>
      <c r="BG24" s="498"/>
      <c r="BH24" s="498"/>
      <c r="BI24" s="498"/>
      <c r="BJ24" s="498"/>
      <c r="BK24" s="498"/>
      <c r="BL24" s="498"/>
      <c r="BM24" s="498"/>
      <c r="BN24" s="498"/>
      <c r="BO24" s="498"/>
      <c r="BP24" s="498"/>
      <c r="BQ24" s="498"/>
      <c r="BR24" s="498"/>
      <c r="BS24" s="498"/>
      <c r="BT24" s="498"/>
      <c r="BU24" s="498"/>
      <c r="BV24" s="498"/>
      <c r="BW24" s="498"/>
      <c r="BX24" s="498"/>
      <c r="BY24" s="498"/>
      <c r="BZ24" s="498"/>
      <c r="CA24" s="498"/>
      <c r="CB24" s="498"/>
      <c r="CC24" s="498"/>
      <c r="CD24" s="498"/>
      <c r="CE24" s="498"/>
      <c r="CF24" s="498"/>
      <c r="CG24" s="498"/>
      <c r="CH24" s="498"/>
      <c r="CI24" s="498"/>
      <c r="CJ24" s="498"/>
      <c r="CK24" s="498"/>
      <c r="CL24" s="498"/>
      <c r="CM24" s="498"/>
      <c r="CN24" s="498"/>
      <c r="CO24" s="498"/>
      <c r="CP24" s="498"/>
      <c r="CQ24" s="498"/>
      <c r="CR24" s="498"/>
      <c r="CS24" s="499"/>
      <c r="CW24" s="55">
        <f>AV26+BW35+CD43-AV25</f>
        <v>137445200</v>
      </c>
    </row>
    <row r="25" spans="1:101" s="23" customFormat="1" ht="15" customHeight="1" x14ac:dyDescent="0.3">
      <c r="A25" s="452" t="s">
        <v>444</v>
      </c>
      <c r="B25" s="452"/>
      <c r="C25" s="452"/>
      <c r="D25" s="452"/>
      <c r="E25" s="452"/>
      <c r="F25" s="459" t="s">
        <v>871</v>
      </c>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97">
        <v>312400</v>
      </c>
      <c r="AW25" s="498"/>
      <c r="AX25" s="498"/>
      <c r="AY25" s="498"/>
      <c r="AZ25" s="498"/>
      <c r="BA25" s="498"/>
      <c r="BB25" s="498"/>
      <c r="BC25" s="498"/>
      <c r="BD25" s="498"/>
      <c r="BE25" s="498"/>
      <c r="BF25" s="498"/>
      <c r="BG25" s="498"/>
      <c r="BH25" s="498"/>
      <c r="BI25" s="498"/>
      <c r="BJ25" s="498"/>
      <c r="BK25" s="498"/>
      <c r="BL25" s="498"/>
      <c r="BM25" s="498"/>
      <c r="BN25" s="498"/>
      <c r="BO25" s="498"/>
      <c r="BP25" s="498"/>
      <c r="BQ25" s="498"/>
      <c r="BR25" s="498"/>
      <c r="BS25" s="498"/>
      <c r="BT25" s="498"/>
      <c r="BU25" s="498"/>
      <c r="BV25" s="498"/>
      <c r="BW25" s="498"/>
      <c r="BX25" s="498"/>
      <c r="BY25" s="498"/>
      <c r="BZ25" s="498"/>
      <c r="CA25" s="498"/>
      <c r="CB25" s="498"/>
      <c r="CC25" s="498"/>
      <c r="CD25" s="498"/>
      <c r="CE25" s="498"/>
      <c r="CF25" s="498"/>
      <c r="CG25" s="498"/>
      <c r="CH25" s="498"/>
      <c r="CI25" s="498"/>
      <c r="CJ25" s="498"/>
      <c r="CK25" s="498"/>
      <c r="CL25" s="498"/>
      <c r="CM25" s="498"/>
      <c r="CN25" s="498"/>
      <c r="CO25" s="498"/>
      <c r="CP25" s="498"/>
      <c r="CQ25" s="498"/>
      <c r="CR25" s="498"/>
      <c r="CS25" s="499"/>
      <c r="CW25" s="55">
        <f>CW23-CW24</f>
        <v>312400</v>
      </c>
    </row>
    <row r="26" spans="1:101" s="23" customFormat="1" ht="15" customHeight="1" x14ac:dyDescent="0.3">
      <c r="A26" s="452"/>
      <c r="B26" s="452"/>
      <c r="C26" s="452"/>
      <c r="D26" s="452"/>
      <c r="E26" s="452"/>
      <c r="F26" s="463" t="s">
        <v>56</v>
      </c>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4"/>
      <c r="AV26" s="493">
        <f>SUM(AV24:AV25)</f>
        <v>124423000</v>
      </c>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3"/>
      <c r="CW26" s="56"/>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W27" s="56"/>
    </row>
    <row r="28" spans="1:101" s="23" customFormat="1" ht="26.25" customHeight="1" x14ac:dyDescent="0.25">
      <c r="A28" s="524" t="s">
        <v>335</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c r="CK28" s="524"/>
      <c r="CL28" s="524"/>
      <c r="CM28" s="524"/>
      <c r="CN28" s="524"/>
      <c r="CO28" s="524"/>
      <c r="CP28" s="524"/>
      <c r="CQ28" s="524"/>
      <c r="CR28" s="524"/>
      <c r="CS28" s="524"/>
      <c r="CW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1" s="21" customFormat="1" ht="96" customHeight="1" x14ac:dyDescent="0.3">
      <c r="A30" s="485" t="s">
        <v>263</v>
      </c>
      <c r="B30" s="485"/>
      <c r="C30" s="485"/>
      <c r="D30" s="485"/>
      <c r="E30" s="485"/>
      <c r="F30" s="485" t="s">
        <v>272</v>
      </c>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t="s">
        <v>246</v>
      </c>
      <c r="AW30" s="485"/>
      <c r="AX30" s="485"/>
      <c r="AY30" s="485"/>
      <c r="AZ30" s="485"/>
      <c r="BA30" s="485"/>
      <c r="BB30" s="485"/>
      <c r="BC30" s="485"/>
      <c r="BD30" s="485"/>
      <c r="BE30" s="485"/>
      <c r="BF30" s="485"/>
      <c r="BG30" s="485"/>
      <c r="BH30" s="485"/>
      <c r="BI30" s="485"/>
      <c r="BJ30" s="485" t="s">
        <v>267</v>
      </c>
      <c r="BK30" s="485"/>
      <c r="BL30" s="485"/>
      <c r="BM30" s="485"/>
      <c r="BN30" s="485"/>
      <c r="BO30" s="485"/>
      <c r="BP30" s="485"/>
      <c r="BQ30" s="485"/>
      <c r="BR30" s="485"/>
      <c r="BS30" s="485"/>
      <c r="BT30" s="485"/>
      <c r="BU30" s="485"/>
      <c r="BV30" s="485"/>
      <c r="BW30" s="485" t="s">
        <v>266</v>
      </c>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row>
    <row r="31" spans="1:101" s="22" customFormat="1" x14ac:dyDescent="0.3">
      <c r="A31" s="465">
        <v>1</v>
      </c>
      <c r="B31" s="465"/>
      <c r="C31" s="465"/>
      <c r="D31" s="465"/>
      <c r="E31" s="465"/>
      <c r="F31" s="465">
        <v>2</v>
      </c>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v>3</v>
      </c>
      <c r="AW31" s="465"/>
      <c r="AX31" s="465"/>
      <c r="AY31" s="465"/>
      <c r="AZ31" s="465"/>
      <c r="BA31" s="465"/>
      <c r="BB31" s="465"/>
      <c r="BC31" s="465"/>
      <c r="BD31" s="465"/>
      <c r="BE31" s="465"/>
      <c r="BF31" s="465"/>
      <c r="BG31" s="465"/>
      <c r="BH31" s="465"/>
      <c r="BI31" s="465"/>
      <c r="BJ31" s="465">
        <v>4</v>
      </c>
      <c r="BK31" s="465"/>
      <c r="BL31" s="465"/>
      <c r="BM31" s="465"/>
      <c r="BN31" s="465"/>
      <c r="BO31" s="465"/>
      <c r="BP31" s="465"/>
      <c r="BQ31" s="465"/>
      <c r="BR31" s="465"/>
      <c r="BS31" s="465"/>
      <c r="BT31" s="465"/>
      <c r="BU31" s="465"/>
      <c r="BV31" s="465"/>
      <c r="BW31" s="465">
        <v>5</v>
      </c>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row>
    <row r="32" spans="1:101" s="22" customFormat="1" x14ac:dyDescent="0.3">
      <c r="A32" s="465" t="s">
        <v>441</v>
      </c>
      <c r="B32" s="465"/>
      <c r="C32" s="465"/>
      <c r="D32" s="465"/>
      <c r="E32" s="465"/>
      <c r="F32" s="509" t="s">
        <v>443</v>
      </c>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1"/>
      <c r="AV32" s="465">
        <v>48</v>
      </c>
      <c r="AW32" s="465"/>
      <c r="AX32" s="465"/>
      <c r="AY32" s="465"/>
      <c r="AZ32" s="465"/>
      <c r="BA32" s="465"/>
      <c r="BB32" s="465"/>
      <c r="BC32" s="465"/>
      <c r="BD32" s="465"/>
      <c r="BE32" s="465"/>
      <c r="BF32" s="465"/>
      <c r="BG32" s="465"/>
      <c r="BH32" s="465"/>
      <c r="BI32" s="465"/>
      <c r="BJ32" s="518">
        <f>BW32/AV32</f>
        <v>256466.66666666666</v>
      </c>
      <c r="BK32" s="519"/>
      <c r="BL32" s="519"/>
      <c r="BM32" s="519"/>
      <c r="BN32" s="519"/>
      <c r="BO32" s="519"/>
      <c r="BP32" s="519"/>
      <c r="BQ32" s="519"/>
      <c r="BR32" s="519"/>
      <c r="BS32" s="519"/>
      <c r="BT32" s="519"/>
      <c r="BU32" s="519"/>
      <c r="BV32" s="520"/>
      <c r="BW32" s="521">
        <v>12310400</v>
      </c>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3"/>
    </row>
    <row r="33" spans="1:97" s="22" customFormat="1" x14ac:dyDescent="0.3">
      <c r="A33" s="465" t="s">
        <v>444</v>
      </c>
      <c r="B33" s="465"/>
      <c r="C33" s="465"/>
      <c r="D33" s="465"/>
      <c r="E33" s="465"/>
      <c r="F33" s="509" t="s">
        <v>445</v>
      </c>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1"/>
      <c r="AV33" s="465">
        <v>30</v>
      </c>
      <c r="AW33" s="465"/>
      <c r="AX33" s="465"/>
      <c r="AY33" s="465"/>
      <c r="AZ33" s="465"/>
      <c r="BA33" s="465"/>
      <c r="BB33" s="465"/>
      <c r="BC33" s="465"/>
      <c r="BD33" s="465"/>
      <c r="BE33" s="465"/>
      <c r="BF33" s="465"/>
      <c r="BG33" s="465"/>
      <c r="BH33" s="465"/>
      <c r="BI33" s="465"/>
      <c r="BJ33" s="512">
        <f>BW33/AV33</f>
        <v>3726.6666666666665</v>
      </c>
      <c r="BK33" s="513"/>
      <c r="BL33" s="513"/>
      <c r="BM33" s="513"/>
      <c r="BN33" s="513"/>
      <c r="BO33" s="513"/>
      <c r="BP33" s="513"/>
      <c r="BQ33" s="513"/>
      <c r="BR33" s="513"/>
      <c r="BS33" s="513"/>
      <c r="BT33" s="513"/>
      <c r="BU33" s="513"/>
      <c r="BV33" s="514"/>
      <c r="BW33" s="515">
        <v>111800</v>
      </c>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7"/>
    </row>
    <row r="34" spans="1:97" s="22" customFormat="1" x14ac:dyDescent="0.3">
      <c r="A34" s="465" t="s">
        <v>446</v>
      </c>
      <c r="B34" s="465"/>
      <c r="C34" s="465"/>
      <c r="D34" s="465"/>
      <c r="E34" s="465"/>
      <c r="F34" s="509" t="s">
        <v>447</v>
      </c>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1"/>
      <c r="AV34" s="465">
        <v>70</v>
      </c>
      <c r="AW34" s="465"/>
      <c r="AX34" s="465"/>
      <c r="AY34" s="465"/>
      <c r="AZ34" s="465"/>
      <c r="BA34" s="465"/>
      <c r="BB34" s="465"/>
      <c r="BC34" s="465"/>
      <c r="BD34" s="465"/>
      <c r="BE34" s="465"/>
      <c r="BF34" s="465"/>
      <c r="BG34" s="465"/>
      <c r="BH34" s="465"/>
      <c r="BI34" s="465"/>
      <c r="BJ34" s="512">
        <f>BW34/AV34</f>
        <v>6177.1428571428569</v>
      </c>
      <c r="BK34" s="513"/>
      <c r="BL34" s="513"/>
      <c r="BM34" s="513"/>
      <c r="BN34" s="513"/>
      <c r="BO34" s="513"/>
      <c r="BP34" s="513"/>
      <c r="BQ34" s="513"/>
      <c r="BR34" s="513"/>
      <c r="BS34" s="513"/>
      <c r="BT34" s="513"/>
      <c r="BU34" s="513"/>
      <c r="BV34" s="514"/>
      <c r="BW34" s="515">
        <v>432400</v>
      </c>
      <c r="BX34" s="516"/>
      <c r="BY34" s="516"/>
      <c r="BZ34" s="516"/>
      <c r="CA34" s="516"/>
      <c r="CB34" s="516"/>
      <c r="CC34" s="516"/>
      <c r="CD34" s="516"/>
      <c r="CE34" s="516"/>
      <c r="CF34" s="516"/>
      <c r="CG34" s="516"/>
      <c r="CH34" s="516"/>
      <c r="CI34" s="516"/>
      <c r="CJ34" s="516"/>
      <c r="CK34" s="516"/>
      <c r="CL34" s="516"/>
      <c r="CM34" s="516"/>
      <c r="CN34" s="516"/>
      <c r="CO34" s="516"/>
      <c r="CP34" s="516"/>
      <c r="CQ34" s="516"/>
      <c r="CR34" s="516"/>
      <c r="CS34" s="517"/>
    </row>
    <row r="35" spans="1:97" s="22" customFormat="1" x14ac:dyDescent="0.3">
      <c r="A35" s="465"/>
      <c r="B35" s="465"/>
      <c r="C35" s="465"/>
      <c r="D35" s="465"/>
      <c r="E35" s="465"/>
      <c r="F35" s="505" t="s">
        <v>37</v>
      </c>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507">
        <f>SUM(BW32:BW34)</f>
        <v>12854600</v>
      </c>
      <c r="BX35" s="508"/>
      <c r="BY35" s="508"/>
      <c r="BZ35" s="508"/>
      <c r="CA35" s="508"/>
      <c r="CB35" s="508"/>
      <c r="CC35" s="508"/>
      <c r="CD35" s="508"/>
      <c r="CE35" s="508"/>
      <c r="CF35" s="508"/>
      <c r="CG35" s="508"/>
      <c r="CH35" s="508"/>
      <c r="CI35" s="508"/>
      <c r="CJ35" s="508"/>
      <c r="CK35" s="508"/>
      <c r="CL35" s="508"/>
      <c r="CM35" s="508"/>
      <c r="CN35" s="508"/>
      <c r="CO35" s="508"/>
      <c r="CP35" s="508"/>
      <c r="CQ35" s="508"/>
      <c r="CR35" s="508"/>
      <c r="CS35" s="508"/>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70" t="s">
        <v>294</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485" t="s">
        <v>263</v>
      </c>
      <c r="B39" s="485"/>
      <c r="C39" s="485"/>
      <c r="D39" s="485"/>
      <c r="E39" s="485"/>
      <c r="F39" s="485" t="s">
        <v>245</v>
      </c>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t="s">
        <v>299</v>
      </c>
      <c r="AW39" s="485"/>
      <c r="AX39" s="485"/>
      <c r="AY39" s="485"/>
      <c r="AZ39" s="485"/>
      <c r="BA39" s="485"/>
      <c r="BB39" s="485"/>
      <c r="BC39" s="485"/>
      <c r="BD39" s="485"/>
      <c r="BE39" s="485"/>
      <c r="BF39" s="485"/>
      <c r="BG39" s="485"/>
      <c r="BH39" s="485"/>
      <c r="BI39" s="485"/>
      <c r="BJ39" s="485"/>
      <c r="BK39" s="485"/>
      <c r="BL39" s="485"/>
      <c r="BM39" s="485" t="s">
        <v>300</v>
      </c>
      <c r="BN39" s="485"/>
      <c r="BO39" s="485"/>
      <c r="BP39" s="485"/>
      <c r="BQ39" s="485"/>
      <c r="BR39" s="485"/>
      <c r="BS39" s="485"/>
      <c r="BT39" s="485"/>
      <c r="BU39" s="485"/>
      <c r="BV39" s="485"/>
      <c r="BW39" s="485"/>
      <c r="BX39" s="485"/>
      <c r="BY39" s="485"/>
      <c r="BZ39" s="485"/>
      <c r="CA39" s="485"/>
      <c r="CB39" s="485"/>
      <c r="CC39" s="485"/>
      <c r="CD39" s="485" t="s">
        <v>244</v>
      </c>
      <c r="CE39" s="485"/>
      <c r="CF39" s="485"/>
      <c r="CG39" s="485"/>
      <c r="CH39" s="485"/>
      <c r="CI39" s="485"/>
      <c r="CJ39" s="485"/>
      <c r="CK39" s="485"/>
      <c r="CL39" s="485"/>
      <c r="CM39" s="485"/>
      <c r="CN39" s="485"/>
      <c r="CO39" s="485"/>
      <c r="CP39" s="485"/>
      <c r="CQ39" s="485"/>
      <c r="CR39" s="485"/>
      <c r="CS39" s="485"/>
    </row>
    <row r="40" spans="1:97" s="22" customFormat="1" x14ac:dyDescent="0.3">
      <c r="A40" s="465">
        <v>1</v>
      </c>
      <c r="B40" s="465"/>
      <c r="C40" s="465"/>
      <c r="D40" s="465"/>
      <c r="E40" s="465"/>
      <c r="F40" s="465">
        <v>2</v>
      </c>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v>3</v>
      </c>
      <c r="AW40" s="465"/>
      <c r="AX40" s="465"/>
      <c r="AY40" s="465"/>
      <c r="AZ40" s="465"/>
      <c r="BA40" s="465"/>
      <c r="BB40" s="465"/>
      <c r="BC40" s="465"/>
      <c r="BD40" s="465"/>
      <c r="BE40" s="465"/>
      <c r="BF40" s="465"/>
      <c r="BG40" s="465"/>
      <c r="BH40" s="465"/>
      <c r="BI40" s="465"/>
      <c r="BJ40" s="465"/>
      <c r="BK40" s="465"/>
      <c r="BL40" s="465"/>
      <c r="BM40" s="465">
        <v>4</v>
      </c>
      <c r="BN40" s="465"/>
      <c r="BO40" s="465"/>
      <c r="BP40" s="465"/>
      <c r="BQ40" s="465"/>
      <c r="BR40" s="465"/>
      <c r="BS40" s="465"/>
      <c r="BT40" s="465"/>
      <c r="BU40" s="465"/>
      <c r="BV40" s="465"/>
      <c r="BW40" s="465"/>
      <c r="BX40" s="465"/>
      <c r="BY40" s="465"/>
      <c r="BZ40" s="465"/>
      <c r="CA40" s="465"/>
      <c r="CB40" s="465"/>
      <c r="CC40" s="465"/>
      <c r="CD40" s="465">
        <v>5</v>
      </c>
      <c r="CE40" s="465"/>
      <c r="CF40" s="465"/>
      <c r="CG40" s="465"/>
      <c r="CH40" s="465"/>
      <c r="CI40" s="465"/>
      <c r="CJ40" s="465"/>
      <c r="CK40" s="465"/>
      <c r="CL40" s="465"/>
      <c r="CM40" s="465"/>
      <c r="CN40" s="465"/>
      <c r="CO40" s="465"/>
      <c r="CP40" s="465"/>
      <c r="CQ40" s="465"/>
      <c r="CR40" s="465"/>
      <c r="CS40" s="465"/>
    </row>
    <row r="41" spans="1:97" s="23" customFormat="1" ht="30.75" customHeight="1" x14ac:dyDescent="0.3">
      <c r="A41" s="452" t="s">
        <v>441</v>
      </c>
      <c r="B41" s="452"/>
      <c r="C41" s="452"/>
      <c r="D41" s="452"/>
      <c r="E41" s="452"/>
      <c r="F41" s="459" t="s">
        <v>448</v>
      </c>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503">
        <f>CD41/BM41</f>
        <v>800</v>
      </c>
      <c r="AW41" s="503"/>
      <c r="AX41" s="503"/>
      <c r="AY41" s="503"/>
      <c r="AZ41" s="503"/>
      <c r="BA41" s="503"/>
      <c r="BB41" s="503"/>
      <c r="BC41" s="503"/>
      <c r="BD41" s="503"/>
      <c r="BE41" s="503"/>
      <c r="BF41" s="503"/>
      <c r="BG41" s="503"/>
      <c r="BH41" s="503"/>
      <c r="BI41" s="503"/>
      <c r="BJ41" s="503"/>
      <c r="BK41" s="503"/>
      <c r="BL41" s="503"/>
      <c r="BM41" s="486">
        <v>600</v>
      </c>
      <c r="BN41" s="486"/>
      <c r="BO41" s="486"/>
      <c r="BP41" s="486"/>
      <c r="BQ41" s="486"/>
      <c r="BR41" s="486"/>
      <c r="BS41" s="486"/>
      <c r="BT41" s="486"/>
      <c r="BU41" s="486"/>
      <c r="BV41" s="486"/>
      <c r="BW41" s="486"/>
      <c r="BX41" s="486"/>
      <c r="BY41" s="486"/>
      <c r="BZ41" s="486"/>
      <c r="CA41" s="486"/>
      <c r="CB41" s="486"/>
      <c r="CC41" s="486"/>
      <c r="CD41" s="492">
        <v>480000</v>
      </c>
      <c r="CE41" s="492"/>
      <c r="CF41" s="492"/>
      <c r="CG41" s="492"/>
      <c r="CH41" s="492"/>
      <c r="CI41" s="492"/>
      <c r="CJ41" s="492"/>
      <c r="CK41" s="492"/>
      <c r="CL41" s="492"/>
      <c r="CM41" s="492"/>
      <c r="CN41" s="492"/>
      <c r="CO41" s="492"/>
      <c r="CP41" s="492"/>
      <c r="CQ41" s="492"/>
      <c r="CR41" s="492"/>
      <c r="CS41" s="492"/>
    </row>
    <row r="42" spans="1:97" s="23" customFormat="1" ht="15" customHeight="1" x14ac:dyDescent="0.3">
      <c r="A42" s="452"/>
      <c r="B42" s="452"/>
      <c r="C42" s="452"/>
      <c r="D42" s="452"/>
      <c r="E42" s="452"/>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row>
    <row r="43" spans="1:97" s="23" customFormat="1" ht="15" customHeight="1" x14ac:dyDescent="0.3">
      <c r="A43" s="452"/>
      <c r="B43" s="452"/>
      <c r="C43" s="452"/>
      <c r="D43" s="452"/>
      <c r="E43" s="452"/>
      <c r="F43" s="463" t="s">
        <v>56</v>
      </c>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4"/>
      <c r="AV43" s="486" t="s">
        <v>4</v>
      </c>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91">
        <f>SUM(CD41:CD42)</f>
        <v>480000</v>
      </c>
      <c r="CE43" s="496"/>
      <c r="CF43" s="496"/>
      <c r="CG43" s="496"/>
      <c r="CH43" s="496"/>
      <c r="CI43" s="496"/>
      <c r="CJ43" s="496"/>
      <c r="CK43" s="496"/>
      <c r="CL43" s="496"/>
      <c r="CM43" s="496"/>
      <c r="CN43" s="496"/>
      <c r="CO43" s="496"/>
      <c r="CP43" s="496"/>
      <c r="CQ43" s="496"/>
      <c r="CR43" s="496"/>
      <c r="CS43" s="496"/>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70" t="s">
        <v>262</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row>
    <row r="46" spans="1:97" s="27" customFormat="1" ht="12.75" hidden="1" customHeight="1" x14ac:dyDescent="0.3"/>
    <row r="47" spans="1:97" s="20" customFormat="1" ht="15.6" hidden="1" x14ac:dyDescent="0.3">
      <c r="A47" s="470" t="s">
        <v>268</v>
      </c>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row>
    <row r="48" spans="1:97" ht="14.25" hidden="1" customHeight="1" x14ac:dyDescent="0.25"/>
    <row r="49" spans="1:97" ht="46.5" hidden="1" customHeight="1" x14ac:dyDescent="0.25">
      <c r="A49" s="472" t="s">
        <v>49</v>
      </c>
      <c r="B49" s="473"/>
      <c r="C49" s="473"/>
      <c r="D49" s="473"/>
      <c r="E49" s="474"/>
      <c r="F49" s="472" t="s">
        <v>0</v>
      </c>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4"/>
      <c r="AV49" s="472" t="s">
        <v>270</v>
      </c>
      <c r="AW49" s="473"/>
      <c r="AX49" s="473"/>
      <c r="AY49" s="473"/>
      <c r="AZ49" s="473"/>
      <c r="BA49" s="473"/>
      <c r="BB49" s="473"/>
      <c r="BC49" s="473"/>
      <c r="BD49" s="473"/>
      <c r="BE49" s="473"/>
      <c r="BF49" s="473"/>
      <c r="BG49" s="473"/>
      <c r="BH49" s="473"/>
      <c r="BI49" s="473"/>
      <c r="BJ49" s="473"/>
      <c r="BK49" s="473"/>
      <c r="BL49" s="474"/>
      <c r="BM49" s="487" t="s">
        <v>304</v>
      </c>
      <c r="BN49" s="488"/>
      <c r="BO49" s="488"/>
      <c r="BP49" s="488"/>
      <c r="BQ49" s="488"/>
      <c r="BR49" s="488"/>
      <c r="BS49" s="488"/>
      <c r="BT49" s="488"/>
      <c r="BU49" s="488"/>
      <c r="BV49" s="488"/>
      <c r="BW49" s="488"/>
      <c r="BX49" s="488"/>
      <c r="BY49" s="488"/>
      <c r="BZ49" s="488"/>
      <c r="CA49" s="488"/>
      <c r="CB49" s="488"/>
      <c r="CC49" s="489"/>
      <c r="CD49" s="472" t="s">
        <v>244</v>
      </c>
      <c r="CE49" s="473"/>
      <c r="CF49" s="473"/>
      <c r="CG49" s="473"/>
      <c r="CH49" s="473"/>
      <c r="CI49" s="473"/>
      <c r="CJ49" s="473"/>
      <c r="CK49" s="473"/>
      <c r="CL49" s="473"/>
      <c r="CM49" s="473"/>
      <c r="CN49" s="473"/>
      <c r="CO49" s="473"/>
      <c r="CP49" s="473"/>
      <c r="CQ49" s="473"/>
      <c r="CR49" s="473"/>
      <c r="CS49" s="474"/>
    </row>
    <row r="50" spans="1:97" s="22" customFormat="1" hidden="1" x14ac:dyDescent="0.3">
      <c r="A50" s="465">
        <v>1</v>
      </c>
      <c r="B50" s="465"/>
      <c r="C50" s="465"/>
      <c r="D50" s="465"/>
      <c r="E50" s="465"/>
      <c r="F50" s="465">
        <v>2</v>
      </c>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v>3</v>
      </c>
      <c r="AW50" s="465"/>
      <c r="AX50" s="465"/>
      <c r="AY50" s="465"/>
      <c r="AZ50" s="465"/>
      <c r="BA50" s="465"/>
      <c r="BB50" s="465"/>
      <c r="BC50" s="465"/>
      <c r="BD50" s="465"/>
      <c r="BE50" s="465"/>
      <c r="BF50" s="465"/>
      <c r="BG50" s="465"/>
      <c r="BH50" s="465"/>
      <c r="BI50" s="465"/>
      <c r="BJ50" s="465"/>
      <c r="BK50" s="465"/>
      <c r="BL50" s="465"/>
      <c r="BM50" s="465">
        <v>4</v>
      </c>
      <c r="BN50" s="465"/>
      <c r="BO50" s="465"/>
      <c r="BP50" s="465"/>
      <c r="BQ50" s="465"/>
      <c r="BR50" s="465"/>
      <c r="BS50" s="465"/>
      <c r="BT50" s="465"/>
      <c r="BU50" s="465"/>
      <c r="BV50" s="465"/>
      <c r="BW50" s="465"/>
      <c r="BX50" s="465"/>
      <c r="BY50" s="465"/>
      <c r="BZ50" s="465"/>
      <c r="CA50" s="465"/>
      <c r="CB50" s="465"/>
      <c r="CC50" s="465"/>
      <c r="CD50" s="465">
        <v>5</v>
      </c>
      <c r="CE50" s="465"/>
      <c r="CF50" s="465"/>
      <c r="CG50" s="465"/>
      <c r="CH50" s="465"/>
      <c r="CI50" s="465"/>
      <c r="CJ50" s="465"/>
      <c r="CK50" s="465"/>
      <c r="CL50" s="465"/>
      <c r="CM50" s="465"/>
      <c r="CN50" s="465"/>
      <c r="CO50" s="465"/>
      <c r="CP50" s="465"/>
      <c r="CQ50" s="465"/>
      <c r="CR50" s="465"/>
      <c r="CS50" s="465"/>
    </row>
    <row r="51" spans="1:97" s="23" customFormat="1" ht="15" hidden="1" customHeight="1" x14ac:dyDescent="0.3">
      <c r="A51" s="452"/>
      <c r="B51" s="452"/>
      <c r="C51" s="452"/>
      <c r="D51" s="452"/>
      <c r="E51" s="452"/>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row>
    <row r="52" spans="1:97" s="23" customFormat="1" ht="15" hidden="1" customHeight="1" x14ac:dyDescent="0.3">
      <c r="A52" s="452"/>
      <c r="B52" s="452"/>
      <c r="C52" s="452"/>
      <c r="D52" s="452"/>
      <c r="E52" s="452"/>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row>
    <row r="53" spans="1:97" s="23" customFormat="1" ht="15" hidden="1" customHeight="1" x14ac:dyDescent="0.3">
      <c r="A53" s="452"/>
      <c r="B53" s="452"/>
      <c r="C53" s="452"/>
      <c r="D53" s="452"/>
      <c r="E53" s="452"/>
      <c r="F53" s="463" t="s">
        <v>56</v>
      </c>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4"/>
      <c r="AV53" s="486" t="s">
        <v>4</v>
      </c>
      <c r="AW53" s="486"/>
      <c r="AX53" s="486"/>
      <c r="AY53" s="486"/>
      <c r="AZ53" s="486"/>
      <c r="BA53" s="486"/>
      <c r="BB53" s="486"/>
      <c r="BC53" s="486"/>
      <c r="BD53" s="486"/>
      <c r="BE53" s="486"/>
      <c r="BF53" s="486"/>
      <c r="BG53" s="486"/>
      <c r="BH53" s="486"/>
      <c r="BI53" s="486"/>
      <c r="BJ53" s="486"/>
      <c r="BK53" s="486"/>
      <c r="BL53" s="486"/>
      <c r="BM53" s="486" t="s">
        <v>4</v>
      </c>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470" t="s">
        <v>296</v>
      </c>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70"/>
      <c r="CL55" s="470"/>
      <c r="CM55" s="470"/>
      <c r="CN55" s="470"/>
      <c r="CO55" s="470"/>
      <c r="CP55" s="470"/>
      <c r="CQ55" s="470"/>
      <c r="CR55" s="470"/>
      <c r="CS55" s="470"/>
    </row>
    <row r="56" spans="1:97" s="27" customFormat="1" ht="6" hidden="1" customHeight="1" x14ac:dyDescent="0.3"/>
    <row r="57" spans="1:97" s="20" customFormat="1" ht="15.6" hidden="1" x14ac:dyDescent="0.3">
      <c r="A57" s="470" t="s">
        <v>268</v>
      </c>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0"/>
      <c r="BU57" s="490"/>
      <c r="BV57" s="490"/>
      <c r="BW57" s="490"/>
      <c r="BX57" s="490"/>
      <c r="BY57" s="490"/>
      <c r="BZ57" s="490"/>
      <c r="CA57" s="490"/>
      <c r="CB57" s="490"/>
      <c r="CC57" s="490"/>
      <c r="CD57" s="490"/>
      <c r="CE57" s="490"/>
      <c r="CF57" s="490"/>
      <c r="CG57" s="490"/>
      <c r="CH57" s="490"/>
      <c r="CI57" s="490"/>
      <c r="CJ57" s="490"/>
      <c r="CK57" s="490"/>
      <c r="CL57" s="490"/>
      <c r="CM57" s="490"/>
      <c r="CN57" s="490"/>
      <c r="CO57" s="490"/>
      <c r="CP57" s="490"/>
      <c r="CQ57" s="490"/>
      <c r="CR57" s="490"/>
      <c r="CS57" s="490"/>
    </row>
    <row r="58" spans="1:97" ht="10.5" hidden="1" customHeight="1" x14ac:dyDescent="0.25"/>
    <row r="59" spans="1:97" s="21" customFormat="1" ht="65.25" hidden="1" customHeight="1" x14ac:dyDescent="0.3">
      <c r="A59" s="485" t="s">
        <v>263</v>
      </c>
      <c r="B59" s="485"/>
      <c r="C59" s="485"/>
      <c r="D59" s="485"/>
      <c r="E59" s="485"/>
      <c r="F59" s="485" t="s">
        <v>269</v>
      </c>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72" t="s">
        <v>95</v>
      </c>
      <c r="AW59" s="473"/>
      <c r="AX59" s="473"/>
      <c r="AY59" s="473"/>
      <c r="AZ59" s="473"/>
      <c r="BA59" s="473"/>
      <c r="BB59" s="473"/>
      <c r="BC59" s="473"/>
      <c r="BD59" s="473"/>
      <c r="BE59" s="473"/>
      <c r="BF59" s="473"/>
      <c r="BG59" s="473"/>
      <c r="BH59" s="473"/>
      <c r="BI59" s="473"/>
      <c r="BJ59" s="473"/>
      <c r="BK59" s="473"/>
      <c r="BL59" s="474"/>
      <c r="BM59" s="472" t="s">
        <v>248</v>
      </c>
      <c r="BN59" s="473"/>
      <c r="BO59" s="473"/>
      <c r="BP59" s="473"/>
      <c r="BQ59" s="473"/>
      <c r="BR59" s="473"/>
      <c r="BS59" s="473"/>
      <c r="BT59" s="473"/>
      <c r="BU59" s="473"/>
      <c r="BV59" s="473"/>
      <c r="BW59" s="473"/>
      <c r="BX59" s="473"/>
      <c r="BY59" s="473"/>
      <c r="BZ59" s="473"/>
      <c r="CA59" s="473"/>
      <c r="CB59" s="473"/>
      <c r="CC59" s="474"/>
      <c r="CD59" s="472" t="s">
        <v>244</v>
      </c>
      <c r="CE59" s="473"/>
      <c r="CF59" s="473"/>
      <c r="CG59" s="473"/>
      <c r="CH59" s="473"/>
      <c r="CI59" s="473"/>
      <c r="CJ59" s="473"/>
      <c r="CK59" s="473"/>
      <c r="CL59" s="473"/>
      <c r="CM59" s="473"/>
      <c r="CN59" s="473"/>
      <c r="CO59" s="473"/>
      <c r="CP59" s="473"/>
      <c r="CQ59" s="473"/>
      <c r="CR59" s="473"/>
      <c r="CS59" s="474"/>
    </row>
    <row r="60" spans="1:97" s="22" customFormat="1" hidden="1" x14ac:dyDescent="0.3">
      <c r="A60" s="466">
        <v>1</v>
      </c>
      <c r="B60" s="467"/>
      <c r="C60" s="467"/>
      <c r="D60" s="467"/>
      <c r="E60" s="468"/>
      <c r="F60" s="466">
        <v>2</v>
      </c>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8"/>
      <c r="AV60" s="465">
        <v>3</v>
      </c>
      <c r="AW60" s="465"/>
      <c r="AX60" s="465"/>
      <c r="AY60" s="465"/>
      <c r="AZ60" s="465"/>
      <c r="BA60" s="465"/>
      <c r="BB60" s="465"/>
      <c r="BC60" s="465"/>
      <c r="BD60" s="465"/>
      <c r="BE60" s="465"/>
      <c r="BF60" s="465"/>
      <c r="BG60" s="465"/>
      <c r="BH60" s="465"/>
      <c r="BI60" s="465"/>
      <c r="BJ60" s="465"/>
      <c r="BK60" s="465"/>
      <c r="BL60" s="465"/>
      <c r="BM60" s="465">
        <v>4</v>
      </c>
      <c r="BN60" s="465"/>
      <c r="BO60" s="465"/>
      <c r="BP60" s="465"/>
      <c r="BQ60" s="465"/>
      <c r="BR60" s="465"/>
      <c r="BS60" s="465"/>
      <c r="BT60" s="465"/>
      <c r="BU60" s="465"/>
      <c r="BV60" s="465"/>
      <c r="BW60" s="465"/>
      <c r="BX60" s="465"/>
      <c r="BY60" s="465"/>
      <c r="BZ60" s="465"/>
      <c r="CA60" s="465"/>
      <c r="CB60" s="465"/>
      <c r="CC60" s="465"/>
      <c r="CD60" s="465">
        <v>5</v>
      </c>
      <c r="CE60" s="465"/>
      <c r="CF60" s="465"/>
      <c r="CG60" s="465"/>
      <c r="CH60" s="465"/>
      <c r="CI60" s="465"/>
      <c r="CJ60" s="465"/>
      <c r="CK60" s="465"/>
      <c r="CL60" s="465"/>
      <c r="CM60" s="465"/>
      <c r="CN60" s="465"/>
      <c r="CO60" s="465"/>
      <c r="CP60" s="465"/>
      <c r="CQ60" s="465"/>
      <c r="CR60" s="465"/>
      <c r="CS60" s="465"/>
    </row>
    <row r="61" spans="1:97" s="23" customFormat="1" ht="15" hidden="1" customHeight="1" x14ac:dyDescent="0.3">
      <c r="A61" s="452"/>
      <c r="B61" s="452"/>
      <c r="C61" s="452"/>
      <c r="D61" s="452"/>
      <c r="E61" s="452"/>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86"/>
      <c r="AW61" s="486"/>
      <c r="AX61" s="486"/>
      <c r="AY61" s="486"/>
      <c r="AZ61" s="486"/>
      <c r="BA61" s="486"/>
      <c r="BB61" s="486"/>
      <c r="BC61" s="486"/>
      <c r="BD61" s="486"/>
      <c r="BE61" s="486"/>
      <c r="BF61" s="486"/>
      <c r="BG61" s="486"/>
      <c r="BH61" s="486"/>
      <c r="BI61" s="486"/>
      <c r="BJ61" s="486"/>
      <c r="BK61" s="486"/>
      <c r="BL61" s="486"/>
      <c r="BM61" s="492"/>
      <c r="BN61" s="492"/>
      <c r="BO61" s="492"/>
      <c r="BP61" s="492"/>
      <c r="BQ61" s="492"/>
      <c r="BR61" s="492"/>
      <c r="BS61" s="492"/>
      <c r="BT61" s="492"/>
      <c r="BU61" s="492"/>
      <c r="BV61" s="492"/>
      <c r="BW61" s="492"/>
      <c r="BX61" s="492"/>
      <c r="BY61" s="492"/>
      <c r="BZ61" s="492"/>
      <c r="CA61" s="492"/>
      <c r="CB61" s="492"/>
      <c r="CC61" s="492"/>
      <c r="CD61" s="492"/>
      <c r="CE61" s="492"/>
      <c r="CF61" s="492"/>
      <c r="CG61" s="492"/>
      <c r="CH61" s="492"/>
      <c r="CI61" s="492"/>
      <c r="CJ61" s="492"/>
      <c r="CK61" s="492"/>
      <c r="CL61" s="492"/>
      <c r="CM61" s="492"/>
      <c r="CN61" s="492"/>
      <c r="CO61" s="492"/>
      <c r="CP61" s="492"/>
      <c r="CQ61" s="492"/>
      <c r="CR61" s="492"/>
      <c r="CS61" s="492"/>
    </row>
    <row r="62" spans="1:97" s="23" customFormat="1" ht="15" hidden="1" customHeight="1" x14ac:dyDescent="0.3">
      <c r="A62" s="452"/>
      <c r="B62" s="452"/>
      <c r="C62" s="452"/>
      <c r="D62" s="452"/>
      <c r="E62" s="452"/>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86"/>
      <c r="AW62" s="486"/>
      <c r="AX62" s="486"/>
      <c r="AY62" s="486"/>
      <c r="AZ62" s="486"/>
      <c r="BA62" s="486"/>
      <c r="BB62" s="486"/>
      <c r="BC62" s="486"/>
      <c r="BD62" s="486"/>
      <c r="BE62" s="486"/>
      <c r="BF62" s="486"/>
      <c r="BG62" s="486"/>
      <c r="BH62" s="486"/>
      <c r="BI62" s="486"/>
      <c r="BJ62" s="486"/>
      <c r="BK62" s="486"/>
      <c r="BL62" s="486"/>
      <c r="BM62" s="486"/>
      <c r="BN62" s="486"/>
      <c r="BO62" s="486"/>
      <c r="BP62" s="486"/>
      <c r="BQ62" s="486"/>
      <c r="BR62" s="486"/>
      <c r="BS62" s="486"/>
      <c r="BT62" s="486"/>
      <c r="BU62" s="486"/>
      <c r="BV62" s="486"/>
      <c r="BW62" s="486"/>
      <c r="BX62" s="486"/>
      <c r="BY62" s="486"/>
      <c r="BZ62" s="486"/>
      <c r="CA62" s="486"/>
      <c r="CB62" s="486"/>
      <c r="CC62" s="486"/>
      <c r="CD62" s="486"/>
      <c r="CE62" s="486"/>
      <c r="CF62" s="486"/>
      <c r="CG62" s="486"/>
      <c r="CH62" s="486"/>
      <c r="CI62" s="486"/>
      <c r="CJ62" s="486"/>
      <c r="CK62" s="486"/>
      <c r="CL62" s="486"/>
      <c r="CM62" s="486"/>
      <c r="CN62" s="486"/>
      <c r="CO62" s="486"/>
      <c r="CP62" s="486"/>
      <c r="CQ62" s="486"/>
      <c r="CR62" s="486"/>
      <c r="CS62" s="486"/>
    </row>
    <row r="63" spans="1:97" s="23" customFormat="1" ht="15" hidden="1" customHeight="1" x14ac:dyDescent="0.3">
      <c r="A63" s="452"/>
      <c r="B63" s="452"/>
      <c r="C63" s="452"/>
      <c r="D63" s="452"/>
      <c r="E63" s="452"/>
      <c r="F63" s="463" t="s">
        <v>56</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4"/>
      <c r="AV63" s="486" t="s">
        <v>4</v>
      </c>
      <c r="AW63" s="486"/>
      <c r="AX63" s="486"/>
      <c r="AY63" s="486"/>
      <c r="AZ63" s="486"/>
      <c r="BA63" s="486"/>
      <c r="BB63" s="486"/>
      <c r="BC63" s="486"/>
      <c r="BD63" s="486"/>
      <c r="BE63" s="486"/>
      <c r="BF63" s="486"/>
      <c r="BG63" s="486"/>
      <c r="BH63" s="486"/>
      <c r="BI63" s="486"/>
      <c r="BJ63" s="486"/>
      <c r="BK63" s="486"/>
      <c r="BL63" s="486"/>
      <c r="BM63" s="486" t="s">
        <v>4</v>
      </c>
      <c r="BN63" s="486"/>
      <c r="BO63" s="486"/>
      <c r="BP63" s="486"/>
      <c r="BQ63" s="486"/>
      <c r="BR63" s="486"/>
      <c r="BS63" s="486"/>
      <c r="BT63" s="486"/>
      <c r="BU63" s="486"/>
      <c r="BV63" s="486"/>
      <c r="BW63" s="486"/>
      <c r="BX63" s="486"/>
      <c r="BY63" s="486"/>
      <c r="BZ63" s="486"/>
      <c r="CA63" s="486"/>
      <c r="CB63" s="486"/>
      <c r="CC63" s="486"/>
      <c r="CD63" s="491">
        <f>SUM(CD61:CD62)</f>
        <v>0</v>
      </c>
      <c r="CE63" s="496"/>
      <c r="CF63" s="496"/>
      <c r="CG63" s="496"/>
      <c r="CH63" s="496"/>
      <c r="CI63" s="496"/>
      <c r="CJ63" s="496"/>
      <c r="CK63" s="496"/>
      <c r="CL63" s="496"/>
      <c r="CM63" s="496"/>
      <c r="CN63" s="496"/>
      <c r="CO63" s="496"/>
      <c r="CP63" s="496"/>
      <c r="CQ63" s="496"/>
      <c r="CR63" s="496"/>
      <c r="CS63" s="496"/>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84" t="s">
        <v>307</v>
      </c>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4"/>
      <c r="BK65" s="484"/>
      <c r="BL65" s="484"/>
      <c r="BM65" s="484"/>
      <c r="BN65" s="484"/>
      <c r="BO65" s="484"/>
      <c r="BP65" s="484"/>
      <c r="BQ65" s="484"/>
      <c r="BR65" s="484"/>
      <c r="BS65" s="484"/>
      <c r="BT65" s="484"/>
      <c r="BU65" s="484"/>
      <c r="BV65" s="484"/>
      <c r="BW65" s="484"/>
      <c r="BX65" s="484"/>
      <c r="BY65" s="484"/>
      <c r="BZ65" s="484"/>
      <c r="CA65" s="484"/>
      <c r="CB65" s="484"/>
      <c r="CC65" s="484"/>
      <c r="CD65" s="484"/>
      <c r="CE65" s="484"/>
      <c r="CF65" s="484"/>
      <c r="CG65" s="484"/>
      <c r="CH65" s="484"/>
      <c r="CI65" s="484"/>
      <c r="CJ65" s="484"/>
      <c r="CK65" s="484"/>
      <c r="CL65" s="484"/>
      <c r="CM65" s="484"/>
      <c r="CN65" s="484"/>
      <c r="CO65" s="484"/>
      <c r="CP65" s="484"/>
      <c r="CQ65" s="484"/>
      <c r="CR65" s="484"/>
      <c r="CS65" s="484"/>
    </row>
    <row r="66" spans="1:97" s="27" customFormat="1" ht="11.25" hidden="1" customHeight="1" x14ac:dyDescent="0.3"/>
    <row r="67" spans="1:97" s="20" customFormat="1" ht="15" hidden="1" customHeight="1" x14ac:dyDescent="0.3">
      <c r="A67" s="470" t="s">
        <v>268</v>
      </c>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c r="CN67" s="490"/>
      <c r="CO67" s="490"/>
      <c r="CP67" s="490"/>
      <c r="CQ67" s="490"/>
      <c r="CR67" s="490"/>
      <c r="CS67" s="490"/>
    </row>
    <row r="68" spans="1:97" ht="10.5" hidden="1" customHeight="1" x14ac:dyDescent="0.25"/>
    <row r="69" spans="1:97" s="21" customFormat="1" ht="60" hidden="1" customHeight="1" x14ac:dyDescent="0.3">
      <c r="A69" s="485" t="s">
        <v>263</v>
      </c>
      <c r="B69" s="485"/>
      <c r="C69" s="485"/>
      <c r="D69" s="485"/>
      <c r="E69" s="485"/>
      <c r="F69" s="485" t="s">
        <v>271</v>
      </c>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t="s">
        <v>244</v>
      </c>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5"/>
      <c r="CB69" s="485"/>
      <c r="CC69" s="485"/>
      <c r="CD69" s="485"/>
      <c r="CE69" s="485"/>
      <c r="CF69" s="485"/>
      <c r="CG69" s="485"/>
      <c r="CH69" s="485"/>
      <c r="CI69" s="485"/>
      <c r="CJ69" s="485"/>
      <c r="CK69" s="485"/>
      <c r="CL69" s="485"/>
      <c r="CM69" s="485"/>
      <c r="CN69" s="485"/>
      <c r="CO69" s="485"/>
      <c r="CP69" s="485"/>
      <c r="CQ69" s="485"/>
      <c r="CR69" s="485"/>
      <c r="CS69" s="485"/>
    </row>
    <row r="70" spans="1:97" s="22" customFormat="1" hidden="1" x14ac:dyDescent="0.3">
      <c r="A70" s="466">
        <v>1</v>
      </c>
      <c r="B70" s="467"/>
      <c r="C70" s="467"/>
      <c r="D70" s="467"/>
      <c r="E70" s="468"/>
      <c r="F70" s="466">
        <v>2</v>
      </c>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8"/>
      <c r="AV70" s="466">
        <v>3</v>
      </c>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8"/>
    </row>
    <row r="71" spans="1:97" s="23" customFormat="1" ht="15" hidden="1" customHeight="1" x14ac:dyDescent="0.3">
      <c r="A71" s="452"/>
      <c r="B71" s="452"/>
      <c r="C71" s="452"/>
      <c r="D71" s="452"/>
      <c r="E71" s="452"/>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66"/>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8"/>
    </row>
    <row r="72" spans="1:97" s="23" customFormat="1" ht="15" hidden="1" customHeight="1" x14ac:dyDescent="0.3">
      <c r="A72" s="452"/>
      <c r="B72" s="452"/>
      <c r="C72" s="452"/>
      <c r="D72" s="452"/>
      <c r="E72" s="452"/>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66"/>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7"/>
      <c r="CM72" s="467"/>
      <c r="CN72" s="467"/>
      <c r="CO72" s="467"/>
      <c r="CP72" s="467"/>
      <c r="CQ72" s="467"/>
      <c r="CR72" s="467"/>
      <c r="CS72" s="468"/>
    </row>
    <row r="73" spans="1:97" s="23" customFormat="1" ht="15" hidden="1" customHeight="1" x14ac:dyDescent="0.3">
      <c r="A73" s="452"/>
      <c r="B73" s="452"/>
      <c r="C73" s="452"/>
      <c r="D73" s="452"/>
      <c r="E73" s="452"/>
      <c r="F73" s="463" t="s">
        <v>56</v>
      </c>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4"/>
      <c r="AV73" s="460"/>
      <c r="AW73" s="461"/>
      <c r="AX73" s="461"/>
      <c r="AY73" s="461"/>
      <c r="AZ73" s="461"/>
      <c r="BA73" s="461"/>
      <c r="BB73" s="461"/>
      <c r="BC73" s="461"/>
      <c r="BD73" s="461"/>
      <c r="BE73" s="461"/>
      <c r="BF73" s="461"/>
      <c r="BG73" s="461"/>
      <c r="BH73" s="461"/>
      <c r="BI73" s="461"/>
      <c r="BJ73" s="461"/>
      <c r="BK73" s="461"/>
      <c r="BL73" s="461"/>
      <c r="BM73" s="461"/>
      <c r="BN73" s="461"/>
      <c r="BO73" s="461"/>
      <c r="BP73" s="461"/>
      <c r="BQ73" s="461"/>
      <c r="BR73" s="461"/>
      <c r="BS73" s="461"/>
      <c r="BT73" s="461"/>
      <c r="BU73" s="461"/>
      <c r="BV73" s="461"/>
      <c r="BW73" s="461"/>
      <c r="BX73" s="461"/>
      <c r="BY73" s="461"/>
      <c r="BZ73" s="461"/>
      <c r="CA73" s="461"/>
      <c r="CB73" s="461"/>
      <c r="CC73" s="461"/>
      <c r="CD73" s="461"/>
      <c r="CE73" s="461"/>
      <c r="CF73" s="461"/>
      <c r="CG73" s="461"/>
      <c r="CH73" s="461"/>
      <c r="CI73" s="461"/>
      <c r="CJ73" s="461"/>
      <c r="CK73" s="461"/>
      <c r="CL73" s="461"/>
      <c r="CM73" s="461"/>
      <c r="CN73" s="461"/>
      <c r="CO73" s="461"/>
      <c r="CP73" s="461"/>
      <c r="CQ73" s="461"/>
      <c r="CR73" s="461"/>
      <c r="CS73" s="462"/>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70" t="s">
        <v>297</v>
      </c>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0"/>
      <c r="CP75" s="470"/>
      <c r="CQ75" s="470"/>
      <c r="CR75" s="470"/>
      <c r="CS75" s="470"/>
    </row>
    <row r="76" spans="1:97" s="27" customFormat="1" ht="6" hidden="1" customHeight="1" x14ac:dyDescent="0.3"/>
    <row r="77" spans="1:97" s="20" customFormat="1" ht="15.6" hidden="1" x14ac:dyDescent="0.3">
      <c r="A77" s="470" t="s">
        <v>268</v>
      </c>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c r="CN77" s="490"/>
      <c r="CO77" s="490"/>
      <c r="CP77" s="490"/>
      <c r="CQ77" s="490"/>
      <c r="CR77" s="490"/>
      <c r="CS77" s="490"/>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485" t="s">
        <v>263</v>
      </c>
      <c r="B79" s="485"/>
      <c r="C79" s="485"/>
      <c r="D79" s="485"/>
      <c r="E79" s="485"/>
      <c r="F79" s="487" t="s">
        <v>0</v>
      </c>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9"/>
      <c r="AM79" s="487" t="s">
        <v>196</v>
      </c>
      <c r="AN79" s="488"/>
      <c r="AO79" s="488"/>
      <c r="AP79" s="488"/>
      <c r="AQ79" s="488"/>
      <c r="AR79" s="488"/>
      <c r="AS79" s="488"/>
      <c r="AT79" s="488"/>
      <c r="AU79" s="489"/>
      <c r="AV79" s="472" t="s">
        <v>303</v>
      </c>
      <c r="AW79" s="473"/>
      <c r="AX79" s="473"/>
      <c r="AY79" s="473"/>
      <c r="AZ79" s="473"/>
      <c r="BA79" s="473"/>
      <c r="BB79" s="473"/>
      <c r="BC79" s="473"/>
      <c r="BD79" s="473"/>
      <c r="BE79" s="473"/>
      <c r="BF79" s="473"/>
      <c r="BG79" s="473"/>
      <c r="BH79" s="473"/>
      <c r="BI79" s="473"/>
      <c r="BJ79" s="473"/>
      <c r="BK79" s="473"/>
      <c r="BL79" s="474"/>
      <c r="BM79" s="472" t="s">
        <v>302</v>
      </c>
      <c r="BN79" s="473"/>
      <c r="BO79" s="473"/>
      <c r="BP79" s="473"/>
      <c r="BQ79" s="473"/>
      <c r="BR79" s="473"/>
      <c r="BS79" s="473"/>
      <c r="BT79" s="473"/>
      <c r="BU79" s="473"/>
      <c r="BV79" s="473"/>
      <c r="BW79" s="473"/>
      <c r="BX79" s="473"/>
      <c r="BY79" s="473"/>
      <c r="BZ79" s="473"/>
      <c r="CA79" s="473"/>
      <c r="CB79" s="473"/>
      <c r="CC79" s="474"/>
      <c r="CD79" s="472" t="s">
        <v>244</v>
      </c>
      <c r="CE79" s="473"/>
      <c r="CF79" s="473"/>
      <c r="CG79" s="473"/>
      <c r="CH79" s="473"/>
      <c r="CI79" s="473"/>
      <c r="CJ79" s="473"/>
      <c r="CK79" s="473"/>
      <c r="CL79" s="473"/>
      <c r="CM79" s="473"/>
      <c r="CN79" s="473"/>
      <c r="CO79" s="473"/>
      <c r="CP79" s="473"/>
      <c r="CQ79" s="473"/>
      <c r="CR79" s="473"/>
      <c r="CS79" s="474"/>
    </row>
    <row r="80" spans="1:97" s="22" customFormat="1" hidden="1" x14ac:dyDescent="0.3">
      <c r="A80" s="465">
        <v>1</v>
      </c>
      <c r="B80" s="465"/>
      <c r="C80" s="465"/>
      <c r="D80" s="465"/>
      <c r="E80" s="465"/>
      <c r="F80" s="466">
        <v>2</v>
      </c>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8"/>
      <c r="AM80" s="466">
        <v>3</v>
      </c>
      <c r="AN80" s="467"/>
      <c r="AO80" s="467"/>
      <c r="AP80" s="467"/>
      <c r="AQ80" s="467"/>
      <c r="AR80" s="467"/>
      <c r="AS80" s="467"/>
      <c r="AT80" s="467"/>
      <c r="AU80" s="468"/>
      <c r="AV80" s="465">
        <v>4</v>
      </c>
      <c r="AW80" s="465"/>
      <c r="AX80" s="465"/>
      <c r="AY80" s="465"/>
      <c r="AZ80" s="465"/>
      <c r="BA80" s="465"/>
      <c r="BB80" s="465"/>
      <c r="BC80" s="465"/>
      <c r="BD80" s="465"/>
      <c r="BE80" s="465"/>
      <c r="BF80" s="465"/>
      <c r="BG80" s="465"/>
      <c r="BH80" s="465"/>
      <c r="BI80" s="465"/>
      <c r="BJ80" s="465"/>
      <c r="BK80" s="465"/>
      <c r="BL80" s="465"/>
      <c r="BM80" s="465">
        <v>5</v>
      </c>
      <c r="BN80" s="465"/>
      <c r="BO80" s="465"/>
      <c r="BP80" s="465"/>
      <c r="BQ80" s="465"/>
      <c r="BR80" s="465"/>
      <c r="BS80" s="465"/>
      <c r="BT80" s="465"/>
      <c r="BU80" s="465"/>
      <c r="BV80" s="465"/>
      <c r="BW80" s="465"/>
      <c r="BX80" s="465"/>
      <c r="BY80" s="465"/>
      <c r="BZ80" s="465"/>
      <c r="CA80" s="465"/>
      <c r="CB80" s="465"/>
      <c r="CC80" s="465"/>
      <c r="CD80" s="465">
        <v>6</v>
      </c>
      <c r="CE80" s="465"/>
      <c r="CF80" s="465"/>
      <c r="CG80" s="465"/>
      <c r="CH80" s="465"/>
      <c r="CI80" s="465"/>
      <c r="CJ80" s="465"/>
      <c r="CK80" s="465"/>
      <c r="CL80" s="465"/>
      <c r="CM80" s="465"/>
      <c r="CN80" s="465"/>
      <c r="CO80" s="465"/>
      <c r="CP80" s="465"/>
      <c r="CQ80" s="465"/>
      <c r="CR80" s="465"/>
      <c r="CS80" s="465"/>
    </row>
    <row r="81" spans="1:108" s="23" customFormat="1" ht="15" hidden="1" customHeight="1" x14ac:dyDescent="0.3">
      <c r="A81" s="452"/>
      <c r="B81" s="452"/>
      <c r="C81" s="452"/>
      <c r="D81" s="452"/>
      <c r="E81" s="452"/>
      <c r="F81" s="487"/>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9"/>
      <c r="AM81" s="487"/>
      <c r="AN81" s="488"/>
      <c r="AO81" s="488"/>
      <c r="AP81" s="488"/>
      <c r="AQ81" s="488"/>
      <c r="AR81" s="488"/>
      <c r="AS81" s="488"/>
      <c r="AT81" s="488"/>
      <c r="AU81" s="489"/>
      <c r="AV81" s="486"/>
      <c r="AW81" s="486"/>
      <c r="AX81" s="486"/>
      <c r="AY81" s="486"/>
      <c r="AZ81" s="486"/>
      <c r="BA81" s="486"/>
      <c r="BB81" s="486"/>
      <c r="BC81" s="486"/>
      <c r="BD81" s="486"/>
      <c r="BE81" s="486"/>
      <c r="BF81" s="486"/>
      <c r="BG81" s="486"/>
      <c r="BH81" s="486"/>
      <c r="BI81" s="486"/>
      <c r="BJ81" s="486"/>
      <c r="BK81" s="486"/>
      <c r="BL81" s="486"/>
      <c r="BM81" s="486"/>
      <c r="BN81" s="486"/>
      <c r="BO81" s="486"/>
      <c r="BP81" s="486"/>
      <c r="BQ81" s="486"/>
      <c r="BR81" s="486"/>
      <c r="BS81" s="486"/>
      <c r="BT81" s="486"/>
      <c r="BU81" s="486"/>
      <c r="BV81" s="486"/>
      <c r="BW81" s="486"/>
      <c r="BX81" s="486"/>
      <c r="BY81" s="486"/>
      <c r="BZ81" s="486"/>
      <c r="CA81" s="486"/>
      <c r="CB81" s="486"/>
      <c r="CC81" s="486"/>
      <c r="CD81" s="486"/>
      <c r="CE81" s="486"/>
      <c r="CF81" s="486"/>
      <c r="CG81" s="486"/>
      <c r="CH81" s="486"/>
      <c r="CI81" s="486"/>
      <c r="CJ81" s="486"/>
      <c r="CK81" s="486"/>
      <c r="CL81" s="486"/>
      <c r="CM81" s="486"/>
      <c r="CN81" s="486"/>
      <c r="CO81" s="486"/>
      <c r="CP81" s="486"/>
      <c r="CQ81" s="486"/>
      <c r="CR81" s="486"/>
      <c r="CS81" s="486"/>
    </row>
    <row r="82" spans="1:108" s="23" customFormat="1" ht="15" hidden="1" customHeight="1" x14ac:dyDescent="0.3">
      <c r="A82" s="452"/>
      <c r="B82" s="452"/>
      <c r="C82" s="452"/>
      <c r="D82" s="452"/>
      <c r="E82" s="452"/>
      <c r="F82" s="487"/>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9"/>
      <c r="AM82" s="487"/>
      <c r="AN82" s="488"/>
      <c r="AO82" s="488"/>
      <c r="AP82" s="488"/>
      <c r="AQ82" s="488"/>
      <c r="AR82" s="488"/>
      <c r="AS82" s="488"/>
      <c r="AT82" s="488"/>
      <c r="AU82" s="489"/>
      <c r="AV82" s="486"/>
      <c r="AW82" s="486"/>
      <c r="AX82" s="486"/>
      <c r="AY82" s="486"/>
      <c r="AZ82" s="486"/>
      <c r="BA82" s="486"/>
      <c r="BB82" s="486"/>
      <c r="BC82" s="486"/>
      <c r="BD82" s="486"/>
      <c r="BE82" s="486"/>
      <c r="BF82" s="486"/>
      <c r="BG82" s="486"/>
      <c r="BH82" s="486"/>
      <c r="BI82" s="486"/>
      <c r="BJ82" s="486"/>
      <c r="BK82" s="486"/>
      <c r="BL82" s="486"/>
      <c r="BM82" s="486"/>
      <c r="BN82" s="486"/>
      <c r="BO82" s="486"/>
      <c r="BP82" s="486"/>
      <c r="BQ82" s="486"/>
      <c r="BR82" s="486"/>
      <c r="BS82" s="486"/>
      <c r="BT82" s="486"/>
      <c r="BU82" s="486"/>
      <c r="BV82" s="486"/>
      <c r="BW82" s="486"/>
      <c r="BX82" s="486"/>
      <c r="BY82" s="486"/>
      <c r="BZ82" s="486"/>
      <c r="CA82" s="486"/>
      <c r="CB82" s="486"/>
      <c r="CC82" s="486"/>
      <c r="CD82" s="486"/>
      <c r="CE82" s="486"/>
      <c r="CF82" s="486"/>
      <c r="CG82" s="486"/>
      <c r="CH82" s="486"/>
      <c r="CI82" s="486"/>
      <c r="CJ82" s="486"/>
      <c r="CK82" s="486"/>
      <c r="CL82" s="486"/>
      <c r="CM82" s="486"/>
      <c r="CN82" s="486"/>
      <c r="CO82" s="486"/>
      <c r="CP82" s="486"/>
      <c r="CQ82" s="486"/>
      <c r="CR82" s="486"/>
      <c r="CS82" s="486"/>
    </row>
    <row r="83" spans="1:108" s="23" customFormat="1" ht="15" hidden="1" customHeight="1" x14ac:dyDescent="0.3">
      <c r="A83" s="452"/>
      <c r="B83" s="452"/>
      <c r="C83" s="452"/>
      <c r="D83" s="452"/>
      <c r="E83" s="452"/>
      <c r="F83" s="463" t="s">
        <v>56</v>
      </c>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4"/>
      <c r="AV83" s="486" t="s">
        <v>4</v>
      </c>
      <c r="AW83" s="486"/>
      <c r="AX83" s="486"/>
      <c r="AY83" s="486"/>
      <c r="AZ83" s="486"/>
      <c r="BA83" s="486"/>
      <c r="BB83" s="486"/>
      <c r="BC83" s="486"/>
      <c r="BD83" s="486"/>
      <c r="BE83" s="486"/>
      <c r="BF83" s="486"/>
      <c r="BG83" s="486"/>
      <c r="BH83" s="486"/>
      <c r="BI83" s="486"/>
      <c r="BJ83" s="486"/>
      <c r="BK83" s="486"/>
      <c r="BL83" s="486"/>
      <c r="BM83" s="486" t="s">
        <v>4</v>
      </c>
      <c r="BN83" s="486"/>
      <c r="BO83" s="486"/>
      <c r="BP83" s="486"/>
      <c r="BQ83" s="486"/>
      <c r="BR83" s="486"/>
      <c r="BS83" s="486"/>
      <c r="BT83" s="486"/>
      <c r="BU83" s="486"/>
      <c r="BV83" s="486"/>
      <c r="BW83" s="486"/>
      <c r="BX83" s="486"/>
      <c r="BY83" s="486"/>
      <c r="BZ83" s="486"/>
      <c r="CA83" s="486"/>
      <c r="CB83" s="486"/>
      <c r="CC83" s="486"/>
      <c r="CD83" s="486"/>
      <c r="CE83" s="486"/>
      <c r="CF83" s="486"/>
      <c r="CG83" s="486"/>
      <c r="CH83" s="486"/>
      <c r="CI83" s="486"/>
      <c r="CJ83" s="486"/>
      <c r="CK83" s="486"/>
      <c r="CL83" s="486"/>
      <c r="CM83" s="486"/>
      <c r="CN83" s="486"/>
      <c r="CO83" s="486"/>
      <c r="CP83" s="486"/>
      <c r="CQ83" s="486"/>
      <c r="CR83" s="486"/>
      <c r="CS83" s="486"/>
    </row>
    <row r="84" spans="1:108" hidden="1" x14ac:dyDescent="0.25"/>
    <row r="85" spans="1:108" s="29" customFormat="1" ht="15" hidden="1" customHeight="1" x14ac:dyDescent="0.3">
      <c r="A85" s="470" t="s">
        <v>298</v>
      </c>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70"/>
      <c r="CL85" s="470"/>
      <c r="CM85" s="470"/>
      <c r="CN85" s="470"/>
      <c r="CO85" s="470"/>
      <c r="CP85" s="470"/>
      <c r="CQ85" s="470"/>
      <c r="CR85" s="470"/>
      <c r="CS85" s="470"/>
    </row>
    <row r="86" spans="1:108" s="33" customFormat="1" ht="6" hidden="1" customHeight="1" x14ac:dyDescent="0.3"/>
    <row r="87" spans="1:108" s="29" customFormat="1" ht="30.75" hidden="1" customHeight="1" x14ac:dyDescent="0.3">
      <c r="A87" s="484" t="s">
        <v>264</v>
      </c>
      <c r="B87" s="484"/>
      <c r="C87" s="484"/>
      <c r="D87" s="484"/>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71"/>
      <c r="AW87" s="471"/>
      <c r="AX87" s="471"/>
      <c r="AY87" s="471"/>
      <c r="AZ87" s="471"/>
      <c r="BA87" s="471"/>
      <c r="BB87" s="471"/>
      <c r="BC87" s="471"/>
      <c r="BD87" s="471"/>
      <c r="BE87" s="471"/>
      <c r="BF87" s="471"/>
      <c r="BG87" s="471"/>
      <c r="BH87" s="471"/>
      <c r="BI87" s="471"/>
      <c r="BJ87" s="471"/>
      <c r="BK87" s="471"/>
      <c r="BL87" s="471"/>
      <c r="BM87" s="471"/>
      <c r="BN87" s="471"/>
      <c r="BO87" s="471"/>
      <c r="BP87" s="471"/>
      <c r="BQ87" s="471"/>
      <c r="BR87" s="471"/>
      <c r="BS87" s="471"/>
      <c r="BT87" s="471"/>
      <c r="BU87" s="471"/>
      <c r="BV87" s="471"/>
      <c r="BW87" s="471"/>
      <c r="BX87" s="471"/>
      <c r="BY87" s="471"/>
      <c r="BZ87" s="471"/>
      <c r="CA87" s="471"/>
      <c r="CB87" s="471"/>
      <c r="CC87" s="471"/>
      <c r="CD87" s="471"/>
      <c r="CE87" s="471"/>
      <c r="CF87" s="471"/>
      <c r="CG87" s="471"/>
      <c r="CH87" s="471"/>
      <c r="CI87" s="471"/>
      <c r="CJ87" s="471"/>
      <c r="CK87" s="471"/>
      <c r="CL87" s="471"/>
      <c r="CM87" s="471"/>
      <c r="CN87" s="471"/>
      <c r="CO87" s="471"/>
      <c r="CP87" s="471"/>
      <c r="CQ87" s="471"/>
      <c r="CR87" s="471"/>
      <c r="CS87" s="471"/>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72" t="s">
        <v>49</v>
      </c>
      <c r="B89" s="473"/>
      <c r="C89" s="473"/>
      <c r="D89" s="473"/>
      <c r="E89" s="474"/>
      <c r="F89" s="472" t="s">
        <v>0</v>
      </c>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4"/>
      <c r="AV89" s="485" t="s">
        <v>244</v>
      </c>
      <c r="AW89" s="485"/>
      <c r="AX89" s="485"/>
      <c r="AY89" s="485"/>
      <c r="AZ89" s="485"/>
      <c r="BA89" s="485"/>
      <c r="BB89" s="485"/>
      <c r="BC89" s="485"/>
      <c r="BD89" s="485"/>
      <c r="BE89" s="485"/>
      <c r="BF89" s="485"/>
      <c r="BG89" s="485"/>
      <c r="BH89" s="485"/>
      <c r="BI89" s="485"/>
      <c r="BJ89" s="485"/>
      <c r="BK89" s="485"/>
      <c r="BL89" s="485"/>
      <c r="BM89" s="485"/>
      <c r="BN89" s="485"/>
      <c r="BO89" s="485"/>
      <c r="BP89" s="485"/>
      <c r="BQ89" s="485"/>
      <c r="BR89" s="485"/>
      <c r="BS89" s="485"/>
      <c r="BT89" s="485"/>
      <c r="BU89" s="485"/>
      <c r="BV89" s="485"/>
      <c r="BW89" s="485"/>
      <c r="BX89" s="485"/>
      <c r="BY89" s="485"/>
      <c r="BZ89" s="485"/>
      <c r="CA89" s="485"/>
      <c r="CB89" s="485"/>
      <c r="CC89" s="485"/>
      <c r="CD89" s="485"/>
      <c r="CE89" s="485"/>
      <c r="CF89" s="485"/>
      <c r="CG89" s="485"/>
      <c r="CH89" s="485"/>
      <c r="CI89" s="485"/>
      <c r="CJ89" s="485"/>
      <c r="CK89" s="485"/>
      <c r="CL89" s="485"/>
      <c r="CM89" s="485"/>
      <c r="CN89" s="485"/>
      <c r="CO89" s="485"/>
      <c r="CP89" s="485"/>
      <c r="CQ89" s="485"/>
      <c r="CR89" s="485"/>
      <c r="CS89" s="485"/>
      <c r="DD89" s="29"/>
    </row>
    <row r="90" spans="1:108" s="38" customFormat="1" hidden="1" x14ac:dyDescent="0.3">
      <c r="A90" s="465">
        <v>1</v>
      </c>
      <c r="B90" s="465"/>
      <c r="C90" s="465"/>
      <c r="D90" s="465"/>
      <c r="E90" s="465"/>
      <c r="F90" s="465">
        <v>2</v>
      </c>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6">
        <v>3</v>
      </c>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7"/>
      <c r="CM90" s="467"/>
      <c r="CN90" s="467"/>
      <c r="CO90" s="467"/>
      <c r="CP90" s="467"/>
      <c r="CQ90" s="467"/>
      <c r="CR90" s="467"/>
      <c r="CS90" s="468"/>
    </row>
    <row r="91" spans="1:108" s="39" customFormat="1" ht="15" hidden="1" customHeight="1" x14ac:dyDescent="0.3">
      <c r="A91" s="478" t="s">
        <v>258</v>
      </c>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79"/>
      <c r="BN91" s="479"/>
      <c r="BO91" s="479"/>
      <c r="BP91" s="479"/>
      <c r="BQ91" s="479"/>
      <c r="BR91" s="479"/>
      <c r="BS91" s="479"/>
      <c r="BT91" s="479"/>
      <c r="BU91" s="479"/>
      <c r="BV91" s="479"/>
      <c r="BW91" s="479"/>
      <c r="BX91" s="479"/>
      <c r="BY91" s="479"/>
      <c r="BZ91" s="479"/>
      <c r="CA91" s="479"/>
      <c r="CB91" s="479"/>
      <c r="CC91" s="479"/>
      <c r="CD91" s="479"/>
      <c r="CE91" s="479"/>
      <c r="CF91" s="479"/>
      <c r="CG91" s="479"/>
      <c r="CH91" s="479"/>
      <c r="CI91" s="479"/>
      <c r="CJ91" s="479"/>
      <c r="CK91" s="479"/>
      <c r="CL91" s="479"/>
      <c r="CM91" s="479"/>
      <c r="CN91" s="479"/>
      <c r="CO91" s="479"/>
      <c r="CP91" s="479"/>
      <c r="CQ91" s="479"/>
      <c r="CR91" s="479"/>
      <c r="CS91" s="480"/>
    </row>
    <row r="92" spans="1:108" s="39" customFormat="1" ht="15" hidden="1" customHeight="1" x14ac:dyDescent="0.3">
      <c r="A92" s="452"/>
      <c r="B92" s="452"/>
      <c r="C92" s="452"/>
      <c r="D92" s="452"/>
      <c r="E92" s="452"/>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60"/>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2"/>
    </row>
    <row r="93" spans="1:108" s="39" customFormat="1" ht="15" hidden="1" customHeight="1" x14ac:dyDescent="0.3">
      <c r="A93" s="469" t="s">
        <v>56</v>
      </c>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4"/>
      <c r="AV93" s="460"/>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2"/>
    </row>
    <row r="94" spans="1:108" s="39" customFormat="1" ht="15" hidden="1" customHeight="1" x14ac:dyDescent="0.3">
      <c r="A94" s="478" t="s">
        <v>258</v>
      </c>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479"/>
      <c r="BM94" s="479"/>
      <c r="BN94" s="479"/>
      <c r="BO94" s="479"/>
      <c r="BP94" s="479"/>
      <c r="BQ94" s="479"/>
      <c r="BR94" s="479"/>
      <c r="BS94" s="479"/>
      <c r="BT94" s="479"/>
      <c r="BU94" s="479"/>
      <c r="BV94" s="479"/>
      <c r="BW94" s="479"/>
      <c r="BX94" s="479"/>
      <c r="BY94" s="479"/>
      <c r="BZ94" s="479"/>
      <c r="CA94" s="479"/>
      <c r="CB94" s="479"/>
      <c r="CC94" s="479"/>
      <c r="CD94" s="479"/>
      <c r="CE94" s="479"/>
      <c r="CF94" s="479"/>
      <c r="CG94" s="479"/>
      <c r="CH94" s="479"/>
      <c r="CI94" s="479"/>
      <c r="CJ94" s="479"/>
      <c r="CK94" s="479"/>
      <c r="CL94" s="479"/>
      <c r="CM94" s="479"/>
      <c r="CN94" s="479"/>
      <c r="CO94" s="479"/>
      <c r="CP94" s="479"/>
      <c r="CQ94" s="479"/>
      <c r="CR94" s="479"/>
      <c r="CS94" s="480"/>
    </row>
    <row r="95" spans="1:108" s="39" customFormat="1" ht="15" hidden="1" customHeight="1" x14ac:dyDescent="0.3">
      <c r="A95" s="452"/>
      <c r="B95" s="452"/>
      <c r="C95" s="452"/>
      <c r="D95" s="452"/>
      <c r="E95" s="452"/>
      <c r="F95" s="459"/>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60"/>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461"/>
      <c r="BX95" s="461"/>
      <c r="BY95" s="461"/>
      <c r="BZ95" s="461"/>
      <c r="CA95" s="461"/>
      <c r="CB95" s="461"/>
      <c r="CC95" s="461"/>
      <c r="CD95" s="461"/>
      <c r="CE95" s="461"/>
      <c r="CF95" s="461"/>
      <c r="CG95" s="461"/>
      <c r="CH95" s="461"/>
      <c r="CI95" s="461"/>
      <c r="CJ95" s="461"/>
      <c r="CK95" s="461"/>
      <c r="CL95" s="461"/>
      <c r="CM95" s="461"/>
      <c r="CN95" s="461"/>
      <c r="CO95" s="461"/>
      <c r="CP95" s="461"/>
      <c r="CQ95" s="461"/>
      <c r="CR95" s="461"/>
      <c r="CS95" s="462"/>
    </row>
    <row r="96" spans="1:108" s="39" customFormat="1" ht="15" hidden="1" customHeight="1" x14ac:dyDescent="0.3">
      <c r="A96" s="469" t="s">
        <v>56</v>
      </c>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4"/>
      <c r="AV96" s="460"/>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2"/>
    </row>
    <row r="97" spans="1:97" s="39" customFormat="1" ht="15" hidden="1" customHeight="1" x14ac:dyDescent="0.3">
      <c r="A97" s="469" t="s">
        <v>56</v>
      </c>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4"/>
      <c r="AV97" s="460"/>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2"/>
    </row>
    <row r="98" spans="1:97" hidden="1" x14ac:dyDescent="0.25"/>
    <row r="99" spans="1:97" s="41" customFormat="1" ht="15" hidden="1" customHeight="1" x14ac:dyDescent="0.3">
      <c r="A99" s="470" t="s">
        <v>337</v>
      </c>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70"/>
      <c r="CL99" s="470"/>
      <c r="CM99" s="470"/>
      <c r="CN99" s="470"/>
      <c r="CO99" s="470"/>
      <c r="CP99" s="470"/>
      <c r="CQ99" s="470"/>
      <c r="CR99" s="470"/>
      <c r="CS99" s="470"/>
    </row>
    <row r="100" spans="1:97" s="27" customFormat="1" ht="6" hidden="1" customHeight="1" x14ac:dyDescent="0.3"/>
    <row r="101" spans="1:97" s="41" customFormat="1" ht="15.6" hidden="1" x14ac:dyDescent="0.3">
      <c r="A101" s="41" t="s">
        <v>215</v>
      </c>
      <c r="V101" s="471"/>
      <c r="W101" s="471"/>
      <c r="X101" s="471"/>
      <c r="Y101" s="471"/>
      <c r="Z101" s="471"/>
      <c r="AA101" s="471"/>
      <c r="AB101" s="471"/>
      <c r="AC101" s="471"/>
      <c r="AD101" s="471"/>
      <c r="AE101" s="471"/>
      <c r="AF101" s="471"/>
      <c r="AG101" s="471"/>
      <c r="AH101" s="471"/>
      <c r="AI101" s="471"/>
      <c r="AJ101" s="471"/>
      <c r="AK101" s="471"/>
      <c r="AL101" s="471"/>
      <c r="AM101" s="471"/>
      <c r="AN101" s="471"/>
      <c r="AO101" s="471"/>
      <c r="AP101" s="471"/>
      <c r="AQ101" s="471"/>
      <c r="AR101" s="471"/>
      <c r="AS101" s="471"/>
      <c r="AT101" s="471"/>
      <c r="AU101" s="471"/>
      <c r="AV101" s="471"/>
      <c r="AW101" s="471"/>
      <c r="AX101" s="471"/>
      <c r="AY101" s="471"/>
      <c r="AZ101" s="471"/>
      <c r="BA101" s="471"/>
      <c r="BB101" s="471"/>
      <c r="BC101" s="471"/>
      <c r="BD101" s="471"/>
      <c r="BE101" s="471"/>
      <c r="BF101" s="471"/>
      <c r="BG101" s="471"/>
      <c r="BH101" s="471"/>
      <c r="BI101" s="471"/>
      <c r="BJ101" s="471"/>
      <c r="BK101" s="471"/>
      <c r="BL101" s="471"/>
      <c r="BM101" s="471"/>
      <c r="BN101" s="471"/>
      <c r="BO101" s="471"/>
      <c r="BP101" s="471"/>
      <c r="BQ101" s="471"/>
      <c r="BR101" s="471"/>
      <c r="BS101" s="471"/>
      <c r="BT101" s="471"/>
      <c r="BU101" s="471"/>
      <c r="BV101" s="471"/>
      <c r="BW101" s="471"/>
      <c r="BX101" s="471"/>
      <c r="BY101" s="471"/>
      <c r="BZ101" s="471"/>
      <c r="CA101" s="471"/>
      <c r="CB101" s="471"/>
      <c r="CC101" s="471"/>
      <c r="CD101" s="471"/>
      <c r="CE101" s="471"/>
      <c r="CF101" s="471"/>
      <c r="CG101" s="471"/>
      <c r="CH101" s="471"/>
      <c r="CI101" s="471"/>
      <c r="CJ101" s="471"/>
      <c r="CK101" s="471"/>
      <c r="CL101" s="471"/>
      <c r="CM101" s="471"/>
      <c r="CN101" s="471"/>
      <c r="CO101" s="471"/>
      <c r="CP101" s="471"/>
      <c r="CQ101" s="471"/>
      <c r="CR101" s="471"/>
      <c r="CS101" s="471"/>
    </row>
    <row r="102" spans="1:97"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7" ht="53.25" hidden="1" customHeight="1" x14ac:dyDescent="0.25">
      <c r="A103" s="472" t="s">
        <v>49</v>
      </c>
      <c r="B103" s="473"/>
      <c r="C103" s="473"/>
      <c r="D103" s="473"/>
      <c r="E103" s="474"/>
      <c r="F103" s="472" t="s">
        <v>0</v>
      </c>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4"/>
      <c r="AV103" s="475" t="s">
        <v>79</v>
      </c>
      <c r="AW103" s="476"/>
      <c r="AX103" s="476"/>
      <c r="AY103" s="476"/>
      <c r="AZ103" s="476"/>
      <c r="BA103" s="476"/>
      <c r="BB103" s="476"/>
      <c r="BC103" s="476"/>
      <c r="BD103" s="476"/>
      <c r="BE103" s="476"/>
      <c r="BF103" s="476"/>
      <c r="BG103" s="476"/>
      <c r="BH103" s="476"/>
      <c r="BI103" s="476"/>
      <c r="BJ103" s="476"/>
      <c r="BK103" s="476"/>
      <c r="BL103" s="477"/>
      <c r="BM103" s="475" t="s">
        <v>80</v>
      </c>
      <c r="BN103" s="476"/>
      <c r="BO103" s="476"/>
      <c r="BP103" s="476"/>
      <c r="BQ103" s="476"/>
      <c r="BR103" s="476"/>
      <c r="BS103" s="476"/>
      <c r="BT103" s="476"/>
      <c r="BU103" s="476"/>
      <c r="BV103" s="476"/>
      <c r="BW103" s="476"/>
      <c r="BX103" s="476"/>
      <c r="BY103" s="476"/>
      <c r="BZ103" s="476"/>
      <c r="CA103" s="476"/>
      <c r="CB103" s="476"/>
      <c r="CC103" s="477"/>
      <c r="CD103" s="475" t="s">
        <v>81</v>
      </c>
      <c r="CE103" s="476"/>
      <c r="CF103" s="476"/>
      <c r="CG103" s="476"/>
      <c r="CH103" s="476"/>
      <c r="CI103" s="476"/>
      <c r="CJ103" s="476"/>
      <c r="CK103" s="476"/>
      <c r="CL103" s="476"/>
      <c r="CM103" s="476"/>
      <c r="CN103" s="476"/>
      <c r="CO103" s="476"/>
      <c r="CP103" s="476"/>
      <c r="CQ103" s="476"/>
      <c r="CR103" s="476"/>
      <c r="CS103" s="477"/>
    </row>
    <row r="104" spans="1:97" s="22" customFormat="1" hidden="1" x14ac:dyDescent="0.3">
      <c r="A104" s="465">
        <v>1</v>
      </c>
      <c r="B104" s="465"/>
      <c r="C104" s="465"/>
      <c r="D104" s="465"/>
      <c r="E104" s="465"/>
      <c r="F104" s="465">
        <v>2</v>
      </c>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6">
        <v>3</v>
      </c>
      <c r="AW104" s="467"/>
      <c r="AX104" s="467"/>
      <c r="AY104" s="467"/>
      <c r="AZ104" s="467"/>
      <c r="BA104" s="467"/>
      <c r="BB104" s="467"/>
      <c r="BC104" s="467"/>
      <c r="BD104" s="467"/>
      <c r="BE104" s="467"/>
      <c r="BF104" s="467"/>
      <c r="BG104" s="467"/>
      <c r="BH104" s="467"/>
      <c r="BI104" s="467"/>
      <c r="BJ104" s="467"/>
      <c r="BK104" s="467"/>
      <c r="BL104" s="468"/>
      <c r="BM104" s="466">
        <v>4</v>
      </c>
      <c r="BN104" s="467"/>
      <c r="BO104" s="467"/>
      <c r="BP104" s="467"/>
      <c r="BQ104" s="467"/>
      <c r="BR104" s="467"/>
      <c r="BS104" s="467"/>
      <c r="BT104" s="467"/>
      <c r="BU104" s="467"/>
      <c r="BV104" s="467"/>
      <c r="BW104" s="467"/>
      <c r="BX104" s="467"/>
      <c r="BY104" s="467"/>
      <c r="BZ104" s="467"/>
      <c r="CA104" s="467"/>
      <c r="CB104" s="467"/>
      <c r="CC104" s="468"/>
      <c r="CD104" s="466">
        <v>5</v>
      </c>
      <c r="CE104" s="467"/>
      <c r="CF104" s="467"/>
      <c r="CG104" s="467"/>
      <c r="CH104" s="467"/>
      <c r="CI104" s="467"/>
      <c r="CJ104" s="467"/>
      <c r="CK104" s="467"/>
      <c r="CL104" s="467"/>
      <c r="CM104" s="467"/>
      <c r="CN104" s="467"/>
      <c r="CO104" s="467"/>
      <c r="CP104" s="467"/>
      <c r="CQ104" s="467"/>
      <c r="CR104" s="467"/>
      <c r="CS104" s="468"/>
    </row>
    <row r="105" spans="1:97" s="23" customFormat="1" ht="15" hidden="1" customHeight="1" x14ac:dyDescent="0.3">
      <c r="A105" s="452"/>
      <c r="B105" s="452"/>
      <c r="C105" s="452"/>
      <c r="D105" s="452"/>
      <c r="E105" s="452"/>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60"/>
      <c r="AW105" s="461"/>
      <c r="AX105" s="461"/>
      <c r="AY105" s="461"/>
      <c r="AZ105" s="461"/>
      <c r="BA105" s="461"/>
      <c r="BB105" s="461"/>
      <c r="BC105" s="461"/>
      <c r="BD105" s="461"/>
      <c r="BE105" s="461"/>
      <c r="BF105" s="461"/>
      <c r="BG105" s="461"/>
      <c r="BH105" s="461"/>
      <c r="BI105" s="461"/>
      <c r="BJ105" s="461"/>
      <c r="BK105" s="461"/>
      <c r="BL105" s="462"/>
      <c r="BM105" s="460"/>
      <c r="BN105" s="461"/>
      <c r="BO105" s="461"/>
      <c r="BP105" s="461"/>
      <c r="BQ105" s="461"/>
      <c r="BR105" s="461"/>
      <c r="BS105" s="461"/>
      <c r="BT105" s="461"/>
      <c r="BU105" s="461"/>
      <c r="BV105" s="461"/>
      <c r="BW105" s="461"/>
      <c r="BX105" s="461"/>
      <c r="BY105" s="461"/>
      <c r="BZ105" s="461"/>
      <c r="CA105" s="461"/>
      <c r="CB105" s="461"/>
      <c r="CC105" s="462"/>
      <c r="CD105" s="460"/>
      <c r="CE105" s="461"/>
      <c r="CF105" s="461"/>
      <c r="CG105" s="461"/>
      <c r="CH105" s="461"/>
      <c r="CI105" s="461"/>
      <c r="CJ105" s="461"/>
      <c r="CK105" s="461"/>
      <c r="CL105" s="461"/>
      <c r="CM105" s="461"/>
      <c r="CN105" s="461"/>
      <c r="CO105" s="461"/>
      <c r="CP105" s="461"/>
      <c r="CQ105" s="461"/>
      <c r="CR105" s="461"/>
      <c r="CS105" s="462"/>
    </row>
    <row r="106" spans="1:97" s="23" customFormat="1" ht="15" hidden="1" customHeight="1" x14ac:dyDescent="0.3">
      <c r="A106" s="452"/>
      <c r="B106" s="452"/>
      <c r="C106" s="452"/>
      <c r="D106" s="452"/>
      <c r="E106" s="452"/>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60"/>
      <c r="AW106" s="461"/>
      <c r="AX106" s="461"/>
      <c r="AY106" s="461"/>
      <c r="AZ106" s="461"/>
      <c r="BA106" s="461"/>
      <c r="BB106" s="461"/>
      <c r="BC106" s="461"/>
      <c r="BD106" s="461"/>
      <c r="BE106" s="461"/>
      <c r="BF106" s="461"/>
      <c r="BG106" s="461"/>
      <c r="BH106" s="461"/>
      <c r="BI106" s="461"/>
      <c r="BJ106" s="461"/>
      <c r="BK106" s="461"/>
      <c r="BL106" s="462"/>
      <c r="BM106" s="460"/>
      <c r="BN106" s="461"/>
      <c r="BO106" s="461"/>
      <c r="BP106" s="461"/>
      <c r="BQ106" s="461"/>
      <c r="BR106" s="461"/>
      <c r="BS106" s="461"/>
      <c r="BT106" s="461"/>
      <c r="BU106" s="461"/>
      <c r="BV106" s="461"/>
      <c r="BW106" s="461"/>
      <c r="BX106" s="461"/>
      <c r="BY106" s="461"/>
      <c r="BZ106" s="461"/>
      <c r="CA106" s="461"/>
      <c r="CB106" s="461"/>
      <c r="CC106" s="462"/>
      <c r="CD106" s="460"/>
      <c r="CE106" s="461"/>
      <c r="CF106" s="461"/>
      <c r="CG106" s="461"/>
      <c r="CH106" s="461"/>
      <c r="CI106" s="461"/>
      <c r="CJ106" s="461"/>
      <c r="CK106" s="461"/>
      <c r="CL106" s="461"/>
      <c r="CM106" s="461"/>
      <c r="CN106" s="461"/>
      <c r="CO106" s="461"/>
      <c r="CP106" s="461"/>
      <c r="CQ106" s="461"/>
      <c r="CR106" s="461"/>
      <c r="CS106" s="462"/>
    </row>
    <row r="107" spans="1:97" s="23" customFormat="1" ht="15" hidden="1" customHeight="1" x14ac:dyDescent="0.3">
      <c r="A107" s="452"/>
      <c r="B107" s="452"/>
      <c r="C107" s="452"/>
      <c r="D107" s="452"/>
      <c r="E107" s="452"/>
      <c r="F107" s="463" t="s">
        <v>56</v>
      </c>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4"/>
      <c r="AV107" s="460"/>
      <c r="AW107" s="461"/>
      <c r="AX107" s="461"/>
      <c r="AY107" s="461"/>
      <c r="AZ107" s="461"/>
      <c r="BA107" s="461"/>
      <c r="BB107" s="461"/>
      <c r="BC107" s="461"/>
      <c r="BD107" s="461"/>
      <c r="BE107" s="461"/>
      <c r="BF107" s="461"/>
      <c r="BG107" s="461"/>
      <c r="BH107" s="461"/>
      <c r="BI107" s="461"/>
      <c r="BJ107" s="461"/>
      <c r="BK107" s="461"/>
      <c r="BL107" s="462"/>
      <c r="BM107" s="460"/>
      <c r="BN107" s="461"/>
      <c r="BO107" s="461"/>
      <c r="BP107" s="461"/>
      <c r="BQ107" s="461"/>
      <c r="BR107" s="461"/>
      <c r="BS107" s="461"/>
      <c r="BT107" s="461"/>
      <c r="BU107" s="461"/>
      <c r="BV107" s="461"/>
      <c r="BW107" s="461"/>
      <c r="BX107" s="461"/>
      <c r="BY107" s="461"/>
      <c r="BZ107" s="461"/>
      <c r="CA107" s="461"/>
      <c r="CB107" s="461"/>
      <c r="CC107" s="462"/>
      <c r="CD107" s="460"/>
      <c r="CE107" s="461"/>
      <c r="CF107" s="461"/>
      <c r="CG107" s="461"/>
      <c r="CH107" s="461"/>
      <c r="CI107" s="461"/>
      <c r="CJ107" s="461"/>
      <c r="CK107" s="461"/>
      <c r="CL107" s="461"/>
      <c r="CM107" s="461"/>
      <c r="CN107" s="461"/>
      <c r="CO107" s="461"/>
      <c r="CP107" s="461"/>
      <c r="CQ107" s="461"/>
      <c r="CR107" s="461"/>
      <c r="CS107" s="462"/>
    </row>
    <row r="108" spans="1:97" hidden="1" x14ac:dyDescent="0.25"/>
    <row r="109" spans="1:97" ht="30.75" customHeight="1" x14ac:dyDescent="0.25">
      <c r="A109" s="428" t="s">
        <v>336</v>
      </c>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8"/>
      <c r="AY109" s="428"/>
      <c r="AZ109" s="428"/>
      <c r="BA109" s="428"/>
      <c r="BB109" s="428"/>
      <c r="BC109" s="428"/>
      <c r="BD109" s="428"/>
      <c r="BE109" s="428"/>
      <c r="BF109" s="428"/>
      <c r="BG109" s="428"/>
      <c r="BH109" s="428"/>
      <c r="BI109" s="428"/>
      <c r="BJ109" s="428"/>
      <c r="BK109" s="428"/>
      <c r="BL109" s="428"/>
      <c r="BM109" s="428"/>
      <c r="BN109" s="428"/>
      <c r="BO109" s="428"/>
      <c r="BP109" s="428"/>
      <c r="BQ109" s="428"/>
      <c r="BR109" s="428"/>
      <c r="BS109" s="428"/>
      <c r="BT109" s="428"/>
      <c r="BU109" s="428"/>
      <c r="BV109" s="428"/>
      <c r="BW109" s="428"/>
      <c r="BX109" s="428"/>
      <c r="BY109" s="428"/>
      <c r="BZ109" s="428"/>
      <c r="CA109" s="428"/>
      <c r="CB109" s="428"/>
      <c r="CC109" s="428"/>
      <c r="CD109" s="428"/>
      <c r="CE109" s="428"/>
      <c r="CF109" s="428"/>
      <c r="CG109" s="428"/>
      <c r="CH109" s="428"/>
      <c r="CI109" s="428"/>
      <c r="CJ109" s="428"/>
      <c r="CK109" s="428"/>
      <c r="CL109" s="428"/>
      <c r="CM109" s="428"/>
      <c r="CN109" s="428"/>
      <c r="CO109" s="428"/>
      <c r="CP109" s="428"/>
      <c r="CQ109" s="428"/>
      <c r="CR109" s="428"/>
      <c r="CS109" s="428"/>
    </row>
    <row r="110" spans="1:97" x14ac:dyDescent="0.25">
      <c r="A110" s="456" t="s">
        <v>464</v>
      </c>
      <c r="B110" s="456"/>
      <c r="C110" s="456"/>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7"/>
      <c r="AW110" s="457"/>
      <c r="AX110" s="457"/>
      <c r="AY110" s="457"/>
      <c r="AZ110" s="457"/>
      <c r="BA110" s="457"/>
      <c r="BB110" s="457"/>
      <c r="BC110" s="457"/>
      <c r="BD110" s="457"/>
      <c r="BE110" s="457"/>
      <c r="BF110" s="457"/>
      <c r="BG110" s="457"/>
      <c r="BH110" s="457"/>
      <c r="BI110" s="457"/>
      <c r="BJ110" s="457"/>
      <c r="BK110" s="457"/>
      <c r="BL110" s="457"/>
      <c r="BM110" s="457"/>
      <c r="BN110" s="457"/>
      <c r="BO110" s="457"/>
      <c r="BP110" s="457"/>
      <c r="BQ110" s="457"/>
      <c r="BR110" s="457"/>
      <c r="BS110" s="457"/>
      <c r="BT110" s="457"/>
      <c r="BU110" s="457"/>
      <c r="BV110" s="457"/>
      <c r="BW110" s="457"/>
      <c r="BX110" s="457"/>
      <c r="BY110" s="457"/>
      <c r="BZ110" s="457"/>
      <c r="CA110" s="457"/>
      <c r="CB110" s="457"/>
      <c r="CC110" s="457"/>
      <c r="CD110" s="458">
        <f>AV24+BW35+CD43+CD63+AV25</f>
        <v>137757600</v>
      </c>
      <c r="CE110" s="456"/>
      <c r="CF110" s="456"/>
      <c r="CG110" s="456"/>
      <c r="CH110" s="456"/>
      <c r="CI110" s="456"/>
      <c r="CJ110" s="456"/>
      <c r="CK110" s="456"/>
      <c r="CL110" s="456"/>
      <c r="CM110" s="456"/>
      <c r="CN110" s="456"/>
      <c r="CO110" s="456"/>
      <c r="CP110" s="456"/>
      <c r="CQ110" s="456"/>
      <c r="CR110" s="456"/>
      <c r="CS110" s="456"/>
    </row>
  </sheetData>
  <mergeCells count="266">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AP47"/>
    <mergeCell ref="AQ47:CS47"/>
    <mergeCell ref="A49:E49"/>
    <mergeCell ref="F49:AU49"/>
    <mergeCell ref="AV49:BL49"/>
    <mergeCell ref="BM49:CC49"/>
    <mergeCell ref="CD49:CS49"/>
    <mergeCell ref="A43:E43"/>
    <mergeCell ref="F43:AU43"/>
    <mergeCell ref="AV43:BL43"/>
    <mergeCell ref="BM43:CC43"/>
    <mergeCell ref="CD43:CS43"/>
    <mergeCell ref="A45:CS45"/>
    <mergeCell ref="A50:E50"/>
    <mergeCell ref="F50:AU50"/>
    <mergeCell ref="AV50:BL50"/>
    <mergeCell ref="BM50:CC50"/>
    <mergeCell ref="CD50:CS50"/>
    <mergeCell ref="A51:E51"/>
    <mergeCell ref="F51:AU51"/>
    <mergeCell ref="AV51:BL51"/>
    <mergeCell ref="BM51:CC51"/>
    <mergeCell ref="CD51:CS51"/>
    <mergeCell ref="A55:CS55"/>
    <mergeCell ref="A57:AP57"/>
    <mergeCell ref="AQ57:CS57"/>
    <mergeCell ref="A59:E59"/>
    <mergeCell ref="F59:AU59"/>
    <mergeCell ref="AV59:BL59"/>
    <mergeCell ref="BM59:CC59"/>
    <mergeCell ref="CD59:CS59"/>
    <mergeCell ref="A52:E52"/>
    <mergeCell ref="F52:AU52"/>
    <mergeCell ref="AV52:BL52"/>
    <mergeCell ref="BM52:CC52"/>
    <mergeCell ref="CD52:CS52"/>
    <mergeCell ref="A53:E53"/>
    <mergeCell ref="F53:AU53"/>
    <mergeCell ref="AV53:BL53"/>
    <mergeCell ref="BM53:CC53"/>
    <mergeCell ref="CD53:CS53"/>
    <mergeCell ref="A60:E60"/>
    <mergeCell ref="F60:AU60"/>
    <mergeCell ref="AV60:BL60"/>
    <mergeCell ref="BM60:CC60"/>
    <mergeCell ref="CD60:CS60"/>
    <mergeCell ref="A61:E61"/>
    <mergeCell ref="F61:AU61"/>
    <mergeCell ref="AV61:BL61"/>
    <mergeCell ref="BM61:CC61"/>
    <mergeCell ref="CD61:CS61"/>
    <mergeCell ref="A65:CS65"/>
    <mergeCell ref="A67:AP67"/>
    <mergeCell ref="AQ67:CS67"/>
    <mergeCell ref="A69:E69"/>
    <mergeCell ref="F69:AU69"/>
    <mergeCell ref="AV69:CS69"/>
    <mergeCell ref="A62:E62"/>
    <mergeCell ref="F62:AU62"/>
    <mergeCell ref="AV62:BL62"/>
    <mergeCell ref="BM62:CC62"/>
    <mergeCell ref="CD62:CS62"/>
    <mergeCell ref="A63:E63"/>
    <mergeCell ref="F63:AU63"/>
    <mergeCell ref="AV63:BL63"/>
    <mergeCell ref="BM63:CC63"/>
    <mergeCell ref="CD63:CS63"/>
    <mergeCell ref="A72:E72"/>
    <mergeCell ref="F72:AU72"/>
    <mergeCell ref="AV72:CS72"/>
    <mergeCell ref="A73:E73"/>
    <mergeCell ref="F73:AU73"/>
    <mergeCell ref="AV73:CS73"/>
    <mergeCell ref="A70:E70"/>
    <mergeCell ref="F70:AU70"/>
    <mergeCell ref="AV70:CS70"/>
    <mergeCell ref="A71:E71"/>
    <mergeCell ref="F71:AU71"/>
    <mergeCell ref="AV71:CS71"/>
    <mergeCell ref="A80:E80"/>
    <mergeCell ref="F80:AL80"/>
    <mergeCell ref="AM80:AU80"/>
    <mergeCell ref="AV80:BL80"/>
    <mergeCell ref="BM80:CC80"/>
    <mergeCell ref="CD80:CS80"/>
    <mergeCell ref="A75:CS75"/>
    <mergeCell ref="A77:AP77"/>
    <mergeCell ref="AQ77:CS77"/>
    <mergeCell ref="A79:E79"/>
    <mergeCell ref="F79:AL79"/>
    <mergeCell ref="AM79:AU79"/>
    <mergeCell ref="AV79:BL79"/>
    <mergeCell ref="BM79:CC79"/>
    <mergeCell ref="CD79:CS79"/>
    <mergeCell ref="A82:E82"/>
    <mergeCell ref="F82:AL82"/>
    <mergeCell ref="AM82:AU82"/>
    <mergeCell ref="AV82:BL82"/>
    <mergeCell ref="BM82:CC82"/>
    <mergeCell ref="CD82:CS82"/>
    <mergeCell ref="A81:E81"/>
    <mergeCell ref="F81:AL81"/>
    <mergeCell ref="AM81:AU81"/>
    <mergeCell ref="AV81:BL81"/>
    <mergeCell ref="BM81:CC81"/>
    <mergeCell ref="CD81:CS81"/>
    <mergeCell ref="A87:AU87"/>
    <mergeCell ref="AV87:CS87"/>
    <mergeCell ref="A89:E89"/>
    <mergeCell ref="F89:AU89"/>
    <mergeCell ref="AV89:CS89"/>
    <mergeCell ref="A90:E90"/>
    <mergeCell ref="F90:AU90"/>
    <mergeCell ref="AV90:CS90"/>
    <mergeCell ref="A83:E83"/>
    <mergeCell ref="F83:AU83"/>
    <mergeCell ref="AV83:BL83"/>
    <mergeCell ref="BM83:CC83"/>
    <mergeCell ref="CD83:CS83"/>
    <mergeCell ref="A85:CS85"/>
    <mergeCell ref="A94:CS94"/>
    <mergeCell ref="A95:E95"/>
    <mergeCell ref="F95:AU95"/>
    <mergeCell ref="AV95:CS95"/>
    <mergeCell ref="A96:AU96"/>
    <mergeCell ref="AV96:CS96"/>
    <mergeCell ref="A91:CS91"/>
    <mergeCell ref="A92:E92"/>
    <mergeCell ref="F92:AU92"/>
    <mergeCell ref="AV92:CS92"/>
    <mergeCell ref="A93:AU93"/>
    <mergeCell ref="AV93:CS93"/>
    <mergeCell ref="A97:AU97"/>
    <mergeCell ref="AV97:CS97"/>
    <mergeCell ref="A99:CS99"/>
    <mergeCell ref="V101:CS101"/>
    <mergeCell ref="A103:E103"/>
    <mergeCell ref="F103:AU103"/>
    <mergeCell ref="AV103:BL103"/>
    <mergeCell ref="BM103:CC103"/>
    <mergeCell ref="CD103:CS103"/>
    <mergeCell ref="A104:E104"/>
    <mergeCell ref="F104:AU104"/>
    <mergeCell ref="AV104:BL104"/>
    <mergeCell ref="BM104:CC104"/>
    <mergeCell ref="CD104:CS104"/>
    <mergeCell ref="A105:E105"/>
    <mergeCell ref="F105:AU105"/>
    <mergeCell ref="AV105:BL105"/>
    <mergeCell ref="BM105:CC105"/>
    <mergeCell ref="CD105:CS105"/>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s>
  <pageMargins left="0.98425196850393704" right="0.39370078740157483" top="0.59055118110236227" bottom="0.59055118110236227"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V115"/>
  <sheetViews>
    <sheetView view="pageBreakPreview" zoomScaleNormal="55" zoomScaleSheetLayoutView="100" workbookViewId="0">
      <pane ySplit="17" topLeftCell="A18" activePane="bottomLeft" state="frozenSplit"/>
      <selection pane="bottomLeft" activeCell="FN83" sqref="FN83"/>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6.88671875" style="152"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172" s="13" customFormat="1" ht="13.8" x14ac:dyDescent="0.25">
      <c r="A2" s="593" t="s">
        <v>534</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c r="DK2" s="593"/>
      <c r="DL2" s="593"/>
      <c r="DM2" s="593"/>
      <c r="DN2" s="593"/>
      <c r="DO2" s="593"/>
      <c r="DP2" s="593"/>
      <c r="DQ2" s="593"/>
      <c r="DR2" s="593"/>
      <c r="DS2" s="593"/>
      <c r="DT2" s="593"/>
      <c r="DU2" s="593"/>
      <c r="DV2" s="593"/>
      <c r="DW2" s="593"/>
      <c r="DX2" s="593"/>
      <c r="DY2" s="593"/>
      <c r="DZ2" s="593"/>
      <c r="EA2" s="593"/>
      <c r="EB2" s="593"/>
      <c r="EC2" s="593"/>
      <c r="ED2" s="593"/>
      <c r="EE2" s="593"/>
      <c r="EF2" s="593"/>
      <c r="EG2" s="593"/>
      <c r="EH2" s="593"/>
      <c r="EI2" s="593"/>
      <c r="EJ2" s="593"/>
      <c r="EK2" s="593"/>
      <c r="EL2" s="593"/>
      <c r="EM2" s="593"/>
      <c r="EN2" s="593"/>
      <c r="EO2" s="593"/>
      <c r="EP2" s="593"/>
      <c r="EQ2" s="593"/>
      <c r="ER2" s="593"/>
      <c r="ES2" s="593"/>
      <c r="ET2" s="593"/>
      <c r="EU2" s="593"/>
      <c r="EV2" s="593"/>
      <c r="EW2" s="593"/>
      <c r="EX2" s="593"/>
      <c r="EY2" s="593"/>
      <c r="EZ2" s="593"/>
      <c r="FA2" s="593"/>
      <c r="FB2" s="593"/>
      <c r="FC2" s="593"/>
      <c r="FD2" s="593"/>
      <c r="FE2" s="593"/>
      <c r="FF2" s="593"/>
      <c r="FG2" s="593"/>
      <c r="FH2" s="593"/>
      <c r="FI2" s="593"/>
      <c r="FJ2" s="593"/>
      <c r="FN2" s="153"/>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3"/>
    </row>
    <row r="4" spans="1:172" s="13" customFormat="1" ht="13.8" x14ac:dyDescent="0.25">
      <c r="A4" s="594" t="s">
        <v>273</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4"/>
      <c r="ED4" s="594"/>
      <c r="EE4" s="594"/>
      <c r="EF4" s="594"/>
      <c r="EG4" s="594"/>
      <c r="EH4" s="594"/>
      <c r="EI4" s="594"/>
      <c r="EJ4" s="594"/>
      <c r="EK4" s="594"/>
      <c r="EL4" s="594"/>
      <c r="EM4" s="594"/>
      <c r="EN4" s="594"/>
      <c r="EO4" s="594"/>
      <c r="EP4" s="594"/>
      <c r="EQ4" s="594"/>
      <c r="ER4" s="594"/>
      <c r="ES4" s="594"/>
      <c r="ET4" s="594"/>
      <c r="EU4" s="594"/>
      <c r="EV4" s="594"/>
      <c r="EW4" s="594"/>
      <c r="EX4" s="594"/>
      <c r="EY4" s="594"/>
      <c r="EZ4" s="594"/>
      <c r="FA4" s="594"/>
      <c r="FB4" s="594"/>
      <c r="FC4" s="594"/>
      <c r="FD4" s="594"/>
      <c r="FE4" s="594"/>
      <c r="FF4" s="594"/>
      <c r="FG4" s="594"/>
      <c r="FH4" s="594"/>
      <c r="FI4" s="594"/>
      <c r="FJ4" s="594"/>
      <c r="FK4" s="594"/>
      <c r="FL4" s="594"/>
      <c r="FM4" s="594"/>
      <c r="FN4" s="594"/>
      <c r="FO4" s="594"/>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4"/>
      <c r="FO5" s="20"/>
    </row>
    <row r="6" spans="1:172" s="13" customFormat="1" ht="13.8" x14ac:dyDescent="0.25">
      <c r="A6" s="594" t="s">
        <v>274</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4"/>
      <c r="DF6" s="594"/>
      <c r="DG6" s="594"/>
      <c r="DH6" s="594"/>
      <c r="DI6" s="594"/>
      <c r="DJ6" s="594"/>
      <c r="DK6" s="594"/>
      <c r="DL6" s="594"/>
      <c r="DM6" s="594"/>
      <c r="DN6" s="594"/>
      <c r="DO6" s="594"/>
      <c r="DP6" s="594"/>
      <c r="DQ6" s="594"/>
      <c r="DR6" s="594"/>
      <c r="DS6" s="594"/>
      <c r="DT6" s="594"/>
      <c r="DU6" s="594"/>
      <c r="DV6" s="594"/>
      <c r="DW6" s="594"/>
      <c r="DX6" s="594"/>
      <c r="DY6" s="594"/>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c r="FH6" s="594"/>
      <c r="FI6" s="594"/>
      <c r="FJ6" s="594"/>
      <c r="FK6" s="594"/>
      <c r="FL6" s="594"/>
      <c r="FM6" s="594"/>
      <c r="FN6" s="594"/>
      <c r="FO6" s="594"/>
    </row>
    <row r="7" spans="1:172" ht="7.2" customHeight="1" x14ac:dyDescent="0.25"/>
    <row r="8" spans="1:172" s="20" customFormat="1" ht="13.8" x14ac:dyDescent="0.25">
      <c r="A8" s="20" t="s">
        <v>47</v>
      </c>
      <c r="AC8" s="595" t="s">
        <v>466</v>
      </c>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c r="CP8" s="595"/>
      <c r="CQ8" s="595"/>
      <c r="CR8" s="595"/>
      <c r="CS8" s="595"/>
      <c r="CT8" s="595"/>
      <c r="CU8" s="595"/>
      <c r="CV8" s="595"/>
      <c r="CW8" s="595"/>
      <c r="CX8" s="595"/>
      <c r="CY8" s="595"/>
      <c r="CZ8" s="595"/>
      <c r="DA8" s="595"/>
      <c r="DB8" s="595"/>
      <c r="DC8" s="595"/>
      <c r="DD8" s="595"/>
      <c r="DE8" s="595"/>
      <c r="DF8" s="595"/>
      <c r="DG8" s="595"/>
      <c r="DH8" s="595"/>
      <c r="DI8" s="595"/>
      <c r="DJ8" s="595"/>
      <c r="DK8" s="595"/>
      <c r="DL8" s="595"/>
      <c r="DM8" s="595"/>
      <c r="DN8" s="595"/>
      <c r="DO8" s="595"/>
      <c r="DP8" s="595"/>
      <c r="DQ8" s="595"/>
      <c r="DR8" s="595"/>
      <c r="DS8" s="595"/>
      <c r="DT8" s="595"/>
      <c r="DU8" s="595"/>
      <c r="DV8" s="595"/>
      <c r="DW8" s="595"/>
      <c r="DX8" s="595"/>
      <c r="DY8" s="595"/>
      <c r="DZ8" s="595"/>
      <c r="EA8" s="595"/>
      <c r="EB8" s="595"/>
      <c r="EC8" s="595"/>
      <c r="ED8" s="595"/>
      <c r="EE8" s="595"/>
      <c r="EF8" s="595"/>
      <c r="EG8" s="595"/>
      <c r="EH8" s="595"/>
      <c r="EI8" s="595"/>
      <c r="EJ8" s="595"/>
      <c r="EK8" s="595"/>
      <c r="EL8" s="595"/>
      <c r="EM8" s="595"/>
      <c r="EN8" s="595"/>
      <c r="EO8" s="595"/>
      <c r="EP8" s="595"/>
      <c r="EQ8" s="595"/>
      <c r="ER8" s="595"/>
      <c r="ES8" s="595"/>
      <c r="ET8" s="595"/>
      <c r="EU8" s="595"/>
      <c r="EV8" s="595"/>
      <c r="EW8" s="595"/>
      <c r="EX8" s="595"/>
      <c r="EY8" s="595"/>
      <c r="EZ8" s="595"/>
      <c r="FA8" s="595"/>
      <c r="FB8" s="595"/>
      <c r="FC8" s="595"/>
      <c r="FD8" s="595"/>
      <c r="FE8" s="595"/>
      <c r="FF8" s="595"/>
      <c r="FG8" s="595"/>
      <c r="FH8" s="595"/>
      <c r="FI8" s="595"/>
      <c r="FJ8" s="595"/>
      <c r="FN8" s="154"/>
    </row>
    <row r="9" spans="1:172" customFormat="1" ht="6" customHeight="1" x14ac:dyDescent="0.3">
      <c r="FN9" s="155"/>
    </row>
    <row r="10" spans="1:172" s="20" customFormat="1" ht="13.8" x14ac:dyDescent="0.25">
      <c r="A10" s="594" t="s">
        <v>48</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6" t="s">
        <v>467</v>
      </c>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596"/>
      <c r="DG10" s="596"/>
      <c r="DH10" s="596"/>
      <c r="DI10" s="596"/>
      <c r="DJ10" s="596"/>
      <c r="DK10" s="596"/>
      <c r="DL10" s="596"/>
      <c r="DM10" s="596"/>
      <c r="DN10" s="596"/>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596"/>
      <c r="ES10" s="596"/>
      <c r="ET10" s="596"/>
      <c r="EU10" s="596"/>
      <c r="EV10" s="596"/>
      <c r="EW10" s="596"/>
      <c r="EX10" s="596"/>
      <c r="EY10" s="596"/>
      <c r="EZ10" s="596"/>
      <c r="FA10" s="596"/>
      <c r="FB10" s="596"/>
      <c r="FC10" s="596"/>
      <c r="FD10" s="596"/>
      <c r="FE10" s="596"/>
      <c r="FF10" s="596"/>
      <c r="FG10" s="596"/>
      <c r="FH10" s="596"/>
      <c r="FI10" s="596"/>
      <c r="FJ10" s="596"/>
      <c r="FN10" s="154"/>
    </row>
    <row r="11" spans="1:172" ht="6" customHeight="1" x14ac:dyDescent="0.25"/>
    <row r="12" spans="1:172" ht="5.4" customHeight="1" x14ac:dyDescent="0.25">
      <c r="FK12" s="156" t="s">
        <v>468</v>
      </c>
      <c r="FL12" s="156" t="s">
        <v>469</v>
      </c>
      <c r="FM12" s="156"/>
      <c r="FN12" s="157"/>
      <c r="FO12" s="156"/>
    </row>
    <row r="13" spans="1:172" s="18" customFormat="1" ht="12.75" customHeight="1" x14ac:dyDescent="0.3">
      <c r="A13" s="597" t="s">
        <v>49</v>
      </c>
      <c r="B13" s="598"/>
      <c r="C13" s="598"/>
      <c r="D13" s="598"/>
      <c r="E13" s="598"/>
      <c r="F13" s="599"/>
      <c r="G13" s="597" t="s">
        <v>251</v>
      </c>
      <c r="H13" s="598"/>
      <c r="I13" s="598"/>
      <c r="J13" s="598"/>
      <c r="K13" s="598"/>
      <c r="L13" s="598"/>
      <c r="M13" s="598"/>
      <c r="N13" s="598"/>
      <c r="O13" s="598"/>
      <c r="P13" s="598"/>
      <c r="Q13" s="598"/>
      <c r="R13" s="598"/>
      <c r="S13" s="598"/>
      <c r="T13" s="598"/>
      <c r="U13" s="598"/>
      <c r="V13" s="598"/>
      <c r="W13" s="598"/>
      <c r="X13" s="598"/>
      <c r="Y13" s="598"/>
      <c r="Z13" s="598"/>
      <c r="AA13" s="598"/>
      <c r="AB13" s="598"/>
      <c r="AC13" s="599"/>
      <c r="AD13" s="597" t="s">
        <v>50</v>
      </c>
      <c r="AE13" s="598"/>
      <c r="AF13" s="598"/>
      <c r="AG13" s="598"/>
      <c r="AH13" s="598"/>
      <c r="AI13" s="598"/>
      <c r="AJ13" s="598"/>
      <c r="AK13" s="598"/>
      <c r="AL13" s="598"/>
      <c r="AM13" s="598"/>
      <c r="AN13" s="598"/>
      <c r="AO13" s="598"/>
      <c r="AP13" s="598"/>
      <c r="AQ13" s="598"/>
      <c r="AR13" s="598"/>
      <c r="AS13" s="599"/>
      <c r="AT13" s="475" t="s">
        <v>51</v>
      </c>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7"/>
      <c r="DN13" s="597" t="s">
        <v>52</v>
      </c>
      <c r="DO13" s="598"/>
      <c r="DP13" s="598"/>
      <c r="DQ13" s="598"/>
      <c r="DR13" s="598"/>
      <c r="DS13" s="598"/>
      <c r="DT13" s="598"/>
      <c r="DU13" s="598"/>
      <c r="DV13" s="598"/>
      <c r="DW13" s="598"/>
      <c r="DX13" s="598"/>
      <c r="DY13" s="598"/>
      <c r="DZ13" s="598"/>
      <c r="EA13" s="598"/>
      <c r="EB13" s="598"/>
      <c r="EC13" s="599"/>
      <c r="ED13" s="597" t="s">
        <v>100</v>
      </c>
      <c r="EE13" s="598"/>
      <c r="EF13" s="598"/>
      <c r="EG13" s="598"/>
      <c r="EH13" s="598"/>
      <c r="EI13" s="598"/>
      <c r="EJ13" s="598"/>
      <c r="EK13" s="598"/>
      <c r="EL13" s="598"/>
      <c r="EM13" s="598"/>
      <c r="EN13" s="598"/>
      <c r="EO13" s="598"/>
      <c r="EP13" s="598"/>
      <c r="EQ13" s="598"/>
      <c r="ER13" s="598"/>
      <c r="ES13" s="599"/>
      <c r="ET13" s="597" t="s">
        <v>101</v>
      </c>
      <c r="EU13" s="598"/>
      <c r="EV13" s="598"/>
      <c r="EW13" s="598"/>
      <c r="EX13" s="598"/>
      <c r="EY13" s="598"/>
      <c r="EZ13" s="598"/>
      <c r="FA13" s="598"/>
      <c r="FB13" s="598"/>
      <c r="FC13" s="598"/>
      <c r="FD13" s="598"/>
      <c r="FE13" s="598"/>
      <c r="FF13" s="598"/>
      <c r="FG13" s="598"/>
      <c r="FH13" s="598"/>
      <c r="FI13" s="598"/>
      <c r="FJ13" s="599"/>
      <c r="FK13" s="158"/>
      <c r="FL13" s="158"/>
      <c r="FM13" s="158"/>
      <c r="FN13" s="159"/>
      <c r="FO13" s="158"/>
    </row>
    <row r="14" spans="1:172" s="18" customFormat="1" ht="24.9" customHeight="1" x14ac:dyDescent="0.3">
      <c r="A14" s="600"/>
      <c r="B14" s="601"/>
      <c r="C14" s="601"/>
      <c r="D14" s="601"/>
      <c r="E14" s="601"/>
      <c r="F14" s="602"/>
      <c r="G14" s="600"/>
      <c r="H14" s="601"/>
      <c r="I14" s="601"/>
      <c r="J14" s="601"/>
      <c r="K14" s="601"/>
      <c r="L14" s="601"/>
      <c r="M14" s="601"/>
      <c r="N14" s="601"/>
      <c r="O14" s="601"/>
      <c r="P14" s="601"/>
      <c r="Q14" s="601"/>
      <c r="R14" s="601"/>
      <c r="S14" s="601"/>
      <c r="T14" s="601"/>
      <c r="U14" s="601"/>
      <c r="V14" s="601"/>
      <c r="W14" s="601"/>
      <c r="X14" s="601"/>
      <c r="Y14" s="601"/>
      <c r="Z14" s="601"/>
      <c r="AA14" s="601"/>
      <c r="AB14" s="601"/>
      <c r="AC14" s="602"/>
      <c r="AD14" s="600"/>
      <c r="AE14" s="601"/>
      <c r="AF14" s="601"/>
      <c r="AG14" s="601"/>
      <c r="AH14" s="601"/>
      <c r="AI14" s="601"/>
      <c r="AJ14" s="601"/>
      <c r="AK14" s="601"/>
      <c r="AL14" s="601"/>
      <c r="AM14" s="601"/>
      <c r="AN14" s="601"/>
      <c r="AO14" s="601"/>
      <c r="AP14" s="601"/>
      <c r="AQ14" s="601"/>
      <c r="AR14" s="601"/>
      <c r="AS14" s="602"/>
      <c r="AT14" s="597" t="s">
        <v>2</v>
      </c>
      <c r="AU14" s="598"/>
      <c r="AV14" s="598"/>
      <c r="AW14" s="598"/>
      <c r="AX14" s="598"/>
      <c r="AY14" s="598"/>
      <c r="AZ14" s="598"/>
      <c r="BA14" s="598"/>
      <c r="BB14" s="598"/>
      <c r="BC14" s="598"/>
      <c r="BD14" s="598"/>
      <c r="BE14" s="598"/>
      <c r="BF14" s="598"/>
      <c r="BG14" s="598"/>
      <c r="BH14" s="598"/>
      <c r="BI14" s="598"/>
      <c r="BJ14" s="599"/>
      <c r="BK14" s="475" t="s">
        <v>3</v>
      </c>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7"/>
      <c r="DN14" s="600"/>
      <c r="DO14" s="601"/>
      <c r="DP14" s="601"/>
      <c r="DQ14" s="601"/>
      <c r="DR14" s="601"/>
      <c r="DS14" s="601"/>
      <c r="DT14" s="601"/>
      <c r="DU14" s="601"/>
      <c r="DV14" s="601"/>
      <c r="DW14" s="601"/>
      <c r="DX14" s="601"/>
      <c r="DY14" s="601"/>
      <c r="DZ14" s="601"/>
      <c r="EA14" s="601"/>
      <c r="EB14" s="601"/>
      <c r="EC14" s="602"/>
      <c r="ED14" s="600"/>
      <c r="EE14" s="601"/>
      <c r="EF14" s="601"/>
      <c r="EG14" s="601"/>
      <c r="EH14" s="601"/>
      <c r="EI14" s="601"/>
      <c r="EJ14" s="601"/>
      <c r="EK14" s="601"/>
      <c r="EL14" s="601"/>
      <c r="EM14" s="601"/>
      <c r="EN14" s="601"/>
      <c r="EO14" s="601"/>
      <c r="EP14" s="601"/>
      <c r="EQ14" s="601"/>
      <c r="ER14" s="601"/>
      <c r="ES14" s="602"/>
      <c r="ET14" s="600"/>
      <c r="EU14" s="601"/>
      <c r="EV14" s="601"/>
      <c r="EW14" s="601"/>
      <c r="EX14" s="601"/>
      <c r="EY14" s="601"/>
      <c r="EZ14" s="601"/>
      <c r="FA14" s="601"/>
      <c r="FB14" s="601"/>
      <c r="FC14" s="601"/>
      <c r="FD14" s="601"/>
      <c r="FE14" s="601"/>
      <c r="FF14" s="601"/>
      <c r="FG14" s="601"/>
      <c r="FH14" s="601"/>
      <c r="FI14" s="601"/>
      <c r="FJ14" s="602"/>
      <c r="FK14" s="160"/>
      <c r="FL14" s="158"/>
      <c r="FM14" s="158"/>
      <c r="FN14" s="161">
        <f>ET18+ET19+ET20</f>
        <v>5553494.1200000001</v>
      </c>
      <c r="FO14" s="158"/>
    </row>
    <row r="15" spans="1:172" s="18" customFormat="1" ht="45.75" customHeight="1" x14ac:dyDescent="0.3">
      <c r="A15" s="603"/>
      <c r="B15" s="604"/>
      <c r="C15" s="604"/>
      <c r="D15" s="604"/>
      <c r="E15" s="604"/>
      <c r="F15" s="605"/>
      <c r="G15" s="603"/>
      <c r="H15" s="604"/>
      <c r="I15" s="604"/>
      <c r="J15" s="604"/>
      <c r="K15" s="604"/>
      <c r="L15" s="604"/>
      <c r="M15" s="604"/>
      <c r="N15" s="604"/>
      <c r="O15" s="604"/>
      <c r="P15" s="604"/>
      <c r="Q15" s="604"/>
      <c r="R15" s="604"/>
      <c r="S15" s="604"/>
      <c r="T15" s="604"/>
      <c r="U15" s="604"/>
      <c r="V15" s="604"/>
      <c r="W15" s="604"/>
      <c r="X15" s="604"/>
      <c r="Y15" s="604"/>
      <c r="Z15" s="604"/>
      <c r="AA15" s="604"/>
      <c r="AB15" s="604"/>
      <c r="AC15" s="605"/>
      <c r="AD15" s="603"/>
      <c r="AE15" s="604"/>
      <c r="AF15" s="604"/>
      <c r="AG15" s="604"/>
      <c r="AH15" s="604"/>
      <c r="AI15" s="604"/>
      <c r="AJ15" s="604"/>
      <c r="AK15" s="604"/>
      <c r="AL15" s="604"/>
      <c r="AM15" s="604"/>
      <c r="AN15" s="604"/>
      <c r="AO15" s="604"/>
      <c r="AP15" s="604"/>
      <c r="AQ15" s="604"/>
      <c r="AR15" s="604"/>
      <c r="AS15" s="605"/>
      <c r="AT15" s="603"/>
      <c r="AU15" s="604"/>
      <c r="AV15" s="604"/>
      <c r="AW15" s="604"/>
      <c r="AX15" s="604"/>
      <c r="AY15" s="604"/>
      <c r="AZ15" s="604"/>
      <c r="BA15" s="604"/>
      <c r="BB15" s="604"/>
      <c r="BC15" s="604"/>
      <c r="BD15" s="604"/>
      <c r="BE15" s="604"/>
      <c r="BF15" s="604"/>
      <c r="BG15" s="604"/>
      <c r="BH15" s="604"/>
      <c r="BI15" s="604"/>
      <c r="BJ15" s="605"/>
      <c r="BK15" s="606" t="s">
        <v>53</v>
      </c>
      <c r="BL15" s="606"/>
      <c r="BM15" s="606"/>
      <c r="BN15" s="606"/>
      <c r="BO15" s="606"/>
      <c r="BP15" s="606"/>
      <c r="BQ15" s="606"/>
      <c r="BR15" s="606"/>
      <c r="BS15" s="606"/>
      <c r="BT15" s="606"/>
      <c r="BU15" s="606"/>
      <c r="BV15" s="606"/>
      <c r="BW15" s="606"/>
      <c r="BX15" s="606"/>
      <c r="BY15" s="606"/>
      <c r="BZ15" s="606"/>
      <c r="CA15" s="606"/>
      <c r="CB15" s="606"/>
      <c r="CC15" s="606" t="s">
        <v>54</v>
      </c>
      <c r="CD15" s="606"/>
      <c r="CE15" s="606"/>
      <c r="CF15" s="606"/>
      <c r="CG15" s="606"/>
      <c r="CH15" s="606"/>
      <c r="CI15" s="606"/>
      <c r="CJ15" s="606"/>
      <c r="CK15" s="606"/>
      <c r="CL15" s="606"/>
      <c r="CM15" s="606"/>
      <c r="CN15" s="606"/>
      <c r="CO15" s="606"/>
      <c r="CP15" s="606"/>
      <c r="CQ15" s="606"/>
      <c r="CR15" s="606"/>
      <c r="CS15" s="606"/>
      <c r="CT15" s="606"/>
      <c r="CU15" s="606"/>
      <c r="CV15" s="606" t="s">
        <v>55</v>
      </c>
      <c r="CW15" s="606"/>
      <c r="CX15" s="606"/>
      <c r="CY15" s="606"/>
      <c r="CZ15" s="606"/>
      <c r="DA15" s="606"/>
      <c r="DB15" s="606"/>
      <c r="DC15" s="606"/>
      <c r="DD15" s="606"/>
      <c r="DE15" s="606"/>
      <c r="DF15" s="606"/>
      <c r="DG15" s="606"/>
      <c r="DH15" s="606"/>
      <c r="DI15" s="606"/>
      <c r="DJ15" s="606"/>
      <c r="DK15" s="606"/>
      <c r="DL15" s="606"/>
      <c r="DM15" s="606"/>
      <c r="DN15" s="603"/>
      <c r="DO15" s="604"/>
      <c r="DP15" s="604"/>
      <c r="DQ15" s="604"/>
      <c r="DR15" s="604"/>
      <c r="DS15" s="604"/>
      <c r="DT15" s="604"/>
      <c r="DU15" s="604"/>
      <c r="DV15" s="604"/>
      <c r="DW15" s="604"/>
      <c r="DX15" s="604"/>
      <c r="DY15" s="604"/>
      <c r="DZ15" s="604"/>
      <c r="EA15" s="604"/>
      <c r="EB15" s="604"/>
      <c r="EC15" s="605"/>
      <c r="ED15" s="603"/>
      <c r="EE15" s="604"/>
      <c r="EF15" s="604"/>
      <c r="EG15" s="604"/>
      <c r="EH15" s="604"/>
      <c r="EI15" s="604"/>
      <c r="EJ15" s="604"/>
      <c r="EK15" s="604"/>
      <c r="EL15" s="604"/>
      <c r="EM15" s="604"/>
      <c r="EN15" s="604"/>
      <c r="EO15" s="604"/>
      <c r="EP15" s="604"/>
      <c r="EQ15" s="604"/>
      <c r="ER15" s="604"/>
      <c r="ES15" s="605"/>
      <c r="ET15" s="603"/>
      <c r="EU15" s="604"/>
      <c r="EV15" s="604"/>
      <c r="EW15" s="604"/>
      <c r="EX15" s="604"/>
      <c r="EY15" s="604"/>
      <c r="EZ15" s="604"/>
      <c r="FA15" s="604"/>
      <c r="FB15" s="604"/>
      <c r="FC15" s="604"/>
      <c r="FD15" s="604"/>
      <c r="FE15" s="604"/>
      <c r="FF15" s="604"/>
      <c r="FG15" s="604"/>
      <c r="FH15" s="604"/>
      <c r="FI15" s="604"/>
      <c r="FJ15" s="605"/>
      <c r="FK15" s="162">
        <f>ET18+ET19+ET20</f>
        <v>5553494.1200000001</v>
      </c>
      <c r="FL15" s="163">
        <f>CV18+CV19+CV20</f>
        <v>84458.555072463758</v>
      </c>
      <c r="FM15" s="158"/>
      <c r="FN15" s="164">
        <f>(CV18+CV19+CV20)*12</f>
        <v>1013502.6608695651</v>
      </c>
      <c r="FO15" s="158"/>
    </row>
    <row r="16" spans="1:172" s="15" customFormat="1" x14ac:dyDescent="0.2">
      <c r="A16" s="591">
        <v>1</v>
      </c>
      <c r="B16" s="591"/>
      <c r="C16" s="591"/>
      <c r="D16" s="591"/>
      <c r="E16" s="591"/>
      <c r="F16" s="591"/>
      <c r="G16" s="591">
        <v>2</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v>3</v>
      </c>
      <c r="AE16" s="591"/>
      <c r="AF16" s="591"/>
      <c r="AG16" s="591"/>
      <c r="AH16" s="591"/>
      <c r="AI16" s="591"/>
      <c r="AJ16" s="591"/>
      <c r="AK16" s="591"/>
      <c r="AL16" s="591"/>
      <c r="AM16" s="591"/>
      <c r="AN16" s="591"/>
      <c r="AO16" s="591"/>
      <c r="AP16" s="591"/>
      <c r="AQ16" s="591"/>
      <c r="AR16" s="591"/>
      <c r="AS16" s="591"/>
      <c r="AT16" s="591">
        <v>4</v>
      </c>
      <c r="AU16" s="591"/>
      <c r="AV16" s="591"/>
      <c r="AW16" s="591"/>
      <c r="AX16" s="591"/>
      <c r="AY16" s="591"/>
      <c r="AZ16" s="591"/>
      <c r="BA16" s="591"/>
      <c r="BB16" s="591"/>
      <c r="BC16" s="591"/>
      <c r="BD16" s="591"/>
      <c r="BE16" s="591"/>
      <c r="BF16" s="591"/>
      <c r="BG16" s="591"/>
      <c r="BH16" s="591"/>
      <c r="BI16" s="591"/>
      <c r="BJ16" s="591"/>
      <c r="BK16" s="591">
        <v>5</v>
      </c>
      <c r="BL16" s="591"/>
      <c r="BM16" s="591"/>
      <c r="BN16" s="591"/>
      <c r="BO16" s="591"/>
      <c r="BP16" s="591"/>
      <c r="BQ16" s="591"/>
      <c r="BR16" s="591"/>
      <c r="BS16" s="591"/>
      <c r="BT16" s="591"/>
      <c r="BU16" s="591"/>
      <c r="BV16" s="591"/>
      <c r="BW16" s="591"/>
      <c r="BX16" s="591"/>
      <c r="BY16" s="591"/>
      <c r="BZ16" s="591"/>
      <c r="CA16" s="591"/>
      <c r="CB16" s="591"/>
      <c r="CC16" s="591">
        <v>6</v>
      </c>
      <c r="CD16" s="591"/>
      <c r="CE16" s="591"/>
      <c r="CF16" s="591"/>
      <c r="CG16" s="591"/>
      <c r="CH16" s="591"/>
      <c r="CI16" s="591"/>
      <c r="CJ16" s="591"/>
      <c r="CK16" s="591"/>
      <c r="CL16" s="591"/>
      <c r="CM16" s="591"/>
      <c r="CN16" s="591"/>
      <c r="CO16" s="591"/>
      <c r="CP16" s="591"/>
      <c r="CQ16" s="591"/>
      <c r="CR16" s="591"/>
      <c r="CS16" s="591"/>
      <c r="CT16" s="591"/>
      <c r="CU16" s="591"/>
      <c r="CV16" s="591">
        <v>7</v>
      </c>
      <c r="CW16" s="591"/>
      <c r="CX16" s="591"/>
      <c r="CY16" s="591"/>
      <c r="CZ16" s="591"/>
      <c r="DA16" s="591"/>
      <c r="DB16" s="591"/>
      <c r="DC16" s="591"/>
      <c r="DD16" s="591"/>
      <c r="DE16" s="591"/>
      <c r="DF16" s="591"/>
      <c r="DG16" s="591"/>
      <c r="DH16" s="591"/>
      <c r="DI16" s="591"/>
      <c r="DJ16" s="591"/>
      <c r="DK16" s="591"/>
      <c r="DL16" s="591"/>
      <c r="DM16" s="591"/>
      <c r="DN16" s="591">
        <v>8</v>
      </c>
      <c r="DO16" s="591"/>
      <c r="DP16" s="591"/>
      <c r="DQ16" s="591"/>
      <c r="DR16" s="591"/>
      <c r="DS16" s="591"/>
      <c r="DT16" s="591"/>
      <c r="DU16" s="591"/>
      <c r="DV16" s="591"/>
      <c r="DW16" s="591"/>
      <c r="DX16" s="591"/>
      <c r="DY16" s="591"/>
      <c r="DZ16" s="591"/>
      <c r="EA16" s="591"/>
      <c r="EB16" s="591"/>
      <c r="EC16" s="591"/>
      <c r="ED16" s="591">
        <v>9</v>
      </c>
      <c r="EE16" s="591"/>
      <c r="EF16" s="591"/>
      <c r="EG16" s="591"/>
      <c r="EH16" s="591"/>
      <c r="EI16" s="591"/>
      <c r="EJ16" s="591"/>
      <c r="EK16" s="591"/>
      <c r="EL16" s="591"/>
      <c r="EM16" s="591"/>
      <c r="EN16" s="591"/>
      <c r="EO16" s="591"/>
      <c r="EP16" s="591"/>
      <c r="EQ16" s="591"/>
      <c r="ER16" s="591"/>
      <c r="ES16" s="591"/>
      <c r="ET16" s="591">
        <v>10</v>
      </c>
      <c r="EU16" s="591"/>
      <c r="EV16" s="591"/>
      <c r="EW16" s="591"/>
      <c r="EX16" s="591"/>
      <c r="EY16" s="591"/>
      <c r="EZ16" s="591"/>
      <c r="FA16" s="591"/>
      <c r="FB16" s="591"/>
      <c r="FC16" s="591"/>
      <c r="FD16" s="591"/>
      <c r="FE16" s="591"/>
      <c r="FF16" s="591"/>
      <c r="FG16" s="591"/>
      <c r="FH16" s="591"/>
      <c r="FI16" s="591"/>
      <c r="FJ16" s="591"/>
      <c r="FK16" s="165" t="s">
        <v>470</v>
      </c>
      <c r="FL16" s="165" t="s">
        <v>471</v>
      </c>
      <c r="FM16" s="165"/>
      <c r="FN16" s="166"/>
      <c r="FO16" s="156" t="s">
        <v>468</v>
      </c>
      <c r="FP16" s="156" t="s">
        <v>469</v>
      </c>
    </row>
    <row r="17" spans="1:172" s="16" customFormat="1" ht="15" customHeight="1" x14ac:dyDescent="0.3">
      <c r="A17" s="541" t="s">
        <v>255</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3"/>
      <c r="FK17" s="167">
        <v>1292000</v>
      </c>
      <c r="FL17" s="167">
        <f>(ET18-FK17)+(ET19-FK17)</f>
        <v>1176940.3600000006</v>
      </c>
      <c r="FM17" s="168"/>
      <c r="FN17" s="169"/>
      <c r="FO17" s="170">
        <f>ET18+ET19+ET20</f>
        <v>5553494.1200000001</v>
      </c>
      <c r="FP17" s="170">
        <f>CV18+CV19+CV20</f>
        <v>84458.555072463758</v>
      </c>
    </row>
    <row r="18" spans="1:172" s="16" customFormat="1" ht="13.2" customHeight="1" x14ac:dyDescent="0.3">
      <c r="A18" s="571" t="s">
        <v>67</v>
      </c>
      <c r="B18" s="571"/>
      <c r="C18" s="571"/>
      <c r="D18" s="571"/>
      <c r="E18" s="571"/>
      <c r="F18" s="571"/>
      <c r="G18" s="577" t="s">
        <v>472</v>
      </c>
      <c r="H18" s="577"/>
      <c r="I18" s="577"/>
      <c r="J18" s="577"/>
      <c r="K18" s="577"/>
      <c r="L18" s="577"/>
      <c r="M18" s="577"/>
      <c r="N18" s="577"/>
      <c r="O18" s="577"/>
      <c r="P18" s="577"/>
      <c r="Q18" s="577"/>
      <c r="R18" s="577"/>
      <c r="S18" s="577"/>
      <c r="T18" s="577"/>
      <c r="U18" s="577"/>
      <c r="V18" s="577"/>
      <c r="W18" s="577"/>
      <c r="X18" s="577"/>
      <c r="Y18" s="577"/>
      <c r="Z18" s="577"/>
      <c r="AA18" s="577"/>
      <c r="AB18" s="577"/>
      <c r="AC18" s="577"/>
      <c r="AD18" s="569">
        <v>1</v>
      </c>
      <c r="AE18" s="569"/>
      <c r="AF18" s="569"/>
      <c r="AG18" s="569"/>
      <c r="AH18" s="569"/>
      <c r="AI18" s="569"/>
      <c r="AJ18" s="569"/>
      <c r="AK18" s="569"/>
      <c r="AL18" s="569"/>
      <c r="AM18" s="569"/>
      <c r="AN18" s="569"/>
      <c r="AO18" s="569"/>
      <c r="AP18" s="569"/>
      <c r="AQ18" s="569"/>
      <c r="AR18" s="569"/>
      <c r="AS18" s="569"/>
      <c r="AT18" s="538">
        <f>BK18+CC18+CV18</f>
        <v>66818.355072463775</v>
      </c>
      <c r="AU18" s="538"/>
      <c r="AV18" s="538"/>
      <c r="AW18" s="538"/>
      <c r="AX18" s="538"/>
      <c r="AY18" s="538"/>
      <c r="AZ18" s="538"/>
      <c r="BA18" s="538"/>
      <c r="BB18" s="538"/>
      <c r="BC18" s="538"/>
      <c r="BD18" s="538"/>
      <c r="BE18" s="538"/>
      <c r="BF18" s="538"/>
      <c r="BG18" s="538"/>
      <c r="BH18" s="538"/>
      <c r="BI18" s="538"/>
      <c r="BJ18" s="538"/>
      <c r="BK18" s="570">
        <v>40091</v>
      </c>
      <c r="BL18" s="570"/>
      <c r="BM18" s="570"/>
      <c r="BN18" s="570"/>
      <c r="BO18" s="570"/>
      <c r="BP18" s="570"/>
      <c r="BQ18" s="570"/>
      <c r="BR18" s="570"/>
      <c r="BS18" s="570"/>
      <c r="BT18" s="570"/>
      <c r="BU18" s="570"/>
      <c r="BV18" s="570"/>
      <c r="BW18" s="570"/>
      <c r="BX18" s="570"/>
      <c r="BY18" s="570"/>
      <c r="BZ18" s="570"/>
      <c r="CA18" s="570"/>
      <c r="CB18" s="570"/>
      <c r="CC18" s="538"/>
      <c r="CD18" s="538"/>
      <c r="CE18" s="538"/>
      <c r="CF18" s="538"/>
      <c r="CG18" s="538"/>
      <c r="CH18" s="538"/>
      <c r="CI18" s="538"/>
      <c r="CJ18" s="538"/>
      <c r="CK18" s="538"/>
      <c r="CL18" s="538"/>
      <c r="CM18" s="538"/>
      <c r="CN18" s="538"/>
      <c r="CO18" s="538"/>
      <c r="CP18" s="538"/>
      <c r="CQ18" s="538"/>
      <c r="CR18" s="538"/>
      <c r="CS18" s="538"/>
      <c r="CT18" s="538"/>
      <c r="CU18" s="538"/>
      <c r="CV18" s="592">
        <f>737675/12/2.3</f>
        <v>26727.355072463768</v>
      </c>
      <c r="CW18" s="592"/>
      <c r="CX18" s="592"/>
      <c r="CY18" s="592"/>
      <c r="CZ18" s="592"/>
      <c r="DA18" s="592"/>
      <c r="DB18" s="592"/>
      <c r="DC18" s="592"/>
      <c r="DD18" s="592"/>
      <c r="DE18" s="592"/>
      <c r="DF18" s="592"/>
      <c r="DG18" s="592"/>
      <c r="DH18" s="592"/>
      <c r="DI18" s="592"/>
      <c r="DJ18" s="592"/>
      <c r="DK18" s="592"/>
      <c r="DL18" s="592"/>
      <c r="DM18" s="592"/>
      <c r="DN18" s="538">
        <f>AT18*80%</f>
        <v>53454.684057971026</v>
      </c>
      <c r="DO18" s="538"/>
      <c r="DP18" s="538"/>
      <c r="DQ18" s="538"/>
      <c r="DR18" s="538"/>
      <c r="DS18" s="538"/>
      <c r="DT18" s="538"/>
      <c r="DU18" s="538"/>
      <c r="DV18" s="538"/>
      <c r="DW18" s="538"/>
      <c r="DX18" s="538"/>
      <c r="DY18" s="538"/>
      <c r="DZ18" s="538"/>
      <c r="EA18" s="538"/>
      <c r="EB18" s="538"/>
      <c r="EC18" s="538"/>
      <c r="ED18" s="538">
        <f>AT18*50%</f>
        <v>33409.177536231888</v>
      </c>
      <c r="EE18" s="538"/>
      <c r="EF18" s="538"/>
      <c r="EG18" s="538"/>
      <c r="EH18" s="538"/>
      <c r="EI18" s="538"/>
      <c r="EJ18" s="538"/>
      <c r="EK18" s="538"/>
      <c r="EL18" s="538"/>
      <c r="EM18" s="538"/>
      <c r="EN18" s="538"/>
      <c r="EO18" s="538"/>
      <c r="EP18" s="538"/>
      <c r="EQ18" s="538"/>
      <c r="ER18" s="538"/>
      <c r="ES18" s="538"/>
      <c r="ET18" s="538">
        <f>(AT18+DN18+ED18)*12*AD18</f>
        <v>1844186.6</v>
      </c>
      <c r="EU18" s="538"/>
      <c r="EV18" s="538"/>
      <c r="EW18" s="538"/>
      <c r="EX18" s="538"/>
      <c r="EY18" s="538"/>
      <c r="EZ18" s="538"/>
      <c r="FA18" s="538"/>
      <c r="FB18" s="538"/>
      <c r="FC18" s="538"/>
      <c r="FD18" s="538"/>
      <c r="FE18" s="538"/>
      <c r="FF18" s="538"/>
      <c r="FG18" s="538"/>
      <c r="FH18" s="538"/>
      <c r="FI18" s="538"/>
      <c r="FJ18" s="538"/>
      <c r="FK18" s="165"/>
      <c r="FL18" s="165"/>
      <c r="FM18" s="168"/>
      <c r="FN18" s="171"/>
      <c r="FO18" s="159"/>
      <c r="FP18" s="170"/>
    </row>
    <row r="19" spans="1:172" s="16" customFormat="1" ht="13.2" customHeight="1" x14ac:dyDescent="0.3">
      <c r="A19" s="571" t="s">
        <v>71</v>
      </c>
      <c r="B19" s="571"/>
      <c r="C19" s="571"/>
      <c r="D19" s="571"/>
      <c r="E19" s="571"/>
      <c r="F19" s="571"/>
      <c r="G19" s="577" t="s">
        <v>473</v>
      </c>
      <c r="H19" s="577"/>
      <c r="I19" s="577"/>
      <c r="J19" s="577"/>
      <c r="K19" s="577"/>
      <c r="L19" s="577"/>
      <c r="M19" s="577"/>
      <c r="N19" s="577"/>
      <c r="O19" s="577"/>
      <c r="P19" s="577"/>
      <c r="Q19" s="577"/>
      <c r="R19" s="577"/>
      <c r="S19" s="577"/>
      <c r="T19" s="577"/>
      <c r="U19" s="577"/>
      <c r="V19" s="577"/>
      <c r="W19" s="577"/>
      <c r="X19" s="577"/>
      <c r="Y19" s="577"/>
      <c r="Z19" s="577"/>
      <c r="AA19" s="577"/>
      <c r="AB19" s="577"/>
      <c r="AC19" s="577"/>
      <c r="AD19" s="569">
        <v>1</v>
      </c>
      <c r="AE19" s="569"/>
      <c r="AF19" s="569"/>
      <c r="AG19" s="569"/>
      <c r="AH19" s="569"/>
      <c r="AI19" s="569"/>
      <c r="AJ19" s="569"/>
      <c r="AK19" s="569"/>
      <c r="AL19" s="569"/>
      <c r="AM19" s="569"/>
      <c r="AN19" s="569"/>
      <c r="AO19" s="569"/>
      <c r="AP19" s="569"/>
      <c r="AQ19" s="569"/>
      <c r="AR19" s="569"/>
      <c r="AS19" s="569"/>
      <c r="AT19" s="538">
        <f t="shared" ref="AT19:AT29" si="0">BK19+CC19+CV19</f>
        <v>69447.600000000006</v>
      </c>
      <c r="AU19" s="538"/>
      <c r="AV19" s="538"/>
      <c r="AW19" s="538"/>
      <c r="AX19" s="538"/>
      <c r="AY19" s="538"/>
      <c r="AZ19" s="538"/>
      <c r="BA19" s="538"/>
      <c r="BB19" s="538"/>
      <c r="BC19" s="538"/>
      <c r="BD19" s="538"/>
      <c r="BE19" s="538"/>
      <c r="BF19" s="538"/>
      <c r="BG19" s="538"/>
      <c r="BH19" s="538"/>
      <c r="BI19" s="538"/>
      <c r="BJ19" s="538"/>
      <c r="BK19" s="570">
        <v>36082</v>
      </c>
      <c r="BL19" s="570"/>
      <c r="BM19" s="570"/>
      <c r="BN19" s="570"/>
      <c r="BO19" s="570"/>
      <c r="BP19" s="570"/>
      <c r="BQ19" s="570"/>
      <c r="BR19" s="570"/>
      <c r="BS19" s="570"/>
      <c r="BT19" s="570"/>
      <c r="BU19" s="570"/>
      <c r="BV19" s="570"/>
      <c r="BW19" s="570"/>
      <c r="BX19" s="570"/>
      <c r="BY19" s="570"/>
      <c r="BZ19" s="570"/>
      <c r="CA19" s="570"/>
      <c r="CB19" s="570"/>
      <c r="CC19" s="538">
        <v>4500</v>
      </c>
      <c r="CD19" s="538"/>
      <c r="CE19" s="538"/>
      <c r="CF19" s="538"/>
      <c r="CG19" s="538"/>
      <c r="CH19" s="538"/>
      <c r="CI19" s="538"/>
      <c r="CJ19" s="538"/>
      <c r="CK19" s="538"/>
      <c r="CL19" s="538"/>
      <c r="CM19" s="538"/>
      <c r="CN19" s="538"/>
      <c r="CO19" s="538"/>
      <c r="CP19" s="538"/>
      <c r="CQ19" s="538"/>
      <c r="CR19" s="538"/>
      <c r="CS19" s="538"/>
      <c r="CT19" s="538"/>
      <c r="CU19" s="538"/>
      <c r="CV19" s="562">
        <v>28865.599999999999</v>
      </c>
      <c r="CW19" s="563"/>
      <c r="CX19" s="563"/>
      <c r="CY19" s="563"/>
      <c r="CZ19" s="563"/>
      <c r="DA19" s="563"/>
      <c r="DB19" s="563"/>
      <c r="DC19" s="563"/>
      <c r="DD19" s="563"/>
      <c r="DE19" s="563"/>
      <c r="DF19" s="563"/>
      <c r="DG19" s="563"/>
      <c r="DH19" s="563"/>
      <c r="DI19" s="563"/>
      <c r="DJ19" s="563"/>
      <c r="DK19" s="563"/>
      <c r="DL19" s="563"/>
      <c r="DM19" s="564"/>
      <c r="DN19" s="538">
        <f t="shared" ref="DN19:DN29" si="1">AT19*80%</f>
        <v>55558.080000000009</v>
      </c>
      <c r="DO19" s="538"/>
      <c r="DP19" s="538"/>
      <c r="DQ19" s="538"/>
      <c r="DR19" s="538"/>
      <c r="DS19" s="538"/>
      <c r="DT19" s="538"/>
      <c r="DU19" s="538"/>
      <c r="DV19" s="538"/>
      <c r="DW19" s="538"/>
      <c r="DX19" s="538"/>
      <c r="DY19" s="538"/>
      <c r="DZ19" s="538"/>
      <c r="EA19" s="538"/>
      <c r="EB19" s="538"/>
      <c r="EC19" s="538"/>
      <c r="ED19" s="538">
        <f t="shared" ref="ED19:ED29" si="2">AT19*50%</f>
        <v>34723.800000000003</v>
      </c>
      <c r="EE19" s="538"/>
      <c r="EF19" s="538"/>
      <c r="EG19" s="538"/>
      <c r="EH19" s="538"/>
      <c r="EI19" s="538"/>
      <c r="EJ19" s="538"/>
      <c r="EK19" s="538"/>
      <c r="EL19" s="538"/>
      <c r="EM19" s="538"/>
      <c r="EN19" s="538"/>
      <c r="EO19" s="538"/>
      <c r="EP19" s="538"/>
      <c r="EQ19" s="538"/>
      <c r="ER19" s="538"/>
      <c r="ES19" s="538"/>
      <c r="ET19" s="538">
        <f t="shared" ref="ET19:ET29" si="3">(AT19+DN19+ED19)*12*AD19</f>
        <v>1916753.7600000005</v>
      </c>
      <c r="EU19" s="538"/>
      <c r="EV19" s="538"/>
      <c r="EW19" s="538"/>
      <c r="EX19" s="538"/>
      <c r="EY19" s="538"/>
      <c r="EZ19" s="538"/>
      <c r="FA19" s="538"/>
      <c r="FB19" s="538"/>
      <c r="FC19" s="538"/>
      <c r="FD19" s="538"/>
      <c r="FE19" s="538"/>
      <c r="FF19" s="538"/>
      <c r="FG19" s="538"/>
      <c r="FH19" s="538"/>
      <c r="FI19" s="538"/>
      <c r="FJ19" s="538"/>
      <c r="FK19" s="165" t="s">
        <v>474</v>
      </c>
      <c r="FL19" s="165" t="s">
        <v>475</v>
      </c>
      <c r="FM19" s="168"/>
      <c r="FN19" s="171"/>
      <c r="FO19" s="172"/>
      <c r="FP19" s="172"/>
    </row>
    <row r="20" spans="1:172" s="16" customFormat="1" ht="13.2" customHeight="1" x14ac:dyDescent="0.3">
      <c r="A20" s="571" t="s">
        <v>462</v>
      </c>
      <c r="B20" s="571"/>
      <c r="C20" s="571"/>
      <c r="D20" s="571"/>
      <c r="E20" s="571"/>
      <c r="F20" s="571"/>
      <c r="G20" s="577" t="s">
        <v>476</v>
      </c>
      <c r="H20" s="577"/>
      <c r="I20" s="577"/>
      <c r="J20" s="577"/>
      <c r="K20" s="577"/>
      <c r="L20" s="577"/>
      <c r="M20" s="577"/>
      <c r="N20" s="577"/>
      <c r="O20" s="577"/>
      <c r="P20" s="577"/>
      <c r="Q20" s="577"/>
      <c r="R20" s="577"/>
      <c r="S20" s="577"/>
      <c r="T20" s="577"/>
      <c r="U20" s="577"/>
      <c r="V20" s="577"/>
      <c r="W20" s="577"/>
      <c r="X20" s="577"/>
      <c r="Y20" s="577"/>
      <c r="Z20" s="577"/>
      <c r="AA20" s="577"/>
      <c r="AB20" s="577"/>
      <c r="AC20" s="577"/>
      <c r="AD20" s="569">
        <v>1</v>
      </c>
      <c r="AE20" s="569"/>
      <c r="AF20" s="569"/>
      <c r="AG20" s="569"/>
      <c r="AH20" s="569"/>
      <c r="AI20" s="569"/>
      <c r="AJ20" s="569"/>
      <c r="AK20" s="569"/>
      <c r="AL20" s="569"/>
      <c r="AM20" s="569"/>
      <c r="AN20" s="569"/>
      <c r="AO20" s="569"/>
      <c r="AP20" s="569"/>
      <c r="AQ20" s="569"/>
      <c r="AR20" s="569"/>
      <c r="AS20" s="569"/>
      <c r="AT20" s="538">
        <f t="shared" si="0"/>
        <v>64947.6</v>
      </c>
      <c r="AU20" s="538"/>
      <c r="AV20" s="538"/>
      <c r="AW20" s="538"/>
      <c r="AX20" s="538"/>
      <c r="AY20" s="538"/>
      <c r="AZ20" s="538"/>
      <c r="BA20" s="538"/>
      <c r="BB20" s="538"/>
      <c r="BC20" s="538"/>
      <c r="BD20" s="538"/>
      <c r="BE20" s="538"/>
      <c r="BF20" s="538"/>
      <c r="BG20" s="538"/>
      <c r="BH20" s="538"/>
      <c r="BI20" s="538"/>
      <c r="BJ20" s="538"/>
      <c r="BK20" s="570">
        <v>36082</v>
      </c>
      <c r="BL20" s="570"/>
      <c r="BM20" s="570"/>
      <c r="BN20" s="570"/>
      <c r="BO20" s="570"/>
      <c r="BP20" s="570"/>
      <c r="BQ20" s="570"/>
      <c r="BR20" s="570"/>
      <c r="BS20" s="570"/>
      <c r="BT20" s="570"/>
      <c r="BU20" s="570"/>
      <c r="BV20" s="570"/>
      <c r="BW20" s="570"/>
      <c r="BX20" s="570"/>
      <c r="BY20" s="570"/>
      <c r="BZ20" s="570"/>
      <c r="CA20" s="570"/>
      <c r="CB20" s="570"/>
      <c r="CC20" s="538"/>
      <c r="CD20" s="538"/>
      <c r="CE20" s="538"/>
      <c r="CF20" s="538"/>
      <c r="CG20" s="538"/>
      <c r="CH20" s="538"/>
      <c r="CI20" s="538"/>
      <c r="CJ20" s="538"/>
      <c r="CK20" s="538"/>
      <c r="CL20" s="538"/>
      <c r="CM20" s="538"/>
      <c r="CN20" s="538"/>
      <c r="CO20" s="538"/>
      <c r="CP20" s="538"/>
      <c r="CQ20" s="538"/>
      <c r="CR20" s="538"/>
      <c r="CS20" s="538"/>
      <c r="CT20" s="538"/>
      <c r="CU20" s="538"/>
      <c r="CV20" s="562">
        <v>28865.599999999999</v>
      </c>
      <c r="CW20" s="563"/>
      <c r="CX20" s="563"/>
      <c r="CY20" s="563"/>
      <c r="CZ20" s="563"/>
      <c r="DA20" s="563"/>
      <c r="DB20" s="563"/>
      <c r="DC20" s="563"/>
      <c r="DD20" s="563"/>
      <c r="DE20" s="563"/>
      <c r="DF20" s="563"/>
      <c r="DG20" s="563"/>
      <c r="DH20" s="563"/>
      <c r="DI20" s="563"/>
      <c r="DJ20" s="563"/>
      <c r="DK20" s="563"/>
      <c r="DL20" s="563"/>
      <c r="DM20" s="564"/>
      <c r="DN20" s="538">
        <f t="shared" si="1"/>
        <v>51958.080000000002</v>
      </c>
      <c r="DO20" s="538"/>
      <c r="DP20" s="538"/>
      <c r="DQ20" s="538"/>
      <c r="DR20" s="538"/>
      <c r="DS20" s="538"/>
      <c r="DT20" s="538"/>
      <c r="DU20" s="538"/>
      <c r="DV20" s="538"/>
      <c r="DW20" s="538"/>
      <c r="DX20" s="538"/>
      <c r="DY20" s="538"/>
      <c r="DZ20" s="538"/>
      <c r="EA20" s="538"/>
      <c r="EB20" s="538"/>
      <c r="EC20" s="538"/>
      <c r="ED20" s="538">
        <f t="shared" si="2"/>
        <v>32473.8</v>
      </c>
      <c r="EE20" s="538"/>
      <c r="EF20" s="538"/>
      <c r="EG20" s="538"/>
      <c r="EH20" s="538"/>
      <c r="EI20" s="538"/>
      <c r="EJ20" s="538"/>
      <c r="EK20" s="538"/>
      <c r="EL20" s="538"/>
      <c r="EM20" s="538"/>
      <c r="EN20" s="538"/>
      <c r="EO20" s="538"/>
      <c r="EP20" s="538"/>
      <c r="EQ20" s="538"/>
      <c r="ER20" s="538"/>
      <c r="ES20" s="538"/>
      <c r="ET20" s="538">
        <f t="shared" si="3"/>
        <v>1792553.7599999998</v>
      </c>
      <c r="EU20" s="538"/>
      <c r="EV20" s="538"/>
      <c r="EW20" s="538"/>
      <c r="EX20" s="538"/>
      <c r="EY20" s="538"/>
      <c r="EZ20" s="538"/>
      <c r="FA20" s="538"/>
      <c r="FB20" s="538"/>
      <c r="FC20" s="538"/>
      <c r="FD20" s="538"/>
      <c r="FE20" s="538"/>
      <c r="FF20" s="538"/>
      <c r="FG20" s="538"/>
      <c r="FH20" s="538"/>
      <c r="FI20" s="538"/>
      <c r="FJ20" s="538"/>
      <c r="FK20" s="167">
        <v>912000</v>
      </c>
      <c r="FL20" s="167">
        <f>(ET18-FK20)+(ET19-FK20)+(ET20-FK20)</f>
        <v>2817494.12</v>
      </c>
      <c r="FM20" s="168"/>
      <c r="FN20" s="171"/>
      <c r="FO20" s="172"/>
      <c r="FP20" s="172"/>
    </row>
    <row r="21" spans="1:172" s="16" customFormat="1" ht="13.2" customHeight="1" x14ac:dyDescent="0.3">
      <c r="A21" s="571" t="s">
        <v>477</v>
      </c>
      <c r="B21" s="571"/>
      <c r="C21" s="571"/>
      <c r="D21" s="571"/>
      <c r="E21" s="571"/>
      <c r="F21" s="571"/>
      <c r="G21" s="587" t="s">
        <v>478</v>
      </c>
      <c r="H21" s="588"/>
      <c r="I21" s="588"/>
      <c r="J21" s="588"/>
      <c r="K21" s="588"/>
      <c r="L21" s="588"/>
      <c r="M21" s="588"/>
      <c r="N21" s="588"/>
      <c r="O21" s="588"/>
      <c r="P21" s="588"/>
      <c r="Q21" s="588"/>
      <c r="R21" s="588"/>
      <c r="S21" s="588"/>
      <c r="T21" s="588"/>
      <c r="U21" s="588"/>
      <c r="V21" s="588"/>
      <c r="W21" s="588"/>
      <c r="X21" s="588"/>
      <c r="Y21" s="588"/>
      <c r="Z21" s="588"/>
      <c r="AA21" s="588"/>
      <c r="AB21" s="588"/>
      <c r="AC21" s="589"/>
      <c r="AD21" s="569">
        <v>1</v>
      </c>
      <c r="AE21" s="569"/>
      <c r="AF21" s="569"/>
      <c r="AG21" s="569"/>
      <c r="AH21" s="569"/>
      <c r="AI21" s="569"/>
      <c r="AJ21" s="569"/>
      <c r="AK21" s="569"/>
      <c r="AL21" s="569"/>
      <c r="AM21" s="569"/>
      <c r="AN21" s="569"/>
      <c r="AO21" s="569"/>
      <c r="AP21" s="569"/>
      <c r="AQ21" s="569"/>
      <c r="AR21" s="569"/>
      <c r="AS21" s="569"/>
      <c r="AT21" s="538">
        <f t="shared" si="0"/>
        <v>28627</v>
      </c>
      <c r="AU21" s="538"/>
      <c r="AV21" s="538"/>
      <c r="AW21" s="538"/>
      <c r="AX21" s="538"/>
      <c r="AY21" s="538"/>
      <c r="AZ21" s="538"/>
      <c r="BA21" s="538"/>
      <c r="BB21" s="538"/>
      <c r="BC21" s="538"/>
      <c r="BD21" s="538"/>
      <c r="BE21" s="538"/>
      <c r="BF21" s="538"/>
      <c r="BG21" s="538"/>
      <c r="BH21" s="538"/>
      <c r="BI21" s="538"/>
      <c r="BJ21" s="538"/>
      <c r="BK21" s="570">
        <v>8902</v>
      </c>
      <c r="BL21" s="570"/>
      <c r="BM21" s="570"/>
      <c r="BN21" s="570"/>
      <c r="BO21" s="570"/>
      <c r="BP21" s="570"/>
      <c r="BQ21" s="570"/>
      <c r="BR21" s="570"/>
      <c r="BS21" s="570"/>
      <c r="BT21" s="570"/>
      <c r="BU21" s="570"/>
      <c r="BV21" s="570"/>
      <c r="BW21" s="570"/>
      <c r="BX21" s="570"/>
      <c r="BY21" s="570"/>
      <c r="BZ21" s="570"/>
      <c r="CA21" s="570"/>
      <c r="CB21" s="570"/>
      <c r="CC21" s="538">
        <v>725</v>
      </c>
      <c r="CD21" s="538"/>
      <c r="CE21" s="538"/>
      <c r="CF21" s="538"/>
      <c r="CG21" s="538"/>
      <c r="CH21" s="538"/>
      <c r="CI21" s="538"/>
      <c r="CJ21" s="538"/>
      <c r="CK21" s="538"/>
      <c r="CL21" s="538"/>
      <c r="CM21" s="538"/>
      <c r="CN21" s="538"/>
      <c r="CO21" s="538"/>
      <c r="CP21" s="538"/>
      <c r="CQ21" s="538"/>
      <c r="CR21" s="538"/>
      <c r="CS21" s="538"/>
      <c r="CT21" s="538"/>
      <c r="CU21" s="538"/>
      <c r="CV21" s="538">
        <v>19000</v>
      </c>
      <c r="CW21" s="538"/>
      <c r="CX21" s="538"/>
      <c r="CY21" s="538"/>
      <c r="CZ21" s="538"/>
      <c r="DA21" s="538"/>
      <c r="DB21" s="538"/>
      <c r="DC21" s="538"/>
      <c r="DD21" s="538"/>
      <c r="DE21" s="538"/>
      <c r="DF21" s="538"/>
      <c r="DG21" s="538"/>
      <c r="DH21" s="538"/>
      <c r="DI21" s="538"/>
      <c r="DJ21" s="538"/>
      <c r="DK21" s="538"/>
      <c r="DL21" s="538"/>
      <c r="DM21" s="538"/>
      <c r="DN21" s="538">
        <f t="shared" si="1"/>
        <v>22901.600000000002</v>
      </c>
      <c r="DO21" s="538"/>
      <c r="DP21" s="538"/>
      <c r="DQ21" s="538"/>
      <c r="DR21" s="538"/>
      <c r="DS21" s="538"/>
      <c r="DT21" s="538"/>
      <c r="DU21" s="538"/>
      <c r="DV21" s="538"/>
      <c r="DW21" s="538"/>
      <c r="DX21" s="538"/>
      <c r="DY21" s="538"/>
      <c r="DZ21" s="538"/>
      <c r="EA21" s="538"/>
      <c r="EB21" s="538"/>
      <c r="EC21" s="538"/>
      <c r="ED21" s="538">
        <f t="shared" si="2"/>
        <v>14313.5</v>
      </c>
      <c r="EE21" s="538"/>
      <c r="EF21" s="538"/>
      <c r="EG21" s="538"/>
      <c r="EH21" s="538"/>
      <c r="EI21" s="538"/>
      <c r="EJ21" s="538"/>
      <c r="EK21" s="538"/>
      <c r="EL21" s="538"/>
      <c r="EM21" s="538"/>
      <c r="EN21" s="538"/>
      <c r="EO21" s="538"/>
      <c r="EP21" s="538"/>
      <c r="EQ21" s="538"/>
      <c r="ER21" s="538"/>
      <c r="ES21" s="538"/>
      <c r="ET21" s="538">
        <f t="shared" si="3"/>
        <v>790105.20000000007</v>
      </c>
      <c r="EU21" s="538"/>
      <c r="EV21" s="538"/>
      <c r="EW21" s="538"/>
      <c r="EX21" s="538"/>
      <c r="EY21" s="538"/>
      <c r="EZ21" s="538"/>
      <c r="FA21" s="538"/>
      <c r="FB21" s="538"/>
      <c r="FC21" s="538"/>
      <c r="FD21" s="538"/>
      <c r="FE21" s="538"/>
      <c r="FF21" s="538"/>
      <c r="FG21" s="538"/>
      <c r="FH21" s="538"/>
      <c r="FI21" s="538"/>
      <c r="FJ21" s="538"/>
      <c r="FK21" s="171"/>
      <c r="FN21" s="171"/>
      <c r="FO21" s="172"/>
      <c r="FP21" s="172"/>
    </row>
    <row r="22" spans="1:172" s="16" customFormat="1" ht="13.2" customHeight="1" x14ac:dyDescent="0.3">
      <c r="A22" s="571" t="s">
        <v>479</v>
      </c>
      <c r="B22" s="571"/>
      <c r="C22" s="571"/>
      <c r="D22" s="571"/>
      <c r="E22" s="571"/>
      <c r="F22" s="571"/>
      <c r="G22" s="587" t="s">
        <v>480</v>
      </c>
      <c r="H22" s="588"/>
      <c r="I22" s="588"/>
      <c r="J22" s="588"/>
      <c r="K22" s="588"/>
      <c r="L22" s="588"/>
      <c r="M22" s="588"/>
      <c r="N22" s="588"/>
      <c r="O22" s="588"/>
      <c r="P22" s="588"/>
      <c r="Q22" s="588"/>
      <c r="R22" s="588"/>
      <c r="S22" s="588"/>
      <c r="T22" s="588"/>
      <c r="U22" s="588"/>
      <c r="V22" s="588"/>
      <c r="W22" s="588"/>
      <c r="X22" s="588"/>
      <c r="Y22" s="588"/>
      <c r="Z22" s="588"/>
      <c r="AA22" s="588"/>
      <c r="AB22" s="588"/>
      <c r="AC22" s="589"/>
      <c r="AD22" s="569">
        <v>1</v>
      </c>
      <c r="AE22" s="569"/>
      <c r="AF22" s="569"/>
      <c r="AG22" s="569"/>
      <c r="AH22" s="569"/>
      <c r="AI22" s="569"/>
      <c r="AJ22" s="569"/>
      <c r="AK22" s="569"/>
      <c r="AL22" s="569"/>
      <c r="AM22" s="569"/>
      <c r="AN22" s="569"/>
      <c r="AO22" s="569"/>
      <c r="AP22" s="569"/>
      <c r="AQ22" s="569"/>
      <c r="AR22" s="569"/>
      <c r="AS22" s="569"/>
      <c r="AT22" s="538">
        <f t="shared" si="0"/>
        <v>27346</v>
      </c>
      <c r="AU22" s="538"/>
      <c r="AV22" s="538"/>
      <c r="AW22" s="538"/>
      <c r="AX22" s="538"/>
      <c r="AY22" s="538"/>
      <c r="AZ22" s="538"/>
      <c r="BA22" s="538"/>
      <c r="BB22" s="538"/>
      <c r="BC22" s="538"/>
      <c r="BD22" s="538"/>
      <c r="BE22" s="538"/>
      <c r="BF22" s="538"/>
      <c r="BG22" s="538"/>
      <c r="BH22" s="538"/>
      <c r="BI22" s="538"/>
      <c r="BJ22" s="538"/>
      <c r="BK22" s="570">
        <v>7621</v>
      </c>
      <c r="BL22" s="570"/>
      <c r="BM22" s="570"/>
      <c r="BN22" s="570"/>
      <c r="BO22" s="570"/>
      <c r="BP22" s="570"/>
      <c r="BQ22" s="570"/>
      <c r="BR22" s="570"/>
      <c r="BS22" s="570"/>
      <c r="BT22" s="570"/>
      <c r="BU22" s="570"/>
      <c r="BV22" s="570"/>
      <c r="BW22" s="570"/>
      <c r="BX22" s="570"/>
      <c r="BY22" s="570"/>
      <c r="BZ22" s="570"/>
      <c r="CA22" s="570"/>
      <c r="CB22" s="570"/>
      <c r="CC22" s="590">
        <v>725</v>
      </c>
      <c r="CD22" s="590"/>
      <c r="CE22" s="590"/>
      <c r="CF22" s="590"/>
      <c r="CG22" s="590"/>
      <c r="CH22" s="590"/>
      <c r="CI22" s="590"/>
      <c r="CJ22" s="590"/>
      <c r="CK22" s="590"/>
      <c r="CL22" s="590"/>
      <c r="CM22" s="590"/>
      <c r="CN22" s="590"/>
      <c r="CO22" s="590"/>
      <c r="CP22" s="590"/>
      <c r="CQ22" s="590"/>
      <c r="CR22" s="590"/>
      <c r="CS22" s="590"/>
      <c r="CT22" s="590"/>
      <c r="CU22" s="590"/>
      <c r="CV22" s="538">
        <v>19000</v>
      </c>
      <c r="CW22" s="538"/>
      <c r="CX22" s="538"/>
      <c r="CY22" s="538"/>
      <c r="CZ22" s="538"/>
      <c r="DA22" s="538"/>
      <c r="DB22" s="538"/>
      <c r="DC22" s="538"/>
      <c r="DD22" s="538"/>
      <c r="DE22" s="538"/>
      <c r="DF22" s="538"/>
      <c r="DG22" s="538"/>
      <c r="DH22" s="538"/>
      <c r="DI22" s="538"/>
      <c r="DJ22" s="538"/>
      <c r="DK22" s="538"/>
      <c r="DL22" s="538"/>
      <c r="DM22" s="538"/>
      <c r="DN22" s="538">
        <f t="shared" si="1"/>
        <v>21876.800000000003</v>
      </c>
      <c r="DO22" s="538"/>
      <c r="DP22" s="538"/>
      <c r="DQ22" s="538"/>
      <c r="DR22" s="538"/>
      <c r="DS22" s="538"/>
      <c r="DT22" s="538"/>
      <c r="DU22" s="538"/>
      <c r="DV22" s="538"/>
      <c r="DW22" s="538"/>
      <c r="DX22" s="538"/>
      <c r="DY22" s="538"/>
      <c r="DZ22" s="538"/>
      <c r="EA22" s="538"/>
      <c r="EB22" s="538"/>
      <c r="EC22" s="538"/>
      <c r="ED22" s="538">
        <f t="shared" si="2"/>
        <v>13673</v>
      </c>
      <c r="EE22" s="538"/>
      <c r="EF22" s="538"/>
      <c r="EG22" s="538"/>
      <c r="EH22" s="538"/>
      <c r="EI22" s="538"/>
      <c r="EJ22" s="538"/>
      <c r="EK22" s="538"/>
      <c r="EL22" s="538"/>
      <c r="EM22" s="538"/>
      <c r="EN22" s="538"/>
      <c r="EO22" s="538"/>
      <c r="EP22" s="538"/>
      <c r="EQ22" s="538"/>
      <c r="ER22" s="538"/>
      <c r="ES22" s="538"/>
      <c r="ET22" s="538">
        <f t="shared" si="3"/>
        <v>754749.60000000009</v>
      </c>
      <c r="EU22" s="538"/>
      <c r="EV22" s="538"/>
      <c r="EW22" s="538"/>
      <c r="EX22" s="538"/>
      <c r="EY22" s="538"/>
      <c r="EZ22" s="538"/>
      <c r="FA22" s="538"/>
      <c r="FB22" s="538"/>
      <c r="FC22" s="538"/>
      <c r="FD22" s="538"/>
      <c r="FE22" s="538"/>
      <c r="FF22" s="538"/>
      <c r="FG22" s="538"/>
      <c r="FH22" s="538"/>
      <c r="FI22" s="538"/>
      <c r="FJ22" s="538"/>
      <c r="FK22" s="171"/>
      <c r="FN22" s="171"/>
      <c r="FO22" s="165"/>
      <c r="FP22" s="165"/>
    </row>
    <row r="23" spans="1:172" s="16" customFormat="1" ht="13.2" customHeight="1" x14ac:dyDescent="0.3">
      <c r="A23" s="581" t="s">
        <v>481</v>
      </c>
      <c r="B23" s="581"/>
      <c r="C23" s="581"/>
      <c r="D23" s="581"/>
      <c r="E23" s="581"/>
      <c r="F23" s="581"/>
      <c r="G23" s="584" t="s">
        <v>482</v>
      </c>
      <c r="H23" s="585"/>
      <c r="I23" s="585"/>
      <c r="J23" s="585"/>
      <c r="K23" s="585"/>
      <c r="L23" s="585"/>
      <c r="M23" s="585"/>
      <c r="N23" s="585"/>
      <c r="O23" s="585"/>
      <c r="P23" s="585"/>
      <c r="Q23" s="585"/>
      <c r="R23" s="585"/>
      <c r="S23" s="585"/>
      <c r="T23" s="585"/>
      <c r="U23" s="585"/>
      <c r="V23" s="585"/>
      <c r="W23" s="585"/>
      <c r="X23" s="585"/>
      <c r="Y23" s="585"/>
      <c r="Z23" s="585"/>
      <c r="AA23" s="585"/>
      <c r="AB23" s="585"/>
      <c r="AC23" s="586"/>
      <c r="AD23" s="582">
        <v>1</v>
      </c>
      <c r="AE23" s="582"/>
      <c r="AF23" s="582"/>
      <c r="AG23" s="582"/>
      <c r="AH23" s="582"/>
      <c r="AI23" s="582"/>
      <c r="AJ23" s="582"/>
      <c r="AK23" s="582"/>
      <c r="AL23" s="582"/>
      <c r="AM23" s="582"/>
      <c r="AN23" s="582"/>
      <c r="AO23" s="582"/>
      <c r="AP23" s="582"/>
      <c r="AQ23" s="582"/>
      <c r="AR23" s="582"/>
      <c r="AS23" s="582"/>
      <c r="AT23" s="573">
        <f t="shared" si="0"/>
        <v>28627</v>
      </c>
      <c r="AU23" s="573"/>
      <c r="AV23" s="573"/>
      <c r="AW23" s="573"/>
      <c r="AX23" s="573"/>
      <c r="AY23" s="573"/>
      <c r="AZ23" s="573"/>
      <c r="BA23" s="573"/>
      <c r="BB23" s="573"/>
      <c r="BC23" s="573"/>
      <c r="BD23" s="573"/>
      <c r="BE23" s="573"/>
      <c r="BF23" s="573"/>
      <c r="BG23" s="573"/>
      <c r="BH23" s="573"/>
      <c r="BI23" s="573"/>
      <c r="BJ23" s="573"/>
      <c r="BK23" s="583">
        <v>8902</v>
      </c>
      <c r="BL23" s="583"/>
      <c r="BM23" s="583"/>
      <c r="BN23" s="583"/>
      <c r="BO23" s="583"/>
      <c r="BP23" s="583"/>
      <c r="BQ23" s="583"/>
      <c r="BR23" s="583"/>
      <c r="BS23" s="583"/>
      <c r="BT23" s="583"/>
      <c r="BU23" s="583"/>
      <c r="BV23" s="583"/>
      <c r="BW23" s="583"/>
      <c r="BX23" s="583"/>
      <c r="BY23" s="583"/>
      <c r="BZ23" s="583"/>
      <c r="CA23" s="583"/>
      <c r="CB23" s="583"/>
      <c r="CC23" s="573">
        <v>725</v>
      </c>
      <c r="CD23" s="573"/>
      <c r="CE23" s="573"/>
      <c r="CF23" s="573"/>
      <c r="CG23" s="573"/>
      <c r="CH23" s="573"/>
      <c r="CI23" s="573"/>
      <c r="CJ23" s="573"/>
      <c r="CK23" s="573"/>
      <c r="CL23" s="573"/>
      <c r="CM23" s="573"/>
      <c r="CN23" s="573"/>
      <c r="CO23" s="573"/>
      <c r="CP23" s="573"/>
      <c r="CQ23" s="573"/>
      <c r="CR23" s="573"/>
      <c r="CS23" s="573"/>
      <c r="CT23" s="573"/>
      <c r="CU23" s="573"/>
      <c r="CV23" s="538">
        <v>19000</v>
      </c>
      <c r="CW23" s="538"/>
      <c r="CX23" s="538"/>
      <c r="CY23" s="538"/>
      <c r="CZ23" s="538"/>
      <c r="DA23" s="538"/>
      <c r="DB23" s="538"/>
      <c r="DC23" s="538"/>
      <c r="DD23" s="538"/>
      <c r="DE23" s="538"/>
      <c r="DF23" s="538"/>
      <c r="DG23" s="538"/>
      <c r="DH23" s="538"/>
      <c r="DI23" s="538"/>
      <c r="DJ23" s="538"/>
      <c r="DK23" s="538"/>
      <c r="DL23" s="538"/>
      <c r="DM23" s="538"/>
      <c r="DN23" s="573">
        <f t="shared" si="1"/>
        <v>22901.600000000002</v>
      </c>
      <c r="DO23" s="573"/>
      <c r="DP23" s="573"/>
      <c r="DQ23" s="573"/>
      <c r="DR23" s="573"/>
      <c r="DS23" s="573"/>
      <c r="DT23" s="573"/>
      <c r="DU23" s="573"/>
      <c r="DV23" s="573"/>
      <c r="DW23" s="573"/>
      <c r="DX23" s="573"/>
      <c r="DY23" s="573"/>
      <c r="DZ23" s="573"/>
      <c r="EA23" s="573"/>
      <c r="EB23" s="573"/>
      <c r="EC23" s="573"/>
      <c r="ED23" s="573">
        <f t="shared" si="2"/>
        <v>14313.5</v>
      </c>
      <c r="EE23" s="573"/>
      <c r="EF23" s="573"/>
      <c r="EG23" s="573"/>
      <c r="EH23" s="573"/>
      <c r="EI23" s="573"/>
      <c r="EJ23" s="573"/>
      <c r="EK23" s="573"/>
      <c r="EL23" s="573"/>
      <c r="EM23" s="573"/>
      <c r="EN23" s="573"/>
      <c r="EO23" s="573"/>
      <c r="EP23" s="573"/>
      <c r="EQ23" s="573"/>
      <c r="ER23" s="573"/>
      <c r="ES23" s="573"/>
      <c r="ET23" s="573">
        <f t="shared" si="3"/>
        <v>790105.20000000007</v>
      </c>
      <c r="EU23" s="573"/>
      <c r="EV23" s="573"/>
      <c r="EW23" s="573"/>
      <c r="EX23" s="573"/>
      <c r="EY23" s="573"/>
      <c r="EZ23" s="573"/>
      <c r="FA23" s="573"/>
      <c r="FB23" s="573"/>
      <c r="FC23" s="573"/>
      <c r="FD23" s="573"/>
      <c r="FE23" s="573"/>
      <c r="FF23" s="573"/>
      <c r="FG23" s="573"/>
      <c r="FH23" s="573"/>
      <c r="FI23" s="573"/>
      <c r="FJ23" s="573"/>
      <c r="FK23" s="171"/>
      <c r="FN23" s="171"/>
      <c r="FO23" s="167"/>
      <c r="FP23" s="173"/>
    </row>
    <row r="24" spans="1:172" s="16" customFormat="1" ht="13.2" customHeight="1" x14ac:dyDescent="0.3">
      <c r="A24" s="581" t="s">
        <v>483</v>
      </c>
      <c r="B24" s="581"/>
      <c r="C24" s="581"/>
      <c r="D24" s="581"/>
      <c r="E24" s="581"/>
      <c r="F24" s="581"/>
      <c r="G24" s="584" t="s">
        <v>484</v>
      </c>
      <c r="H24" s="585"/>
      <c r="I24" s="585"/>
      <c r="J24" s="585"/>
      <c r="K24" s="585"/>
      <c r="L24" s="585"/>
      <c r="M24" s="585"/>
      <c r="N24" s="585"/>
      <c r="O24" s="585"/>
      <c r="P24" s="585"/>
      <c r="Q24" s="585"/>
      <c r="R24" s="585"/>
      <c r="S24" s="585"/>
      <c r="T24" s="585"/>
      <c r="U24" s="585"/>
      <c r="V24" s="585"/>
      <c r="W24" s="585"/>
      <c r="X24" s="585"/>
      <c r="Y24" s="585"/>
      <c r="Z24" s="585"/>
      <c r="AA24" s="585"/>
      <c r="AB24" s="585"/>
      <c r="AC24" s="586"/>
      <c r="AD24" s="582">
        <v>3</v>
      </c>
      <c r="AE24" s="582"/>
      <c r="AF24" s="582"/>
      <c r="AG24" s="582"/>
      <c r="AH24" s="582"/>
      <c r="AI24" s="582"/>
      <c r="AJ24" s="582"/>
      <c r="AK24" s="582"/>
      <c r="AL24" s="582"/>
      <c r="AM24" s="582"/>
      <c r="AN24" s="582"/>
      <c r="AO24" s="582"/>
      <c r="AP24" s="582"/>
      <c r="AQ24" s="582"/>
      <c r="AR24" s="582"/>
      <c r="AS24" s="582"/>
      <c r="AT24" s="573">
        <f t="shared" si="0"/>
        <v>28493.431400000001</v>
      </c>
      <c r="AU24" s="573"/>
      <c r="AV24" s="573"/>
      <c r="AW24" s="573"/>
      <c r="AX24" s="573"/>
      <c r="AY24" s="573"/>
      <c r="AZ24" s="573"/>
      <c r="BA24" s="573"/>
      <c r="BB24" s="573"/>
      <c r="BC24" s="573"/>
      <c r="BD24" s="573"/>
      <c r="BE24" s="573"/>
      <c r="BF24" s="573"/>
      <c r="BG24" s="573"/>
      <c r="BH24" s="573"/>
      <c r="BI24" s="573"/>
      <c r="BJ24" s="573"/>
      <c r="BK24" s="583">
        <v>8902</v>
      </c>
      <c r="BL24" s="583"/>
      <c r="BM24" s="583"/>
      <c r="BN24" s="583"/>
      <c r="BO24" s="583"/>
      <c r="BP24" s="583"/>
      <c r="BQ24" s="583"/>
      <c r="BR24" s="583"/>
      <c r="BS24" s="583"/>
      <c r="BT24" s="583"/>
      <c r="BU24" s="583"/>
      <c r="BV24" s="583"/>
      <c r="BW24" s="583"/>
      <c r="BX24" s="583"/>
      <c r="BY24" s="583"/>
      <c r="BZ24" s="583"/>
      <c r="CA24" s="583"/>
      <c r="CB24" s="583"/>
      <c r="CC24" s="573">
        <v>725</v>
      </c>
      <c r="CD24" s="573"/>
      <c r="CE24" s="573"/>
      <c r="CF24" s="573"/>
      <c r="CG24" s="573"/>
      <c r="CH24" s="573"/>
      <c r="CI24" s="573"/>
      <c r="CJ24" s="573"/>
      <c r="CK24" s="573"/>
      <c r="CL24" s="573"/>
      <c r="CM24" s="573"/>
      <c r="CN24" s="573"/>
      <c r="CO24" s="573"/>
      <c r="CP24" s="573"/>
      <c r="CQ24" s="573"/>
      <c r="CR24" s="573"/>
      <c r="CS24" s="573"/>
      <c r="CT24" s="573"/>
      <c r="CU24" s="573"/>
      <c r="CV24" s="538">
        <v>18866.431400000001</v>
      </c>
      <c r="CW24" s="538"/>
      <c r="CX24" s="538"/>
      <c r="CY24" s="538"/>
      <c r="CZ24" s="538"/>
      <c r="DA24" s="538"/>
      <c r="DB24" s="538"/>
      <c r="DC24" s="538"/>
      <c r="DD24" s="538"/>
      <c r="DE24" s="538"/>
      <c r="DF24" s="538"/>
      <c r="DG24" s="538"/>
      <c r="DH24" s="538"/>
      <c r="DI24" s="538"/>
      <c r="DJ24" s="538"/>
      <c r="DK24" s="538"/>
      <c r="DL24" s="538"/>
      <c r="DM24" s="538"/>
      <c r="DN24" s="573">
        <f t="shared" si="1"/>
        <v>22794.745120000003</v>
      </c>
      <c r="DO24" s="573"/>
      <c r="DP24" s="573"/>
      <c r="DQ24" s="573"/>
      <c r="DR24" s="573"/>
      <c r="DS24" s="573"/>
      <c r="DT24" s="573"/>
      <c r="DU24" s="573"/>
      <c r="DV24" s="573"/>
      <c r="DW24" s="573"/>
      <c r="DX24" s="573"/>
      <c r="DY24" s="573"/>
      <c r="DZ24" s="573"/>
      <c r="EA24" s="573"/>
      <c r="EB24" s="573"/>
      <c r="EC24" s="573"/>
      <c r="ED24" s="573">
        <f t="shared" si="2"/>
        <v>14246.715700000001</v>
      </c>
      <c r="EE24" s="573"/>
      <c r="EF24" s="573"/>
      <c r="EG24" s="573"/>
      <c r="EH24" s="573"/>
      <c r="EI24" s="573"/>
      <c r="EJ24" s="573"/>
      <c r="EK24" s="573"/>
      <c r="EL24" s="573"/>
      <c r="EM24" s="573"/>
      <c r="EN24" s="573"/>
      <c r="EO24" s="573"/>
      <c r="EP24" s="573"/>
      <c r="EQ24" s="573"/>
      <c r="ER24" s="573"/>
      <c r="ES24" s="573"/>
      <c r="ET24" s="573">
        <f>(AT24+DN24+ED24)*12*AD24</f>
        <v>2359256.1199200004</v>
      </c>
      <c r="EU24" s="573"/>
      <c r="EV24" s="573"/>
      <c r="EW24" s="573"/>
      <c r="EX24" s="573"/>
      <c r="EY24" s="573"/>
      <c r="EZ24" s="573"/>
      <c r="FA24" s="573"/>
      <c r="FB24" s="573"/>
      <c r="FC24" s="573"/>
      <c r="FD24" s="573"/>
      <c r="FE24" s="573"/>
      <c r="FF24" s="573"/>
      <c r="FG24" s="573"/>
      <c r="FH24" s="573"/>
      <c r="FI24" s="573"/>
      <c r="FJ24" s="573"/>
      <c r="FK24" s="171"/>
      <c r="FN24" s="171"/>
      <c r="FO24" s="174"/>
      <c r="FP24" s="175"/>
    </row>
    <row r="25" spans="1:172" s="16" customFormat="1" ht="15" customHeight="1" x14ac:dyDescent="0.3">
      <c r="A25" s="581" t="s">
        <v>485</v>
      </c>
      <c r="B25" s="581"/>
      <c r="C25" s="581"/>
      <c r="D25" s="581"/>
      <c r="E25" s="581"/>
      <c r="F25" s="581"/>
      <c r="G25" s="584" t="s">
        <v>486</v>
      </c>
      <c r="H25" s="585"/>
      <c r="I25" s="585"/>
      <c r="J25" s="585"/>
      <c r="K25" s="585"/>
      <c r="L25" s="585"/>
      <c r="M25" s="585"/>
      <c r="N25" s="585"/>
      <c r="O25" s="585"/>
      <c r="P25" s="585"/>
      <c r="Q25" s="585"/>
      <c r="R25" s="585"/>
      <c r="S25" s="585"/>
      <c r="T25" s="585"/>
      <c r="U25" s="585"/>
      <c r="V25" s="585"/>
      <c r="W25" s="585"/>
      <c r="X25" s="585"/>
      <c r="Y25" s="585"/>
      <c r="Z25" s="585"/>
      <c r="AA25" s="585"/>
      <c r="AB25" s="585"/>
      <c r="AC25" s="586"/>
      <c r="AD25" s="582">
        <v>1</v>
      </c>
      <c r="AE25" s="582"/>
      <c r="AF25" s="582"/>
      <c r="AG25" s="582"/>
      <c r="AH25" s="582"/>
      <c r="AI25" s="582"/>
      <c r="AJ25" s="582"/>
      <c r="AK25" s="582"/>
      <c r="AL25" s="582"/>
      <c r="AM25" s="582"/>
      <c r="AN25" s="582"/>
      <c r="AO25" s="582"/>
      <c r="AP25" s="582"/>
      <c r="AQ25" s="582"/>
      <c r="AR25" s="582"/>
      <c r="AS25" s="582"/>
      <c r="AT25" s="573">
        <f t="shared" si="0"/>
        <v>32449.47896</v>
      </c>
      <c r="AU25" s="573"/>
      <c r="AV25" s="573"/>
      <c r="AW25" s="573"/>
      <c r="AX25" s="573"/>
      <c r="AY25" s="573"/>
      <c r="AZ25" s="573"/>
      <c r="BA25" s="573"/>
      <c r="BB25" s="573"/>
      <c r="BC25" s="573"/>
      <c r="BD25" s="573"/>
      <c r="BE25" s="573"/>
      <c r="BF25" s="573"/>
      <c r="BG25" s="573"/>
      <c r="BH25" s="573"/>
      <c r="BI25" s="573"/>
      <c r="BJ25" s="573"/>
      <c r="BK25" s="583">
        <v>10366</v>
      </c>
      <c r="BL25" s="583"/>
      <c r="BM25" s="583"/>
      <c r="BN25" s="583"/>
      <c r="BO25" s="583"/>
      <c r="BP25" s="583"/>
      <c r="BQ25" s="583"/>
      <c r="BR25" s="583"/>
      <c r="BS25" s="583"/>
      <c r="BT25" s="583"/>
      <c r="BU25" s="583"/>
      <c r="BV25" s="583"/>
      <c r="BW25" s="583"/>
      <c r="BX25" s="583"/>
      <c r="BY25" s="583"/>
      <c r="BZ25" s="583"/>
      <c r="CA25" s="583"/>
      <c r="CB25" s="583"/>
      <c r="CC25" s="573"/>
      <c r="CD25" s="573"/>
      <c r="CE25" s="573"/>
      <c r="CF25" s="573"/>
      <c r="CG25" s="573"/>
      <c r="CH25" s="573"/>
      <c r="CI25" s="573"/>
      <c r="CJ25" s="573"/>
      <c r="CK25" s="573"/>
      <c r="CL25" s="573"/>
      <c r="CM25" s="573"/>
      <c r="CN25" s="573"/>
      <c r="CO25" s="573"/>
      <c r="CP25" s="573"/>
      <c r="CQ25" s="573"/>
      <c r="CR25" s="573"/>
      <c r="CS25" s="573"/>
      <c r="CT25" s="573"/>
      <c r="CU25" s="573"/>
      <c r="CV25" s="573">
        <v>22083.47896</v>
      </c>
      <c r="CW25" s="573"/>
      <c r="CX25" s="573"/>
      <c r="CY25" s="573"/>
      <c r="CZ25" s="573"/>
      <c r="DA25" s="573"/>
      <c r="DB25" s="573"/>
      <c r="DC25" s="573"/>
      <c r="DD25" s="573"/>
      <c r="DE25" s="573"/>
      <c r="DF25" s="573"/>
      <c r="DG25" s="573"/>
      <c r="DH25" s="573"/>
      <c r="DI25" s="573"/>
      <c r="DJ25" s="573"/>
      <c r="DK25" s="573"/>
      <c r="DL25" s="573"/>
      <c r="DM25" s="573"/>
      <c r="DN25" s="573">
        <f t="shared" si="1"/>
        <v>25959.583168000001</v>
      </c>
      <c r="DO25" s="573"/>
      <c r="DP25" s="573"/>
      <c r="DQ25" s="573"/>
      <c r="DR25" s="573"/>
      <c r="DS25" s="573"/>
      <c r="DT25" s="573"/>
      <c r="DU25" s="573"/>
      <c r="DV25" s="573"/>
      <c r="DW25" s="573"/>
      <c r="DX25" s="573"/>
      <c r="DY25" s="573"/>
      <c r="DZ25" s="573"/>
      <c r="EA25" s="573"/>
      <c r="EB25" s="573"/>
      <c r="EC25" s="573"/>
      <c r="ED25" s="573">
        <f t="shared" si="2"/>
        <v>16224.73948</v>
      </c>
      <c r="EE25" s="573"/>
      <c r="EF25" s="573"/>
      <c r="EG25" s="573"/>
      <c r="EH25" s="573"/>
      <c r="EI25" s="573"/>
      <c r="EJ25" s="573"/>
      <c r="EK25" s="573"/>
      <c r="EL25" s="573"/>
      <c r="EM25" s="573"/>
      <c r="EN25" s="573"/>
      <c r="EO25" s="573"/>
      <c r="EP25" s="573"/>
      <c r="EQ25" s="573"/>
      <c r="ER25" s="573"/>
      <c r="ES25" s="573"/>
      <c r="ET25" s="573">
        <f t="shared" si="3"/>
        <v>895605.61929600011</v>
      </c>
      <c r="EU25" s="573"/>
      <c r="EV25" s="573"/>
      <c r="EW25" s="573"/>
      <c r="EX25" s="573"/>
      <c r="EY25" s="573"/>
      <c r="EZ25" s="573"/>
      <c r="FA25" s="573"/>
      <c r="FB25" s="573"/>
      <c r="FC25" s="573"/>
      <c r="FD25" s="573"/>
      <c r="FE25" s="573"/>
      <c r="FF25" s="573"/>
      <c r="FG25" s="573"/>
      <c r="FH25" s="573"/>
      <c r="FI25" s="573"/>
      <c r="FJ25" s="573"/>
      <c r="FK25" s="171"/>
      <c r="FN25" s="171"/>
      <c r="FO25" s="173"/>
      <c r="FP25" s="173"/>
    </row>
    <row r="26" spans="1:172" s="16" customFormat="1" ht="15" customHeight="1" x14ac:dyDescent="0.3">
      <c r="A26" s="581" t="s">
        <v>487</v>
      </c>
      <c r="B26" s="581"/>
      <c r="C26" s="581"/>
      <c r="D26" s="581"/>
      <c r="E26" s="581"/>
      <c r="F26" s="581"/>
      <c r="G26" s="584" t="s">
        <v>488</v>
      </c>
      <c r="H26" s="585"/>
      <c r="I26" s="585"/>
      <c r="J26" s="585"/>
      <c r="K26" s="585"/>
      <c r="L26" s="585"/>
      <c r="M26" s="585"/>
      <c r="N26" s="585"/>
      <c r="O26" s="585"/>
      <c r="P26" s="585"/>
      <c r="Q26" s="585"/>
      <c r="R26" s="585"/>
      <c r="S26" s="585"/>
      <c r="T26" s="585"/>
      <c r="U26" s="585"/>
      <c r="V26" s="585"/>
      <c r="W26" s="585"/>
      <c r="X26" s="585"/>
      <c r="Y26" s="585"/>
      <c r="Z26" s="585"/>
      <c r="AA26" s="585"/>
      <c r="AB26" s="585"/>
      <c r="AC26" s="586"/>
      <c r="AD26" s="582">
        <v>1</v>
      </c>
      <c r="AE26" s="582"/>
      <c r="AF26" s="582"/>
      <c r="AG26" s="582"/>
      <c r="AH26" s="582"/>
      <c r="AI26" s="582"/>
      <c r="AJ26" s="582"/>
      <c r="AK26" s="582"/>
      <c r="AL26" s="582"/>
      <c r="AM26" s="582"/>
      <c r="AN26" s="582"/>
      <c r="AO26" s="582"/>
      <c r="AP26" s="582"/>
      <c r="AQ26" s="582"/>
      <c r="AR26" s="582"/>
      <c r="AS26" s="582"/>
      <c r="AT26" s="573">
        <f t="shared" si="0"/>
        <v>27902</v>
      </c>
      <c r="AU26" s="573"/>
      <c r="AV26" s="573"/>
      <c r="AW26" s="573"/>
      <c r="AX26" s="573"/>
      <c r="AY26" s="573"/>
      <c r="AZ26" s="573"/>
      <c r="BA26" s="573"/>
      <c r="BB26" s="573"/>
      <c r="BC26" s="573"/>
      <c r="BD26" s="573"/>
      <c r="BE26" s="573"/>
      <c r="BF26" s="573"/>
      <c r="BG26" s="573"/>
      <c r="BH26" s="573"/>
      <c r="BI26" s="573"/>
      <c r="BJ26" s="573"/>
      <c r="BK26" s="583">
        <v>8902</v>
      </c>
      <c r="BL26" s="583"/>
      <c r="BM26" s="583"/>
      <c r="BN26" s="583"/>
      <c r="BO26" s="583"/>
      <c r="BP26" s="583"/>
      <c r="BQ26" s="583"/>
      <c r="BR26" s="583"/>
      <c r="BS26" s="583"/>
      <c r="BT26" s="583"/>
      <c r="BU26" s="583"/>
      <c r="BV26" s="583"/>
      <c r="BW26" s="583"/>
      <c r="BX26" s="583"/>
      <c r="BY26" s="583"/>
      <c r="BZ26" s="583"/>
      <c r="CA26" s="583"/>
      <c r="CB26" s="583"/>
      <c r="CC26" s="573"/>
      <c r="CD26" s="573"/>
      <c r="CE26" s="573"/>
      <c r="CF26" s="573"/>
      <c r="CG26" s="573"/>
      <c r="CH26" s="573"/>
      <c r="CI26" s="573"/>
      <c r="CJ26" s="573"/>
      <c r="CK26" s="573"/>
      <c r="CL26" s="573"/>
      <c r="CM26" s="573"/>
      <c r="CN26" s="573"/>
      <c r="CO26" s="573"/>
      <c r="CP26" s="573"/>
      <c r="CQ26" s="573"/>
      <c r="CR26" s="573"/>
      <c r="CS26" s="573"/>
      <c r="CT26" s="573"/>
      <c r="CU26" s="573"/>
      <c r="CV26" s="538">
        <v>19000</v>
      </c>
      <c r="CW26" s="538"/>
      <c r="CX26" s="538"/>
      <c r="CY26" s="538"/>
      <c r="CZ26" s="538"/>
      <c r="DA26" s="538"/>
      <c r="DB26" s="538"/>
      <c r="DC26" s="538"/>
      <c r="DD26" s="538"/>
      <c r="DE26" s="538"/>
      <c r="DF26" s="538"/>
      <c r="DG26" s="538"/>
      <c r="DH26" s="538"/>
      <c r="DI26" s="538"/>
      <c r="DJ26" s="538"/>
      <c r="DK26" s="538"/>
      <c r="DL26" s="538"/>
      <c r="DM26" s="538"/>
      <c r="DN26" s="573">
        <f t="shared" si="1"/>
        <v>22321.600000000002</v>
      </c>
      <c r="DO26" s="573"/>
      <c r="DP26" s="573"/>
      <c r="DQ26" s="573"/>
      <c r="DR26" s="573"/>
      <c r="DS26" s="573"/>
      <c r="DT26" s="573"/>
      <c r="DU26" s="573"/>
      <c r="DV26" s="573"/>
      <c r="DW26" s="573"/>
      <c r="DX26" s="573"/>
      <c r="DY26" s="573"/>
      <c r="DZ26" s="573"/>
      <c r="EA26" s="573"/>
      <c r="EB26" s="573"/>
      <c r="EC26" s="573"/>
      <c r="ED26" s="573">
        <f t="shared" si="2"/>
        <v>13951</v>
      </c>
      <c r="EE26" s="573"/>
      <c r="EF26" s="573"/>
      <c r="EG26" s="573"/>
      <c r="EH26" s="573"/>
      <c r="EI26" s="573"/>
      <c r="EJ26" s="573"/>
      <c r="EK26" s="573"/>
      <c r="EL26" s="573"/>
      <c r="EM26" s="573"/>
      <c r="EN26" s="573"/>
      <c r="EO26" s="573"/>
      <c r="EP26" s="573"/>
      <c r="EQ26" s="573"/>
      <c r="ER26" s="573"/>
      <c r="ES26" s="573"/>
      <c r="ET26" s="573">
        <f t="shared" si="3"/>
        <v>770095.20000000007</v>
      </c>
      <c r="EU26" s="573"/>
      <c r="EV26" s="573"/>
      <c r="EW26" s="573"/>
      <c r="EX26" s="573"/>
      <c r="EY26" s="573"/>
      <c r="EZ26" s="573"/>
      <c r="FA26" s="573"/>
      <c r="FB26" s="573"/>
      <c r="FC26" s="573"/>
      <c r="FD26" s="573"/>
      <c r="FE26" s="573"/>
      <c r="FF26" s="573"/>
      <c r="FG26" s="573"/>
      <c r="FH26" s="573"/>
      <c r="FI26" s="573"/>
      <c r="FJ26" s="573"/>
      <c r="FK26" s="171"/>
      <c r="FN26" s="171"/>
    </row>
    <row r="27" spans="1:172" s="16" customFormat="1" ht="19.2" customHeight="1" x14ac:dyDescent="0.3">
      <c r="A27" s="581" t="s">
        <v>489</v>
      </c>
      <c r="B27" s="581"/>
      <c r="C27" s="581"/>
      <c r="D27" s="581"/>
      <c r="E27" s="581"/>
      <c r="F27" s="581"/>
      <c r="G27" s="584" t="s">
        <v>490</v>
      </c>
      <c r="H27" s="585"/>
      <c r="I27" s="585"/>
      <c r="J27" s="585"/>
      <c r="K27" s="585"/>
      <c r="L27" s="585"/>
      <c r="M27" s="585"/>
      <c r="N27" s="585"/>
      <c r="O27" s="585"/>
      <c r="P27" s="585"/>
      <c r="Q27" s="585"/>
      <c r="R27" s="585"/>
      <c r="S27" s="585"/>
      <c r="T27" s="585"/>
      <c r="U27" s="585"/>
      <c r="V27" s="585"/>
      <c r="W27" s="585"/>
      <c r="X27" s="585"/>
      <c r="Y27" s="585"/>
      <c r="Z27" s="585"/>
      <c r="AA27" s="585"/>
      <c r="AB27" s="585"/>
      <c r="AC27" s="586"/>
      <c r="AD27" s="582">
        <v>1</v>
      </c>
      <c r="AE27" s="582"/>
      <c r="AF27" s="582"/>
      <c r="AG27" s="582"/>
      <c r="AH27" s="582"/>
      <c r="AI27" s="582"/>
      <c r="AJ27" s="582"/>
      <c r="AK27" s="582"/>
      <c r="AL27" s="582"/>
      <c r="AM27" s="582"/>
      <c r="AN27" s="582"/>
      <c r="AO27" s="582"/>
      <c r="AP27" s="582"/>
      <c r="AQ27" s="582"/>
      <c r="AR27" s="582"/>
      <c r="AS27" s="582"/>
      <c r="AT27" s="573">
        <f t="shared" si="0"/>
        <v>27902</v>
      </c>
      <c r="AU27" s="573"/>
      <c r="AV27" s="573"/>
      <c r="AW27" s="573"/>
      <c r="AX27" s="573"/>
      <c r="AY27" s="573"/>
      <c r="AZ27" s="573"/>
      <c r="BA27" s="573"/>
      <c r="BB27" s="573"/>
      <c r="BC27" s="573"/>
      <c r="BD27" s="573"/>
      <c r="BE27" s="573"/>
      <c r="BF27" s="573"/>
      <c r="BG27" s="573"/>
      <c r="BH27" s="573"/>
      <c r="BI27" s="573"/>
      <c r="BJ27" s="573"/>
      <c r="BK27" s="583">
        <v>8902</v>
      </c>
      <c r="BL27" s="583"/>
      <c r="BM27" s="583"/>
      <c r="BN27" s="583"/>
      <c r="BO27" s="583"/>
      <c r="BP27" s="583"/>
      <c r="BQ27" s="583"/>
      <c r="BR27" s="583"/>
      <c r="BS27" s="583"/>
      <c r="BT27" s="583"/>
      <c r="BU27" s="583"/>
      <c r="BV27" s="583"/>
      <c r="BW27" s="583"/>
      <c r="BX27" s="583"/>
      <c r="BY27" s="583"/>
      <c r="BZ27" s="583"/>
      <c r="CA27" s="583"/>
      <c r="CB27" s="583"/>
      <c r="CC27" s="573"/>
      <c r="CD27" s="573"/>
      <c r="CE27" s="573"/>
      <c r="CF27" s="573"/>
      <c r="CG27" s="573"/>
      <c r="CH27" s="573"/>
      <c r="CI27" s="573"/>
      <c r="CJ27" s="573"/>
      <c r="CK27" s="573"/>
      <c r="CL27" s="573"/>
      <c r="CM27" s="573"/>
      <c r="CN27" s="573"/>
      <c r="CO27" s="573"/>
      <c r="CP27" s="573"/>
      <c r="CQ27" s="573"/>
      <c r="CR27" s="573"/>
      <c r="CS27" s="573"/>
      <c r="CT27" s="573"/>
      <c r="CU27" s="573"/>
      <c r="CV27" s="538">
        <v>19000</v>
      </c>
      <c r="CW27" s="538"/>
      <c r="CX27" s="538"/>
      <c r="CY27" s="538"/>
      <c r="CZ27" s="538"/>
      <c r="DA27" s="538"/>
      <c r="DB27" s="538"/>
      <c r="DC27" s="538"/>
      <c r="DD27" s="538"/>
      <c r="DE27" s="538"/>
      <c r="DF27" s="538"/>
      <c r="DG27" s="538"/>
      <c r="DH27" s="538"/>
      <c r="DI27" s="538"/>
      <c r="DJ27" s="538"/>
      <c r="DK27" s="538"/>
      <c r="DL27" s="538"/>
      <c r="DM27" s="538"/>
      <c r="DN27" s="573">
        <f t="shared" si="1"/>
        <v>22321.600000000002</v>
      </c>
      <c r="DO27" s="573"/>
      <c r="DP27" s="573"/>
      <c r="DQ27" s="573"/>
      <c r="DR27" s="573"/>
      <c r="DS27" s="573"/>
      <c r="DT27" s="573"/>
      <c r="DU27" s="573"/>
      <c r="DV27" s="573"/>
      <c r="DW27" s="573"/>
      <c r="DX27" s="573"/>
      <c r="DY27" s="573"/>
      <c r="DZ27" s="573"/>
      <c r="EA27" s="573"/>
      <c r="EB27" s="573"/>
      <c r="EC27" s="573"/>
      <c r="ED27" s="573">
        <f t="shared" si="2"/>
        <v>13951</v>
      </c>
      <c r="EE27" s="573"/>
      <c r="EF27" s="573"/>
      <c r="EG27" s="573"/>
      <c r="EH27" s="573"/>
      <c r="EI27" s="573"/>
      <c r="EJ27" s="573"/>
      <c r="EK27" s="573"/>
      <c r="EL27" s="573"/>
      <c r="EM27" s="573"/>
      <c r="EN27" s="573"/>
      <c r="EO27" s="573"/>
      <c r="EP27" s="573"/>
      <c r="EQ27" s="573"/>
      <c r="ER27" s="573"/>
      <c r="ES27" s="573"/>
      <c r="ET27" s="573">
        <f t="shared" si="3"/>
        <v>770095.20000000007</v>
      </c>
      <c r="EU27" s="573"/>
      <c r="EV27" s="573"/>
      <c r="EW27" s="573"/>
      <c r="EX27" s="573"/>
      <c r="EY27" s="573"/>
      <c r="EZ27" s="573"/>
      <c r="FA27" s="573"/>
      <c r="FB27" s="573"/>
      <c r="FC27" s="573"/>
      <c r="FD27" s="573"/>
      <c r="FE27" s="573"/>
      <c r="FF27" s="573"/>
      <c r="FG27" s="573"/>
      <c r="FH27" s="573"/>
      <c r="FI27" s="573"/>
      <c r="FJ27" s="573"/>
      <c r="FK27" s="171"/>
      <c r="FN27" s="171"/>
      <c r="FO27" s="60"/>
      <c r="FP27" s="60"/>
    </row>
    <row r="28" spans="1:172" s="16" customFormat="1" ht="25.5" customHeight="1" x14ac:dyDescent="0.3">
      <c r="A28" s="581" t="s">
        <v>491</v>
      </c>
      <c r="B28" s="581"/>
      <c r="C28" s="581"/>
      <c r="D28" s="581"/>
      <c r="E28" s="581"/>
      <c r="F28" s="581"/>
      <c r="G28" s="584" t="s">
        <v>492</v>
      </c>
      <c r="H28" s="585"/>
      <c r="I28" s="585"/>
      <c r="J28" s="585"/>
      <c r="K28" s="585"/>
      <c r="L28" s="585"/>
      <c r="M28" s="585"/>
      <c r="N28" s="585"/>
      <c r="O28" s="585"/>
      <c r="P28" s="585"/>
      <c r="Q28" s="585"/>
      <c r="R28" s="585"/>
      <c r="S28" s="585"/>
      <c r="T28" s="585"/>
      <c r="U28" s="585"/>
      <c r="V28" s="585"/>
      <c r="W28" s="585"/>
      <c r="X28" s="585"/>
      <c r="Y28" s="585"/>
      <c r="Z28" s="585"/>
      <c r="AA28" s="585"/>
      <c r="AB28" s="585"/>
      <c r="AC28" s="586"/>
      <c r="AD28" s="582">
        <v>1</v>
      </c>
      <c r="AE28" s="582"/>
      <c r="AF28" s="582"/>
      <c r="AG28" s="582"/>
      <c r="AH28" s="582"/>
      <c r="AI28" s="582"/>
      <c r="AJ28" s="582"/>
      <c r="AK28" s="582"/>
      <c r="AL28" s="582"/>
      <c r="AM28" s="582"/>
      <c r="AN28" s="582"/>
      <c r="AO28" s="582"/>
      <c r="AP28" s="582"/>
      <c r="AQ28" s="582"/>
      <c r="AR28" s="582"/>
      <c r="AS28" s="582"/>
      <c r="AT28" s="573">
        <f t="shared" si="0"/>
        <v>27902</v>
      </c>
      <c r="AU28" s="573"/>
      <c r="AV28" s="573"/>
      <c r="AW28" s="573"/>
      <c r="AX28" s="573"/>
      <c r="AY28" s="573"/>
      <c r="AZ28" s="573"/>
      <c r="BA28" s="573"/>
      <c r="BB28" s="573"/>
      <c r="BC28" s="573"/>
      <c r="BD28" s="573"/>
      <c r="BE28" s="573"/>
      <c r="BF28" s="573"/>
      <c r="BG28" s="573"/>
      <c r="BH28" s="573"/>
      <c r="BI28" s="573"/>
      <c r="BJ28" s="573"/>
      <c r="BK28" s="583">
        <v>8902</v>
      </c>
      <c r="BL28" s="583"/>
      <c r="BM28" s="583"/>
      <c r="BN28" s="583"/>
      <c r="BO28" s="583"/>
      <c r="BP28" s="583"/>
      <c r="BQ28" s="583"/>
      <c r="BR28" s="583"/>
      <c r="BS28" s="583"/>
      <c r="BT28" s="583"/>
      <c r="BU28" s="583"/>
      <c r="BV28" s="583"/>
      <c r="BW28" s="583"/>
      <c r="BX28" s="583"/>
      <c r="BY28" s="583"/>
      <c r="BZ28" s="583"/>
      <c r="CA28" s="583"/>
      <c r="CB28" s="583"/>
      <c r="CC28" s="573"/>
      <c r="CD28" s="573"/>
      <c r="CE28" s="573"/>
      <c r="CF28" s="573"/>
      <c r="CG28" s="573"/>
      <c r="CH28" s="573"/>
      <c r="CI28" s="573"/>
      <c r="CJ28" s="573"/>
      <c r="CK28" s="573"/>
      <c r="CL28" s="573"/>
      <c r="CM28" s="573"/>
      <c r="CN28" s="573"/>
      <c r="CO28" s="573"/>
      <c r="CP28" s="573"/>
      <c r="CQ28" s="573"/>
      <c r="CR28" s="573"/>
      <c r="CS28" s="573"/>
      <c r="CT28" s="573"/>
      <c r="CU28" s="573"/>
      <c r="CV28" s="538">
        <v>19000</v>
      </c>
      <c r="CW28" s="538"/>
      <c r="CX28" s="538"/>
      <c r="CY28" s="538"/>
      <c r="CZ28" s="538"/>
      <c r="DA28" s="538"/>
      <c r="DB28" s="538"/>
      <c r="DC28" s="538"/>
      <c r="DD28" s="538"/>
      <c r="DE28" s="538"/>
      <c r="DF28" s="538"/>
      <c r="DG28" s="538"/>
      <c r="DH28" s="538"/>
      <c r="DI28" s="538"/>
      <c r="DJ28" s="538"/>
      <c r="DK28" s="538"/>
      <c r="DL28" s="538"/>
      <c r="DM28" s="538"/>
      <c r="DN28" s="573">
        <f t="shared" si="1"/>
        <v>22321.600000000002</v>
      </c>
      <c r="DO28" s="573"/>
      <c r="DP28" s="573"/>
      <c r="DQ28" s="573"/>
      <c r="DR28" s="573"/>
      <c r="DS28" s="573"/>
      <c r="DT28" s="573"/>
      <c r="DU28" s="573"/>
      <c r="DV28" s="573"/>
      <c r="DW28" s="573"/>
      <c r="DX28" s="573"/>
      <c r="DY28" s="573"/>
      <c r="DZ28" s="573"/>
      <c r="EA28" s="573"/>
      <c r="EB28" s="573"/>
      <c r="EC28" s="573"/>
      <c r="ED28" s="573">
        <f t="shared" si="2"/>
        <v>13951</v>
      </c>
      <c r="EE28" s="573"/>
      <c r="EF28" s="573"/>
      <c r="EG28" s="573"/>
      <c r="EH28" s="573"/>
      <c r="EI28" s="573"/>
      <c r="EJ28" s="573"/>
      <c r="EK28" s="573"/>
      <c r="EL28" s="573"/>
      <c r="EM28" s="573"/>
      <c r="EN28" s="573"/>
      <c r="EO28" s="573"/>
      <c r="EP28" s="573"/>
      <c r="EQ28" s="573"/>
      <c r="ER28" s="573"/>
      <c r="ES28" s="573"/>
      <c r="ET28" s="573">
        <f t="shared" si="3"/>
        <v>770095.20000000007</v>
      </c>
      <c r="EU28" s="573"/>
      <c r="EV28" s="573"/>
      <c r="EW28" s="573"/>
      <c r="EX28" s="573"/>
      <c r="EY28" s="573"/>
      <c r="EZ28" s="573"/>
      <c r="FA28" s="573"/>
      <c r="FB28" s="573"/>
      <c r="FC28" s="573"/>
      <c r="FD28" s="573"/>
      <c r="FE28" s="573"/>
      <c r="FF28" s="573"/>
      <c r="FG28" s="573"/>
      <c r="FH28" s="573"/>
      <c r="FI28" s="573"/>
      <c r="FJ28" s="573"/>
      <c r="FK28" s="171"/>
      <c r="FN28" s="171"/>
    </row>
    <row r="29" spans="1:172" s="16" customFormat="1" ht="19.2" customHeight="1" x14ac:dyDescent="0.3">
      <c r="A29" s="581" t="s">
        <v>493</v>
      </c>
      <c r="B29" s="581"/>
      <c r="C29" s="581"/>
      <c r="D29" s="581"/>
      <c r="E29" s="581"/>
      <c r="F29" s="581"/>
      <c r="G29" s="556" t="s">
        <v>494</v>
      </c>
      <c r="H29" s="556"/>
      <c r="I29" s="556"/>
      <c r="J29" s="556"/>
      <c r="K29" s="556"/>
      <c r="L29" s="556"/>
      <c r="M29" s="556"/>
      <c r="N29" s="556"/>
      <c r="O29" s="556"/>
      <c r="P29" s="556"/>
      <c r="Q29" s="556"/>
      <c r="R29" s="556"/>
      <c r="S29" s="556"/>
      <c r="T29" s="556"/>
      <c r="U29" s="556"/>
      <c r="V29" s="556"/>
      <c r="W29" s="556"/>
      <c r="X29" s="556"/>
      <c r="Y29" s="556"/>
      <c r="Z29" s="556"/>
      <c r="AA29" s="556"/>
      <c r="AB29" s="556"/>
      <c r="AC29" s="556"/>
      <c r="AD29" s="582">
        <v>1</v>
      </c>
      <c r="AE29" s="582"/>
      <c r="AF29" s="582"/>
      <c r="AG29" s="582"/>
      <c r="AH29" s="582"/>
      <c r="AI29" s="582"/>
      <c r="AJ29" s="582"/>
      <c r="AK29" s="582"/>
      <c r="AL29" s="582"/>
      <c r="AM29" s="582"/>
      <c r="AN29" s="582"/>
      <c r="AO29" s="582"/>
      <c r="AP29" s="582"/>
      <c r="AQ29" s="582"/>
      <c r="AR29" s="582"/>
      <c r="AS29" s="582"/>
      <c r="AT29" s="573">
        <f t="shared" si="0"/>
        <v>28627</v>
      </c>
      <c r="AU29" s="573"/>
      <c r="AV29" s="573"/>
      <c r="AW29" s="573"/>
      <c r="AX29" s="573"/>
      <c r="AY29" s="573"/>
      <c r="AZ29" s="573"/>
      <c r="BA29" s="573"/>
      <c r="BB29" s="573"/>
      <c r="BC29" s="573"/>
      <c r="BD29" s="573"/>
      <c r="BE29" s="573"/>
      <c r="BF29" s="573"/>
      <c r="BG29" s="573"/>
      <c r="BH29" s="573"/>
      <c r="BI29" s="573"/>
      <c r="BJ29" s="573"/>
      <c r="BK29" s="583">
        <v>8902</v>
      </c>
      <c r="BL29" s="583"/>
      <c r="BM29" s="583"/>
      <c r="BN29" s="583"/>
      <c r="BO29" s="583"/>
      <c r="BP29" s="583"/>
      <c r="BQ29" s="583"/>
      <c r="BR29" s="583"/>
      <c r="BS29" s="583"/>
      <c r="BT29" s="583"/>
      <c r="BU29" s="583"/>
      <c r="BV29" s="583"/>
      <c r="BW29" s="583"/>
      <c r="BX29" s="583"/>
      <c r="BY29" s="583"/>
      <c r="BZ29" s="583"/>
      <c r="CA29" s="583"/>
      <c r="CB29" s="583"/>
      <c r="CC29" s="573">
        <v>725</v>
      </c>
      <c r="CD29" s="573"/>
      <c r="CE29" s="573"/>
      <c r="CF29" s="573"/>
      <c r="CG29" s="573"/>
      <c r="CH29" s="573"/>
      <c r="CI29" s="573"/>
      <c r="CJ29" s="573"/>
      <c r="CK29" s="573"/>
      <c r="CL29" s="573"/>
      <c r="CM29" s="573"/>
      <c r="CN29" s="573"/>
      <c r="CO29" s="573"/>
      <c r="CP29" s="573"/>
      <c r="CQ29" s="573"/>
      <c r="CR29" s="573"/>
      <c r="CS29" s="573"/>
      <c r="CT29" s="573"/>
      <c r="CU29" s="573"/>
      <c r="CV29" s="538">
        <v>19000</v>
      </c>
      <c r="CW29" s="538"/>
      <c r="CX29" s="538"/>
      <c r="CY29" s="538"/>
      <c r="CZ29" s="538"/>
      <c r="DA29" s="538"/>
      <c r="DB29" s="538"/>
      <c r="DC29" s="538"/>
      <c r="DD29" s="538"/>
      <c r="DE29" s="538"/>
      <c r="DF29" s="538"/>
      <c r="DG29" s="538"/>
      <c r="DH29" s="538"/>
      <c r="DI29" s="538"/>
      <c r="DJ29" s="538"/>
      <c r="DK29" s="538"/>
      <c r="DL29" s="538"/>
      <c r="DM29" s="538"/>
      <c r="DN29" s="573">
        <f t="shared" si="1"/>
        <v>22901.600000000002</v>
      </c>
      <c r="DO29" s="573"/>
      <c r="DP29" s="573"/>
      <c r="DQ29" s="573"/>
      <c r="DR29" s="573"/>
      <c r="DS29" s="573"/>
      <c r="DT29" s="573"/>
      <c r="DU29" s="573"/>
      <c r="DV29" s="573"/>
      <c r="DW29" s="573"/>
      <c r="DX29" s="573"/>
      <c r="DY29" s="573"/>
      <c r="DZ29" s="573"/>
      <c r="EA29" s="573"/>
      <c r="EB29" s="573"/>
      <c r="EC29" s="573"/>
      <c r="ED29" s="573">
        <f t="shared" si="2"/>
        <v>14313.5</v>
      </c>
      <c r="EE29" s="573"/>
      <c r="EF29" s="573"/>
      <c r="EG29" s="573"/>
      <c r="EH29" s="573"/>
      <c r="EI29" s="573"/>
      <c r="EJ29" s="573"/>
      <c r="EK29" s="573"/>
      <c r="EL29" s="573"/>
      <c r="EM29" s="573"/>
      <c r="EN29" s="573"/>
      <c r="EO29" s="573"/>
      <c r="EP29" s="573"/>
      <c r="EQ29" s="573"/>
      <c r="ER29" s="573"/>
      <c r="ES29" s="573"/>
      <c r="ET29" s="573">
        <f t="shared" si="3"/>
        <v>790105.20000000007</v>
      </c>
      <c r="EU29" s="573"/>
      <c r="EV29" s="573"/>
      <c r="EW29" s="573"/>
      <c r="EX29" s="573"/>
      <c r="EY29" s="573"/>
      <c r="EZ29" s="573"/>
      <c r="FA29" s="573"/>
      <c r="FB29" s="573"/>
      <c r="FC29" s="573"/>
      <c r="FD29" s="573"/>
      <c r="FE29" s="573"/>
      <c r="FF29" s="573"/>
      <c r="FG29" s="573"/>
      <c r="FH29" s="573"/>
      <c r="FI29" s="573"/>
      <c r="FJ29" s="573"/>
      <c r="FK29" s="171"/>
      <c r="FN29" s="171"/>
    </row>
    <row r="30" spans="1:172" s="16" customFormat="1" ht="15" customHeight="1" x14ac:dyDescent="0.3">
      <c r="A30" s="578" t="s">
        <v>252</v>
      </c>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80"/>
      <c r="AD30" s="539">
        <f>SUM(AD18:AD29)</f>
        <v>14</v>
      </c>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40"/>
      <c r="DA30" s="540"/>
      <c r="DB30" s="540"/>
      <c r="DC30" s="540"/>
      <c r="DD30" s="540"/>
      <c r="DE30" s="540"/>
      <c r="DF30" s="540"/>
      <c r="DG30" s="540"/>
      <c r="DH30" s="540"/>
      <c r="DI30" s="540"/>
      <c r="DJ30" s="540"/>
      <c r="DK30" s="540"/>
      <c r="DL30" s="540"/>
      <c r="DM30" s="540"/>
      <c r="DN30" s="540"/>
      <c r="DO30" s="540"/>
      <c r="DP30" s="540"/>
      <c r="DQ30" s="540"/>
      <c r="DR30" s="540"/>
      <c r="DS30" s="540"/>
      <c r="DT30" s="540"/>
      <c r="DU30" s="540"/>
      <c r="DV30" s="540"/>
      <c r="DW30" s="540"/>
      <c r="DX30" s="540"/>
      <c r="DY30" s="540"/>
      <c r="DZ30" s="540"/>
      <c r="EA30" s="540"/>
      <c r="EB30" s="540"/>
      <c r="EC30" s="540"/>
      <c r="ED30" s="540"/>
      <c r="EE30" s="540"/>
      <c r="EF30" s="540"/>
      <c r="EG30" s="540"/>
      <c r="EH30" s="540"/>
      <c r="EI30" s="540"/>
      <c r="EJ30" s="540"/>
      <c r="EK30" s="540"/>
      <c r="EL30" s="540"/>
      <c r="EM30" s="540"/>
      <c r="EN30" s="540"/>
      <c r="EO30" s="540"/>
      <c r="EP30" s="540"/>
      <c r="EQ30" s="540"/>
      <c r="ER30" s="540"/>
      <c r="ES30" s="540"/>
      <c r="ET30" s="540">
        <f>SUM(ET18:ET29)</f>
        <v>14243706.659215998</v>
      </c>
      <c r="EU30" s="540"/>
      <c r="EV30" s="540"/>
      <c r="EW30" s="540"/>
      <c r="EX30" s="540"/>
      <c r="EY30" s="540"/>
      <c r="EZ30" s="540"/>
      <c r="FA30" s="540"/>
      <c r="FB30" s="540"/>
      <c r="FC30" s="540"/>
      <c r="FD30" s="540"/>
      <c r="FE30" s="540"/>
      <c r="FF30" s="540"/>
      <c r="FG30" s="540"/>
      <c r="FH30" s="540"/>
      <c r="FI30" s="540"/>
      <c r="FJ30" s="540"/>
      <c r="FK30" s="171"/>
      <c r="FN30" s="171"/>
    </row>
    <row r="31" spans="1:172" s="16" customFormat="1" ht="14.25" customHeight="1" x14ac:dyDescent="0.3">
      <c r="A31" s="541" t="s">
        <v>253</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3"/>
      <c r="FN31" s="171"/>
    </row>
    <row r="32" spans="1:172" s="16" customFormat="1" ht="32.4" customHeight="1" x14ac:dyDescent="0.3">
      <c r="A32" s="571" t="s">
        <v>67</v>
      </c>
      <c r="B32" s="571"/>
      <c r="C32" s="571"/>
      <c r="D32" s="571"/>
      <c r="E32" s="571"/>
      <c r="F32" s="571"/>
      <c r="G32" s="577" t="s">
        <v>495</v>
      </c>
      <c r="H32" s="577"/>
      <c r="I32" s="577"/>
      <c r="J32" s="577"/>
      <c r="K32" s="577"/>
      <c r="L32" s="577"/>
      <c r="M32" s="577"/>
      <c r="N32" s="577"/>
      <c r="O32" s="577"/>
      <c r="P32" s="577"/>
      <c r="Q32" s="577"/>
      <c r="R32" s="577"/>
      <c r="S32" s="577"/>
      <c r="T32" s="577"/>
      <c r="U32" s="577"/>
      <c r="V32" s="577"/>
      <c r="W32" s="577"/>
      <c r="X32" s="577"/>
      <c r="Y32" s="577"/>
      <c r="Z32" s="577"/>
      <c r="AA32" s="577"/>
      <c r="AB32" s="577"/>
      <c r="AC32" s="577"/>
      <c r="AD32" s="569">
        <v>1</v>
      </c>
      <c r="AE32" s="569"/>
      <c r="AF32" s="569"/>
      <c r="AG32" s="569"/>
      <c r="AH32" s="569"/>
      <c r="AI32" s="569"/>
      <c r="AJ32" s="569"/>
      <c r="AK32" s="569"/>
      <c r="AL32" s="569"/>
      <c r="AM32" s="569"/>
      <c r="AN32" s="569"/>
      <c r="AO32" s="569"/>
      <c r="AP32" s="569"/>
      <c r="AQ32" s="569"/>
      <c r="AR32" s="569"/>
      <c r="AS32" s="569"/>
      <c r="AT32" s="538">
        <f t="shared" ref="AT32:AT38" si="4">BK32+CC32+CV32</f>
        <v>33124.400000000001</v>
      </c>
      <c r="AU32" s="538"/>
      <c r="AV32" s="538"/>
      <c r="AW32" s="538"/>
      <c r="AX32" s="538"/>
      <c r="AY32" s="538"/>
      <c r="AZ32" s="538"/>
      <c r="BA32" s="538"/>
      <c r="BB32" s="538"/>
      <c r="BC32" s="538"/>
      <c r="BD32" s="538"/>
      <c r="BE32" s="538"/>
      <c r="BF32" s="538"/>
      <c r="BG32" s="538"/>
      <c r="BH32" s="538"/>
      <c r="BI32" s="538"/>
      <c r="BJ32" s="538"/>
      <c r="BK32" s="570">
        <v>10360</v>
      </c>
      <c r="BL32" s="570"/>
      <c r="BM32" s="570"/>
      <c r="BN32" s="570"/>
      <c r="BO32" s="570"/>
      <c r="BP32" s="570"/>
      <c r="BQ32" s="570"/>
      <c r="BR32" s="570"/>
      <c r="BS32" s="570"/>
      <c r="BT32" s="570"/>
      <c r="BU32" s="570"/>
      <c r="BV32" s="570"/>
      <c r="BW32" s="570"/>
      <c r="BX32" s="570"/>
      <c r="BY32" s="570"/>
      <c r="BZ32" s="570"/>
      <c r="CA32" s="570"/>
      <c r="CB32" s="570"/>
      <c r="CC32" s="538"/>
      <c r="CD32" s="538"/>
      <c r="CE32" s="538"/>
      <c r="CF32" s="538"/>
      <c r="CG32" s="538"/>
      <c r="CH32" s="538"/>
      <c r="CI32" s="538"/>
      <c r="CJ32" s="538"/>
      <c r="CK32" s="538"/>
      <c r="CL32" s="538"/>
      <c r="CM32" s="538"/>
      <c r="CN32" s="538"/>
      <c r="CO32" s="538"/>
      <c r="CP32" s="538"/>
      <c r="CQ32" s="538"/>
      <c r="CR32" s="538"/>
      <c r="CS32" s="538"/>
      <c r="CT32" s="538"/>
      <c r="CU32" s="538"/>
      <c r="CV32" s="538">
        <v>22764.400000000001</v>
      </c>
      <c r="CW32" s="538"/>
      <c r="CX32" s="538"/>
      <c r="CY32" s="538"/>
      <c r="CZ32" s="538"/>
      <c r="DA32" s="538"/>
      <c r="DB32" s="538"/>
      <c r="DC32" s="538"/>
      <c r="DD32" s="538"/>
      <c r="DE32" s="538"/>
      <c r="DF32" s="538"/>
      <c r="DG32" s="538"/>
      <c r="DH32" s="538"/>
      <c r="DI32" s="538"/>
      <c r="DJ32" s="538"/>
      <c r="DK32" s="538"/>
      <c r="DL32" s="538"/>
      <c r="DM32" s="538"/>
      <c r="DN32" s="538">
        <f t="shared" ref="DN32:DN38" si="5">AT32*80%</f>
        <v>26499.520000000004</v>
      </c>
      <c r="DO32" s="538"/>
      <c r="DP32" s="538"/>
      <c r="DQ32" s="538"/>
      <c r="DR32" s="538"/>
      <c r="DS32" s="538"/>
      <c r="DT32" s="538"/>
      <c r="DU32" s="538"/>
      <c r="DV32" s="538"/>
      <c r="DW32" s="538"/>
      <c r="DX32" s="538"/>
      <c r="DY32" s="538"/>
      <c r="DZ32" s="538"/>
      <c r="EA32" s="538"/>
      <c r="EB32" s="538"/>
      <c r="EC32" s="538"/>
      <c r="ED32" s="538">
        <f t="shared" ref="ED32:ED38" si="6">AT32*50%</f>
        <v>16562.2</v>
      </c>
      <c r="EE32" s="538"/>
      <c r="EF32" s="538"/>
      <c r="EG32" s="538"/>
      <c r="EH32" s="538"/>
      <c r="EI32" s="538"/>
      <c r="EJ32" s="538"/>
      <c r="EK32" s="538"/>
      <c r="EL32" s="538"/>
      <c r="EM32" s="538"/>
      <c r="EN32" s="538"/>
      <c r="EO32" s="538"/>
      <c r="EP32" s="538"/>
      <c r="EQ32" s="538"/>
      <c r="ER32" s="538"/>
      <c r="ES32" s="538"/>
      <c r="ET32" s="538">
        <f t="shared" ref="ET32:ET38" si="7">(AT32+DN32+ED32)*12*AD32</f>
        <v>914233.44000000018</v>
      </c>
      <c r="EU32" s="538"/>
      <c r="EV32" s="538"/>
      <c r="EW32" s="538"/>
      <c r="EX32" s="538"/>
      <c r="EY32" s="538"/>
      <c r="EZ32" s="538"/>
      <c r="FA32" s="538"/>
      <c r="FB32" s="538"/>
      <c r="FC32" s="538"/>
      <c r="FD32" s="538"/>
      <c r="FE32" s="538"/>
      <c r="FF32" s="538"/>
      <c r="FG32" s="538"/>
      <c r="FH32" s="538"/>
      <c r="FI32" s="538"/>
      <c r="FJ32" s="538"/>
      <c r="FK32" s="171"/>
      <c r="FN32" s="171"/>
    </row>
    <row r="33" spans="1:178" s="16" customFormat="1" ht="32.4" customHeight="1" x14ac:dyDescent="0.3">
      <c r="A33" s="571" t="s">
        <v>71</v>
      </c>
      <c r="B33" s="571"/>
      <c r="C33" s="571"/>
      <c r="D33" s="571"/>
      <c r="E33" s="571"/>
      <c r="F33" s="571"/>
      <c r="G33" s="577" t="s">
        <v>496</v>
      </c>
      <c r="H33" s="577"/>
      <c r="I33" s="577"/>
      <c r="J33" s="577"/>
      <c r="K33" s="577"/>
      <c r="L33" s="577"/>
      <c r="M33" s="577"/>
      <c r="N33" s="577"/>
      <c r="O33" s="577"/>
      <c r="P33" s="577"/>
      <c r="Q33" s="577"/>
      <c r="R33" s="577"/>
      <c r="S33" s="577"/>
      <c r="T33" s="577"/>
      <c r="U33" s="577"/>
      <c r="V33" s="577"/>
      <c r="W33" s="577"/>
      <c r="X33" s="577"/>
      <c r="Y33" s="577"/>
      <c r="Z33" s="577"/>
      <c r="AA33" s="577"/>
      <c r="AB33" s="577"/>
      <c r="AC33" s="577"/>
      <c r="AD33" s="569">
        <v>1</v>
      </c>
      <c r="AE33" s="569"/>
      <c r="AF33" s="569"/>
      <c r="AG33" s="569"/>
      <c r="AH33" s="569"/>
      <c r="AI33" s="569"/>
      <c r="AJ33" s="569"/>
      <c r="AK33" s="569"/>
      <c r="AL33" s="569"/>
      <c r="AM33" s="569"/>
      <c r="AN33" s="569"/>
      <c r="AO33" s="569"/>
      <c r="AP33" s="569"/>
      <c r="AQ33" s="569"/>
      <c r="AR33" s="569"/>
      <c r="AS33" s="569"/>
      <c r="AT33" s="538">
        <f t="shared" si="4"/>
        <v>19334</v>
      </c>
      <c r="AU33" s="538"/>
      <c r="AV33" s="538"/>
      <c r="AW33" s="538"/>
      <c r="AX33" s="538"/>
      <c r="AY33" s="538"/>
      <c r="AZ33" s="538"/>
      <c r="BA33" s="538"/>
      <c r="BB33" s="538"/>
      <c r="BC33" s="538"/>
      <c r="BD33" s="538"/>
      <c r="BE33" s="538"/>
      <c r="BF33" s="538"/>
      <c r="BG33" s="538"/>
      <c r="BH33" s="538"/>
      <c r="BI33" s="538"/>
      <c r="BJ33" s="538"/>
      <c r="BK33" s="570">
        <v>6034</v>
      </c>
      <c r="BL33" s="570"/>
      <c r="BM33" s="570"/>
      <c r="BN33" s="570"/>
      <c r="BO33" s="570"/>
      <c r="BP33" s="570"/>
      <c r="BQ33" s="570"/>
      <c r="BR33" s="570"/>
      <c r="BS33" s="570"/>
      <c r="BT33" s="570"/>
      <c r="BU33" s="570"/>
      <c r="BV33" s="570"/>
      <c r="BW33" s="570"/>
      <c r="BX33" s="570"/>
      <c r="BY33" s="570"/>
      <c r="BZ33" s="570"/>
      <c r="CA33" s="570"/>
      <c r="CB33" s="570"/>
      <c r="CC33" s="538"/>
      <c r="CD33" s="538"/>
      <c r="CE33" s="538"/>
      <c r="CF33" s="538"/>
      <c r="CG33" s="538"/>
      <c r="CH33" s="538"/>
      <c r="CI33" s="538"/>
      <c r="CJ33" s="538"/>
      <c r="CK33" s="538"/>
      <c r="CL33" s="538"/>
      <c r="CM33" s="538"/>
      <c r="CN33" s="538"/>
      <c r="CO33" s="538"/>
      <c r="CP33" s="538"/>
      <c r="CQ33" s="538"/>
      <c r="CR33" s="538"/>
      <c r="CS33" s="538"/>
      <c r="CT33" s="538"/>
      <c r="CU33" s="538"/>
      <c r="CV33" s="538">
        <v>13300</v>
      </c>
      <c r="CW33" s="538"/>
      <c r="CX33" s="538"/>
      <c r="CY33" s="538"/>
      <c r="CZ33" s="538"/>
      <c r="DA33" s="538"/>
      <c r="DB33" s="538"/>
      <c r="DC33" s="538"/>
      <c r="DD33" s="538"/>
      <c r="DE33" s="538"/>
      <c r="DF33" s="538"/>
      <c r="DG33" s="538"/>
      <c r="DH33" s="538"/>
      <c r="DI33" s="538"/>
      <c r="DJ33" s="538"/>
      <c r="DK33" s="538"/>
      <c r="DL33" s="538"/>
      <c r="DM33" s="538"/>
      <c r="DN33" s="538">
        <f t="shared" si="5"/>
        <v>15467.2</v>
      </c>
      <c r="DO33" s="538"/>
      <c r="DP33" s="538"/>
      <c r="DQ33" s="538"/>
      <c r="DR33" s="538"/>
      <c r="DS33" s="538"/>
      <c r="DT33" s="538"/>
      <c r="DU33" s="538"/>
      <c r="DV33" s="538"/>
      <c r="DW33" s="538"/>
      <c r="DX33" s="538"/>
      <c r="DY33" s="538"/>
      <c r="DZ33" s="538"/>
      <c r="EA33" s="538"/>
      <c r="EB33" s="538"/>
      <c r="EC33" s="538"/>
      <c r="ED33" s="538">
        <f t="shared" si="6"/>
        <v>9667</v>
      </c>
      <c r="EE33" s="538"/>
      <c r="EF33" s="538"/>
      <c r="EG33" s="538"/>
      <c r="EH33" s="538"/>
      <c r="EI33" s="538"/>
      <c r="EJ33" s="538"/>
      <c r="EK33" s="538"/>
      <c r="EL33" s="538"/>
      <c r="EM33" s="538"/>
      <c r="EN33" s="538"/>
      <c r="EO33" s="538"/>
      <c r="EP33" s="538"/>
      <c r="EQ33" s="538"/>
      <c r="ER33" s="538"/>
      <c r="ES33" s="538"/>
      <c r="ET33" s="573">
        <f t="shared" si="7"/>
        <v>533618.39999999991</v>
      </c>
      <c r="EU33" s="573"/>
      <c r="EV33" s="573"/>
      <c r="EW33" s="573"/>
      <c r="EX33" s="573"/>
      <c r="EY33" s="573"/>
      <c r="EZ33" s="573"/>
      <c r="FA33" s="573"/>
      <c r="FB33" s="573"/>
      <c r="FC33" s="573"/>
      <c r="FD33" s="573"/>
      <c r="FE33" s="573"/>
      <c r="FF33" s="573"/>
      <c r="FG33" s="573"/>
      <c r="FH33" s="573"/>
      <c r="FI33" s="573"/>
      <c r="FJ33" s="573"/>
      <c r="FK33" s="171"/>
      <c r="FN33" s="171"/>
      <c r="FO33" s="16" t="s">
        <v>996</v>
      </c>
    </row>
    <row r="34" spans="1:178" s="16" customFormat="1" ht="28.2" customHeight="1" x14ac:dyDescent="0.3">
      <c r="A34" s="571" t="s">
        <v>462</v>
      </c>
      <c r="B34" s="571"/>
      <c r="C34" s="571"/>
      <c r="D34" s="571"/>
      <c r="E34" s="571"/>
      <c r="F34" s="571"/>
      <c r="G34" s="577" t="s">
        <v>497</v>
      </c>
      <c r="H34" s="577"/>
      <c r="I34" s="577"/>
      <c r="J34" s="577"/>
      <c r="K34" s="577"/>
      <c r="L34" s="577"/>
      <c r="M34" s="577"/>
      <c r="N34" s="577"/>
      <c r="O34" s="577"/>
      <c r="P34" s="577"/>
      <c r="Q34" s="577"/>
      <c r="R34" s="577"/>
      <c r="S34" s="577"/>
      <c r="T34" s="577"/>
      <c r="U34" s="577"/>
      <c r="V34" s="577"/>
      <c r="W34" s="577"/>
      <c r="X34" s="577"/>
      <c r="Y34" s="577"/>
      <c r="Z34" s="577"/>
      <c r="AA34" s="577"/>
      <c r="AB34" s="577"/>
      <c r="AC34" s="577"/>
      <c r="AD34" s="569">
        <v>2</v>
      </c>
      <c r="AE34" s="569"/>
      <c r="AF34" s="569"/>
      <c r="AG34" s="569"/>
      <c r="AH34" s="569"/>
      <c r="AI34" s="569"/>
      <c r="AJ34" s="569"/>
      <c r="AK34" s="569"/>
      <c r="AL34" s="569"/>
      <c r="AM34" s="569"/>
      <c r="AN34" s="569"/>
      <c r="AO34" s="569"/>
      <c r="AP34" s="569"/>
      <c r="AQ34" s="569"/>
      <c r="AR34" s="569"/>
      <c r="AS34" s="569"/>
      <c r="AT34" s="538">
        <f t="shared" si="4"/>
        <v>20786</v>
      </c>
      <c r="AU34" s="538"/>
      <c r="AV34" s="538"/>
      <c r="AW34" s="538"/>
      <c r="AX34" s="538"/>
      <c r="AY34" s="538"/>
      <c r="AZ34" s="538"/>
      <c r="BA34" s="538"/>
      <c r="BB34" s="538"/>
      <c r="BC34" s="538"/>
      <c r="BD34" s="538"/>
      <c r="BE34" s="538"/>
      <c r="BF34" s="538"/>
      <c r="BG34" s="538"/>
      <c r="BH34" s="538"/>
      <c r="BI34" s="538"/>
      <c r="BJ34" s="538"/>
      <c r="BK34" s="570">
        <v>5806</v>
      </c>
      <c r="BL34" s="570"/>
      <c r="BM34" s="570"/>
      <c r="BN34" s="570"/>
      <c r="BO34" s="570"/>
      <c r="BP34" s="570"/>
      <c r="BQ34" s="570"/>
      <c r="BR34" s="570"/>
      <c r="BS34" s="570"/>
      <c r="BT34" s="570"/>
      <c r="BU34" s="570"/>
      <c r="BV34" s="570"/>
      <c r="BW34" s="570"/>
      <c r="BX34" s="570"/>
      <c r="BY34" s="570"/>
      <c r="BZ34" s="570"/>
      <c r="CA34" s="570"/>
      <c r="CB34" s="570"/>
      <c r="CC34" s="538">
        <v>180</v>
      </c>
      <c r="CD34" s="538"/>
      <c r="CE34" s="538"/>
      <c r="CF34" s="538"/>
      <c r="CG34" s="538"/>
      <c r="CH34" s="538"/>
      <c r="CI34" s="538"/>
      <c r="CJ34" s="538"/>
      <c r="CK34" s="538"/>
      <c r="CL34" s="538"/>
      <c r="CM34" s="538"/>
      <c r="CN34" s="538"/>
      <c r="CO34" s="538"/>
      <c r="CP34" s="538"/>
      <c r="CQ34" s="538"/>
      <c r="CR34" s="538"/>
      <c r="CS34" s="538"/>
      <c r="CT34" s="538"/>
      <c r="CU34" s="538"/>
      <c r="CV34" s="538">
        <v>14800</v>
      </c>
      <c r="CW34" s="538"/>
      <c r="CX34" s="538"/>
      <c r="CY34" s="538"/>
      <c r="CZ34" s="538"/>
      <c r="DA34" s="538"/>
      <c r="DB34" s="538"/>
      <c r="DC34" s="538"/>
      <c r="DD34" s="538"/>
      <c r="DE34" s="538"/>
      <c r="DF34" s="538"/>
      <c r="DG34" s="538"/>
      <c r="DH34" s="538"/>
      <c r="DI34" s="538"/>
      <c r="DJ34" s="538"/>
      <c r="DK34" s="538"/>
      <c r="DL34" s="538"/>
      <c r="DM34" s="538"/>
      <c r="DN34" s="538">
        <f t="shared" si="5"/>
        <v>16628.8</v>
      </c>
      <c r="DO34" s="538"/>
      <c r="DP34" s="538"/>
      <c r="DQ34" s="538"/>
      <c r="DR34" s="538"/>
      <c r="DS34" s="538"/>
      <c r="DT34" s="538"/>
      <c r="DU34" s="538"/>
      <c r="DV34" s="538"/>
      <c r="DW34" s="538"/>
      <c r="DX34" s="538"/>
      <c r="DY34" s="538"/>
      <c r="DZ34" s="538"/>
      <c r="EA34" s="538"/>
      <c r="EB34" s="538"/>
      <c r="EC34" s="538"/>
      <c r="ED34" s="538">
        <f t="shared" si="6"/>
        <v>10393</v>
      </c>
      <c r="EE34" s="538"/>
      <c r="EF34" s="538"/>
      <c r="EG34" s="538"/>
      <c r="EH34" s="538"/>
      <c r="EI34" s="538"/>
      <c r="EJ34" s="538"/>
      <c r="EK34" s="538"/>
      <c r="EL34" s="538"/>
      <c r="EM34" s="538"/>
      <c r="EN34" s="538"/>
      <c r="EO34" s="538"/>
      <c r="EP34" s="538"/>
      <c r="EQ34" s="538"/>
      <c r="ER34" s="538"/>
      <c r="ES34" s="538"/>
      <c r="ET34" s="538">
        <f t="shared" si="7"/>
        <v>1147387.2000000002</v>
      </c>
      <c r="EU34" s="538"/>
      <c r="EV34" s="538"/>
      <c r="EW34" s="538"/>
      <c r="EX34" s="538"/>
      <c r="EY34" s="538"/>
      <c r="EZ34" s="538"/>
      <c r="FA34" s="538"/>
      <c r="FB34" s="538"/>
      <c r="FC34" s="538"/>
      <c r="FD34" s="538"/>
      <c r="FE34" s="538"/>
      <c r="FF34" s="538"/>
      <c r="FG34" s="538"/>
      <c r="FH34" s="538"/>
      <c r="FI34" s="538"/>
      <c r="FJ34" s="538"/>
      <c r="FK34" s="171"/>
      <c r="FN34" s="171"/>
      <c r="FO34" s="16">
        <v>44256.6</v>
      </c>
    </row>
    <row r="35" spans="1:178" s="16" customFormat="1" ht="44.4" customHeight="1" x14ac:dyDescent="0.3">
      <c r="A35" s="571" t="s">
        <v>477</v>
      </c>
      <c r="B35" s="571"/>
      <c r="C35" s="571"/>
      <c r="D35" s="571"/>
      <c r="E35" s="571"/>
      <c r="F35" s="571"/>
      <c r="G35" s="577" t="s">
        <v>498</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69">
        <v>1</v>
      </c>
      <c r="AE35" s="569"/>
      <c r="AF35" s="569"/>
      <c r="AG35" s="569"/>
      <c r="AH35" s="569"/>
      <c r="AI35" s="569"/>
      <c r="AJ35" s="569"/>
      <c r="AK35" s="569"/>
      <c r="AL35" s="569"/>
      <c r="AM35" s="569"/>
      <c r="AN35" s="569"/>
      <c r="AO35" s="569"/>
      <c r="AP35" s="569"/>
      <c r="AQ35" s="569"/>
      <c r="AR35" s="569"/>
      <c r="AS35" s="569"/>
      <c r="AT35" s="538">
        <f t="shared" si="4"/>
        <v>20724</v>
      </c>
      <c r="AU35" s="538"/>
      <c r="AV35" s="538"/>
      <c r="AW35" s="538"/>
      <c r="AX35" s="538"/>
      <c r="AY35" s="538"/>
      <c r="AZ35" s="538"/>
      <c r="BA35" s="538"/>
      <c r="BB35" s="538"/>
      <c r="BC35" s="538"/>
      <c r="BD35" s="538"/>
      <c r="BE35" s="538"/>
      <c r="BF35" s="538"/>
      <c r="BG35" s="538"/>
      <c r="BH35" s="538"/>
      <c r="BI35" s="538"/>
      <c r="BJ35" s="538"/>
      <c r="BK35" s="570">
        <v>4974</v>
      </c>
      <c r="BL35" s="570"/>
      <c r="BM35" s="570"/>
      <c r="BN35" s="570"/>
      <c r="BO35" s="570"/>
      <c r="BP35" s="570"/>
      <c r="BQ35" s="570"/>
      <c r="BR35" s="570"/>
      <c r="BS35" s="570"/>
      <c r="BT35" s="570"/>
      <c r="BU35" s="570"/>
      <c r="BV35" s="570"/>
      <c r="BW35" s="570"/>
      <c r="BX35" s="570"/>
      <c r="BY35" s="570"/>
      <c r="BZ35" s="570"/>
      <c r="CA35" s="570"/>
      <c r="CB35" s="570"/>
      <c r="CC35" s="538">
        <v>250</v>
      </c>
      <c r="CD35" s="538"/>
      <c r="CE35" s="538"/>
      <c r="CF35" s="538"/>
      <c r="CG35" s="538"/>
      <c r="CH35" s="538"/>
      <c r="CI35" s="538"/>
      <c r="CJ35" s="538"/>
      <c r="CK35" s="538"/>
      <c r="CL35" s="538"/>
      <c r="CM35" s="538"/>
      <c r="CN35" s="538"/>
      <c r="CO35" s="538"/>
      <c r="CP35" s="538"/>
      <c r="CQ35" s="538"/>
      <c r="CR35" s="538"/>
      <c r="CS35" s="538"/>
      <c r="CT35" s="538"/>
      <c r="CU35" s="538"/>
      <c r="CV35" s="538">
        <v>15500</v>
      </c>
      <c r="CW35" s="538"/>
      <c r="CX35" s="538"/>
      <c r="CY35" s="538"/>
      <c r="CZ35" s="538"/>
      <c r="DA35" s="538"/>
      <c r="DB35" s="538"/>
      <c r="DC35" s="538"/>
      <c r="DD35" s="538"/>
      <c r="DE35" s="538"/>
      <c r="DF35" s="538"/>
      <c r="DG35" s="538"/>
      <c r="DH35" s="538"/>
      <c r="DI35" s="538"/>
      <c r="DJ35" s="538"/>
      <c r="DK35" s="538"/>
      <c r="DL35" s="538"/>
      <c r="DM35" s="538"/>
      <c r="DN35" s="538">
        <f t="shared" si="5"/>
        <v>16579.2</v>
      </c>
      <c r="DO35" s="538"/>
      <c r="DP35" s="538"/>
      <c r="DQ35" s="538"/>
      <c r="DR35" s="538"/>
      <c r="DS35" s="538"/>
      <c r="DT35" s="538"/>
      <c r="DU35" s="538"/>
      <c r="DV35" s="538"/>
      <c r="DW35" s="538"/>
      <c r="DX35" s="538"/>
      <c r="DY35" s="538"/>
      <c r="DZ35" s="538"/>
      <c r="EA35" s="538"/>
      <c r="EB35" s="538"/>
      <c r="EC35" s="538"/>
      <c r="ED35" s="538">
        <f t="shared" si="6"/>
        <v>10362</v>
      </c>
      <c r="EE35" s="538"/>
      <c r="EF35" s="538"/>
      <c r="EG35" s="538"/>
      <c r="EH35" s="538"/>
      <c r="EI35" s="538"/>
      <c r="EJ35" s="538"/>
      <c r="EK35" s="538"/>
      <c r="EL35" s="538"/>
      <c r="EM35" s="538"/>
      <c r="EN35" s="538"/>
      <c r="EO35" s="538"/>
      <c r="EP35" s="538"/>
      <c r="EQ35" s="538"/>
      <c r="ER35" s="538"/>
      <c r="ES35" s="538"/>
      <c r="ET35" s="538">
        <f t="shared" si="7"/>
        <v>571982.39999999991</v>
      </c>
      <c r="EU35" s="538"/>
      <c r="EV35" s="538"/>
      <c r="EW35" s="538"/>
      <c r="EX35" s="538"/>
      <c r="EY35" s="538"/>
      <c r="EZ35" s="538"/>
      <c r="FA35" s="538"/>
      <c r="FB35" s="538"/>
      <c r="FC35" s="538"/>
      <c r="FD35" s="538"/>
      <c r="FE35" s="538"/>
      <c r="FF35" s="538"/>
      <c r="FG35" s="538"/>
      <c r="FH35" s="538"/>
      <c r="FI35" s="538"/>
      <c r="FJ35" s="538"/>
      <c r="FK35" s="171"/>
      <c r="FN35" s="171"/>
    </row>
    <row r="36" spans="1:178" s="16" customFormat="1" ht="42" customHeight="1" x14ac:dyDescent="0.3">
      <c r="A36" s="571" t="s">
        <v>479</v>
      </c>
      <c r="B36" s="571"/>
      <c r="C36" s="571"/>
      <c r="D36" s="571"/>
      <c r="E36" s="571"/>
      <c r="F36" s="571"/>
      <c r="G36" s="577" t="s">
        <v>499</v>
      </c>
      <c r="H36" s="577"/>
      <c r="I36" s="577"/>
      <c r="J36" s="577"/>
      <c r="K36" s="577"/>
      <c r="L36" s="577"/>
      <c r="M36" s="577"/>
      <c r="N36" s="577"/>
      <c r="O36" s="577"/>
      <c r="P36" s="577"/>
      <c r="Q36" s="577"/>
      <c r="R36" s="577"/>
      <c r="S36" s="577"/>
      <c r="T36" s="577"/>
      <c r="U36" s="577"/>
      <c r="V36" s="577"/>
      <c r="W36" s="577"/>
      <c r="X36" s="577"/>
      <c r="Y36" s="577"/>
      <c r="Z36" s="577"/>
      <c r="AA36" s="577"/>
      <c r="AB36" s="577"/>
      <c r="AC36" s="577"/>
      <c r="AD36" s="569">
        <v>1</v>
      </c>
      <c r="AE36" s="569"/>
      <c r="AF36" s="569"/>
      <c r="AG36" s="569"/>
      <c r="AH36" s="569"/>
      <c r="AI36" s="569"/>
      <c r="AJ36" s="569"/>
      <c r="AK36" s="569"/>
      <c r="AL36" s="569"/>
      <c r="AM36" s="569"/>
      <c r="AN36" s="569"/>
      <c r="AO36" s="569"/>
      <c r="AP36" s="569"/>
      <c r="AQ36" s="569"/>
      <c r="AR36" s="569"/>
      <c r="AS36" s="569"/>
      <c r="AT36" s="538">
        <f t="shared" si="4"/>
        <v>19774</v>
      </c>
      <c r="AU36" s="538"/>
      <c r="AV36" s="538"/>
      <c r="AW36" s="538"/>
      <c r="AX36" s="538"/>
      <c r="AY36" s="538"/>
      <c r="AZ36" s="538"/>
      <c r="BA36" s="538"/>
      <c r="BB36" s="538"/>
      <c r="BC36" s="538"/>
      <c r="BD36" s="538"/>
      <c r="BE36" s="538"/>
      <c r="BF36" s="538"/>
      <c r="BG36" s="538"/>
      <c r="BH36" s="538"/>
      <c r="BI36" s="538"/>
      <c r="BJ36" s="538"/>
      <c r="BK36" s="570">
        <v>4974</v>
      </c>
      <c r="BL36" s="570"/>
      <c r="BM36" s="570"/>
      <c r="BN36" s="570"/>
      <c r="BO36" s="570"/>
      <c r="BP36" s="570"/>
      <c r="BQ36" s="570"/>
      <c r="BR36" s="570"/>
      <c r="BS36" s="570"/>
      <c r="BT36" s="570"/>
      <c r="BU36" s="570"/>
      <c r="BV36" s="570"/>
      <c r="BW36" s="570"/>
      <c r="BX36" s="570"/>
      <c r="BY36" s="570"/>
      <c r="BZ36" s="570"/>
      <c r="CA36" s="570"/>
      <c r="CB36" s="570"/>
      <c r="CC36" s="538"/>
      <c r="CD36" s="538"/>
      <c r="CE36" s="538"/>
      <c r="CF36" s="538"/>
      <c r="CG36" s="538"/>
      <c r="CH36" s="538"/>
      <c r="CI36" s="538"/>
      <c r="CJ36" s="538"/>
      <c r="CK36" s="538"/>
      <c r="CL36" s="538"/>
      <c r="CM36" s="538"/>
      <c r="CN36" s="538"/>
      <c r="CO36" s="538"/>
      <c r="CP36" s="538"/>
      <c r="CQ36" s="538"/>
      <c r="CR36" s="538"/>
      <c r="CS36" s="538"/>
      <c r="CT36" s="538"/>
      <c r="CU36" s="538"/>
      <c r="CV36" s="538">
        <v>14800</v>
      </c>
      <c r="CW36" s="538"/>
      <c r="CX36" s="538"/>
      <c r="CY36" s="538"/>
      <c r="CZ36" s="538"/>
      <c r="DA36" s="538"/>
      <c r="DB36" s="538"/>
      <c r="DC36" s="538"/>
      <c r="DD36" s="538"/>
      <c r="DE36" s="538"/>
      <c r="DF36" s="538"/>
      <c r="DG36" s="538"/>
      <c r="DH36" s="538"/>
      <c r="DI36" s="538"/>
      <c r="DJ36" s="538"/>
      <c r="DK36" s="538"/>
      <c r="DL36" s="538"/>
      <c r="DM36" s="538"/>
      <c r="DN36" s="538">
        <f t="shared" si="5"/>
        <v>15819.2</v>
      </c>
      <c r="DO36" s="538"/>
      <c r="DP36" s="538"/>
      <c r="DQ36" s="538"/>
      <c r="DR36" s="538"/>
      <c r="DS36" s="538"/>
      <c r="DT36" s="538"/>
      <c r="DU36" s="538"/>
      <c r="DV36" s="538"/>
      <c r="DW36" s="538"/>
      <c r="DX36" s="538"/>
      <c r="DY36" s="538"/>
      <c r="DZ36" s="538"/>
      <c r="EA36" s="538"/>
      <c r="EB36" s="538"/>
      <c r="EC36" s="538"/>
      <c r="ED36" s="538">
        <f t="shared" si="6"/>
        <v>9887</v>
      </c>
      <c r="EE36" s="538"/>
      <c r="EF36" s="538"/>
      <c r="EG36" s="538"/>
      <c r="EH36" s="538"/>
      <c r="EI36" s="538"/>
      <c r="EJ36" s="538"/>
      <c r="EK36" s="538"/>
      <c r="EL36" s="538"/>
      <c r="EM36" s="538"/>
      <c r="EN36" s="538"/>
      <c r="EO36" s="538"/>
      <c r="EP36" s="538"/>
      <c r="EQ36" s="538"/>
      <c r="ER36" s="538"/>
      <c r="ES36" s="538"/>
      <c r="ET36" s="538">
        <f t="shared" si="7"/>
        <v>545762.39999999991</v>
      </c>
      <c r="EU36" s="538"/>
      <c r="EV36" s="538"/>
      <c r="EW36" s="538"/>
      <c r="EX36" s="538"/>
      <c r="EY36" s="538"/>
      <c r="EZ36" s="538"/>
      <c r="FA36" s="538"/>
      <c r="FB36" s="538"/>
      <c r="FC36" s="538"/>
      <c r="FD36" s="538"/>
      <c r="FE36" s="538"/>
      <c r="FF36" s="538"/>
      <c r="FG36" s="538"/>
      <c r="FH36" s="538"/>
      <c r="FI36" s="538"/>
      <c r="FJ36" s="538"/>
      <c r="FK36" s="171"/>
      <c r="FN36" s="171"/>
    </row>
    <row r="37" spans="1:178" s="16" customFormat="1" ht="18" customHeight="1" x14ac:dyDescent="0.3">
      <c r="A37" s="571" t="s">
        <v>481</v>
      </c>
      <c r="B37" s="571"/>
      <c r="C37" s="571"/>
      <c r="D37" s="571"/>
      <c r="E37" s="571"/>
      <c r="F37" s="571"/>
      <c r="G37" s="577" t="s">
        <v>500</v>
      </c>
      <c r="H37" s="577"/>
      <c r="I37" s="577"/>
      <c r="J37" s="577"/>
      <c r="K37" s="577"/>
      <c r="L37" s="577"/>
      <c r="M37" s="577"/>
      <c r="N37" s="577"/>
      <c r="O37" s="577"/>
      <c r="P37" s="577"/>
      <c r="Q37" s="577"/>
      <c r="R37" s="577"/>
      <c r="S37" s="577"/>
      <c r="T37" s="577"/>
      <c r="U37" s="577"/>
      <c r="V37" s="577"/>
      <c r="W37" s="577"/>
      <c r="X37" s="577"/>
      <c r="Y37" s="577"/>
      <c r="Z37" s="577"/>
      <c r="AA37" s="577"/>
      <c r="AB37" s="577"/>
      <c r="AC37" s="577"/>
      <c r="AD37" s="569">
        <v>6.25</v>
      </c>
      <c r="AE37" s="569"/>
      <c r="AF37" s="569"/>
      <c r="AG37" s="569"/>
      <c r="AH37" s="569"/>
      <c r="AI37" s="569"/>
      <c r="AJ37" s="569"/>
      <c r="AK37" s="569"/>
      <c r="AL37" s="569"/>
      <c r="AM37" s="569"/>
      <c r="AN37" s="569"/>
      <c r="AO37" s="569"/>
      <c r="AP37" s="569"/>
      <c r="AQ37" s="569"/>
      <c r="AR37" s="569"/>
      <c r="AS37" s="569"/>
      <c r="AT37" s="538">
        <f t="shared" si="4"/>
        <v>19771</v>
      </c>
      <c r="AU37" s="538"/>
      <c r="AV37" s="538"/>
      <c r="AW37" s="538"/>
      <c r="AX37" s="538"/>
      <c r="AY37" s="538"/>
      <c r="AZ37" s="538"/>
      <c r="BA37" s="538"/>
      <c r="BB37" s="538"/>
      <c r="BC37" s="538"/>
      <c r="BD37" s="538"/>
      <c r="BE37" s="538"/>
      <c r="BF37" s="538"/>
      <c r="BG37" s="538"/>
      <c r="BH37" s="538"/>
      <c r="BI37" s="538"/>
      <c r="BJ37" s="538"/>
      <c r="BK37" s="570">
        <v>5271</v>
      </c>
      <c r="BL37" s="570"/>
      <c r="BM37" s="570"/>
      <c r="BN37" s="570"/>
      <c r="BO37" s="570"/>
      <c r="BP37" s="570"/>
      <c r="BQ37" s="570"/>
      <c r="BR37" s="570"/>
      <c r="BS37" s="570"/>
      <c r="BT37" s="570"/>
      <c r="BU37" s="570"/>
      <c r="BV37" s="570"/>
      <c r="BW37" s="570"/>
      <c r="BX37" s="570"/>
      <c r="BY37" s="570"/>
      <c r="BZ37" s="570"/>
      <c r="CA37" s="570"/>
      <c r="CB37" s="570"/>
      <c r="CC37" s="538">
        <v>1000</v>
      </c>
      <c r="CD37" s="538"/>
      <c r="CE37" s="538"/>
      <c r="CF37" s="538"/>
      <c r="CG37" s="538"/>
      <c r="CH37" s="538"/>
      <c r="CI37" s="538"/>
      <c r="CJ37" s="538"/>
      <c r="CK37" s="538"/>
      <c r="CL37" s="538"/>
      <c r="CM37" s="538"/>
      <c r="CN37" s="538"/>
      <c r="CO37" s="538"/>
      <c r="CP37" s="538"/>
      <c r="CQ37" s="538"/>
      <c r="CR37" s="538"/>
      <c r="CS37" s="538"/>
      <c r="CT37" s="538"/>
      <c r="CU37" s="538"/>
      <c r="CV37" s="538">
        <v>13500</v>
      </c>
      <c r="CW37" s="538"/>
      <c r="CX37" s="538"/>
      <c r="CY37" s="538"/>
      <c r="CZ37" s="538"/>
      <c r="DA37" s="538"/>
      <c r="DB37" s="538"/>
      <c r="DC37" s="538"/>
      <c r="DD37" s="538"/>
      <c r="DE37" s="538"/>
      <c r="DF37" s="538"/>
      <c r="DG37" s="538"/>
      <c r="DH37" s="538"/>
      <c r="DI37" s="538"/>
      <c r="DJ37" s="538"/>
      <c r="DK37" s="538"/>
      <c r="DL37" s="538"/>
      <c r="DM37" s="538"/>
      <c r="DN37" s="538">
        <f t="shared" si="5"/>
        <v>15816.800000000001</v>
      </c>
      <c r="DO37" s="538"/>
      <c r="DP37" s="538"/>
      <c r="DQ37" s="538"/>
      <c r="DR37" s="538"/>
      <c r="DS37" s="538"/>
      <c r="DT37" s="538"/>
      <c r="DU37" s="538"/>
      <c r="DV37" s="538"/>
      <c r="DW37" s="538"/>
      <c r="DX37" s="538"/>
      <c r="DY37" s="538"/>
      <c r="DZ37" s="538"/>
      <c r="EA37" s="538"/>
      <c r="EB37" s="538"/>
      <c r="EC37" s="538"/>
      <c r="ED37" s="538">
        <f t="shared" si="6"/>
        <v>9885.5</v>
      </c>
      <c r="EE37" s="538"/>
      <c r="EF37" s="538"/>
      <c r="EG37" s="538"/>
      <c r="EH37" s="538"/>
      <c r="EI37" s="538"/>
      <c r="EJ37" s="538"/>
      <c r="EK37" s="538"/>
      <c r="EL37" s="538"/>
      <c r="EM37" s="538"/>
      <c r="EN37" s="538"/>
      <c r="EO37" s="538"/>
      <c r="EP37" s="538"/>
      <c r="EQ37" s="538"/>
      <c r="ER37" s="538"/>
      <c r="ES37" s="538"/>
      <c r="ET37" s="538">
        <f t="shared" si="7"/>
        <v>3410497.5000000005</v>
      </c>
      <c r="EU37" s="538"/>
      <c r="EV37" s="538"/>
      <c r="EW37" s="538"/>
      <c r="EX37" s="538"/>
      <c r="EY37" s="538"/>
      <c r="EZ37" s="538"/>
      <c r="FA37" s="538"/>
      <c r="FB37" s="538"/>
      <c r="FC37" s="538"/>
      <c r="FD37" s="538"/>
      <c r="FE37" s="538"/>
      <c r="FF37" s="538"/>
      <c r="FG37" s="538"/>
      <c r="FH37" s="538"/>
      <c r="FI37" s="538"/>
      <c r="FJ37" s="538"/>
      <c r="FK37" s="171"/>
      <c r="FN37" s="171"/>
    </row>
    <row r="38" spans="1:178" s="16" customFormat="1" ht="31.5" customHeight="1" x14ac:dyDescent="0.3">
      <c r="A38" s="571" t="s">
        <v>483</v>
      </c>
      <c r="B38" s="571"/>
      <c r="C38" s="571"/>
      <c r="D38" s="571"/>
      <c r="E38" s="571"/>
      <c r="F38" s="571"/>
      <c r="G38" s="577" t="s">
        <v>997</v>
      </c>
      <c r="H38" s="577"/>
      <c r="I38" s="577"/>
      <c r="J38" s="577"/>
      <c r="K38" s="577"/>
      <c r="L38" s="577"/>
      <c r="M38" s="577"/>
      <c r="N38" s="577"/>
      <c r="O38" s="577"/>
      <c r="P38" s="577"/>
      <c r="Q38" s="577"/>
      <c r="R38" s="577"/>
      <c r="S38" s="577"/>
      <c r="T38" s="577"/>
      <c r="U38" s="577"/>
      <c r="V38" s="577"/>
      <c r="W38" s="577"/>
      <c r="X38" s="577"/>
      <c r="Y38" s="577"/>
      <c r="Z38" s="577"/>
      <c r="AA38" s="577"/>
      <c r="AB38" s="577"/>
      <c r="AC38" s="577"/>
      <c r="AD38" s="569">
        <v>0.1</v>
      </c>
      <c r="AE38" s="569"/>
      <c r="AF38" s="569"/>
      <c r="AG38" s="569"/>
      <c r="AH38" s="569"/>
      <c r="AI38" s="569"/>
      <c r="AJ38" s="569"/>
      <c r="AK38" s="569"/>
      <c r="AL38" s="569"/>
      <c r="AM38" s="569"/>
      <c r="AN38" s="569"/>
      <c r="AO38" s="569"/>
      <c r="AP38" s="569"/>
      <c r="AQ38" s="569"/>
      <c r="AR38" s="569"/>
      <c r="AS38" s="569"/>
      <c r="AT38" s="538">
        <f t="shared" si="4"/>
        <v>19356</v>
      </c>
      <c r="AU38" s="538"/>
      <c r="AV38" s="538"/>
      <c r="AW38" s="538"/>
      <c r="AX38" s="538"/>
      <c r="AY38" s="538"/>
      <c r="AZ38" s="538"/>
      <c r="BA38" s="538"/>
      <c r="BB38" s="538"/>
      <c r="BC38" s="538"/>
      <c r="BD38" s="538"/>
      <c r="BE38" s="538"/>
      <c r="BF38" s="538"/>
      <c r="BG38" s="538"/>
      <c r="BH38" s="538"/>
      <c r="BI38" s="538"/>
      <c r="BJ38" s="538"/>
      <c r="BK38" s="570">
        <v>4856</v>
      </c>
      <c r="BL38" s="570"/>
      <c r="BM38" s="570"/>
      <c r="BN38" s="570"/>
      <c r="BO38" s="570"/>
      <c r="BP38" s="570"/>
      <c r="BQ38" s="570"/>
      <c r="BR38" s="570"/>
      <c r="BS38" s="570"/>
      <c r="BT38" s="570"/>
      <c r="BU38" s="570"/>
      <c r="BV38" s="570"/>
      <c r="BW38" s="570"/>
      <c r="BX38" s="570"/>
      <c r="BY38" s="570"/>
      <c r="BZ38" s="570"/>
      <c r="CA38" s="570"/>
      <c r="CB38" s="570"/>
      <c r="CC38" s="538"/>
      <c r="CD38" s="538"/>
      <c r="CE38" s="538"/>
      <c r="CF38" s="538"/>
      <c r="CG38" s="538"/>
      <c r="CH38" s="538"/>
      <c r="CI38" s="538"/>
      <c r="CJ38" s="538"/>
      <c r="CK38" s="538"/>
      <c r="CL38" s="538"/>
      <c r="CM38" s="538"/>
      <c r="CN38" s="538"/>
      <c r="CO38" s="538"/>
      <c r="CP38" s="538"/>
      <c r="CQ38" s="538"/>
      <c r="CR38" s="538"/>
      <c r="CS38" s="538"/>
      <c r="CT38" s="538"/>
      <c r="CU38" s="538"/>
      <c r="CV38" s="538">
        <v>14500</v>
      </c>
      <c r="CW38" s="538"/>
      <c r="CX38" s="538"/>
      <c r="CY38" s="538"/>
      <c r="CZ38" s="538"/>
      <c r="DA38" s="538"/>
      <c r="DB38" s="538"/>
      <c r="DC38" s="538"/>
      <c r="DD38" s="538"/>
      <c r="DE38" s="538"/>
      <c r="DF38" s="538"/>
      <c r="DG38" s="538"/>
      <c r="DH38" s="538"/>
      <c r="DI38" s="538"/>
      <c r="DJ38" s="538"/>
      <c r="DK38" s="538"/>
      <c r="DL38" s="538"/>
      <c r="DM38" s="538"/>
      <c r="DN38" s="538">
        <f t="shared" si="5"/>
        <v>15484.800000000001</v>
      </c>
      <c r="DO38" s="538"/>
      <c r="DP38" s="538"/>
      <c r="DQ38" s="538"/>
      <c r="DR38" s="538"/>
      <c r="DS38" s="538"/>
      <c r="DT38" s="538"/>
      <c r="DU38" s="538"/>
      <c r="DV38" s="538"/>
      <c r="DW38" s="538"/>
      <c r="DX38" s="538"/>
      <c r="DY38" s="538"/>
      <c r="DZ38" s="538"/>
      <c r="EA38" s="538"/>
      <c r="EB38" s="538"/>
      <c r="EC38" s="538"/>
      <c r="ED38" s="538">
        <f t="shared" si="6"/>
        <v>9678</v>
      </c>
      <c r="EE38" s="538"/>
      <c r="EF38" s="538"/>
      <c r="EG38" s="538"/>
      <c r="EH38" s="538"/>
      <c r="EI38" s="538"/>
      <c r="EJ38" s="538"/>
      <c r="EK38" s="538"/>
      <c r="EL38" s="538"/>
      <c r="EM38" s="538"/>
      <c r="EN38" s="538"/>
      <c r="EO38" s="538"/>
      <c r="EP38" s="538"/>
      <c r="EQ38" s="538"/>
      <c r="ER38" s="538"/>
      <c r="ES38" s="538"/>
      <c r="ET38" s="538">
        <f t="shared" si="7"/>
        <v>53422.560000000012</v>
      </c>
      <c r="EU38" s="538"/>
      <c r="EV38" s="538"/>
      <c r="EW38" s="538"/>
      <c r="EX38" s="538"/>
      <c r="EY38" s="538"/>
      <c r="EZ38" s="538"/>
      <c r="FA38" s="538"/>
      <c r="FB38" s="538"/>
      <c r="FC38" s="538"/>
      <c r="FD38" s="538"/>
      <c r="FE38" s="538"/>
      <c r="FF38" s="538"/>
      <c r="FG38" s="538"/>
      <c r="FH38" s="538"/>
      <c r="FI38" s="538"/>
      <c r="FJ38" s="538"/>
      <c r="FK38" s="171"/>
      <c r="FN38" s="171"/>
    </row>
    <row r="39" spans="1:178" s="16" customFormat="1" ht="27.75" customHeight="1" x14ac:dyDescent="0.3">
      <c r="A39" s="578" t="s">
        <v>254</v>
      </c>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80"/>
      <c r="AD39" s="539">
        <f>SUM(AD32:AD38)</f>
        <v>12.35</v>
      </c>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40">
        <f>SUM(ET32:ET38)</f>
        <v>7176903.8999999994</v>
      </c>
      <c r="EU39" s="539"/>
      <c r="EV39" s="539"/>
      <c r="EW39" s="539"/>
      <c r="EX39" s="539"/>
      <c r="EY39" s="539"/>
      <c r="EZ39" s="539"/>
      <c r="FA39" s="539"/>
      <c r="FB39" s="539"/>
      <c r="FC39" s="539"/>
      <c r="FD39" s="539"/>
      <c r="FE39" s="539"/>
      <c r="FF39" s="539"/>
      <c r="FG39" s="539"/>
      <c r="FH39" s="539"/>
      <c r="FI39" s="539"/>
      <c r="FJ39" s="539"/>
      <c r="FK39" s="171"/>
      <c r="FN39" s="171"/>
      <c r="FV39" s="60"/>
    </row>
    <row r="40" spans="1:178" s="16" customFormat="1" ht="14.25" customHeight="1" x14ac:dyDescent="0.3">
      <c r="A40" s="475" t="s">
        <v>256</v>
      </c>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7"/>
      <c r="FN40" s="171"/>
      <c r="FV40" s="60"/>
    </row>
    <row r="41" spans="1:178" s="16" customFormat="1" ht="32.4" customHeight="1" x14ac:dyDescent="0.3">
      <c r="A41" s="571" t="s">
        <v>67</v>
      </c>
      <c r="B41" s="571"/>
      <c r="C41" s="571"/>
      <c r="D41" s="571"/>
      <c r="E41" s="571"/>
      <c r="F41" s="571"/>
      <c r="G41" s="574" t="s">
        <v>501</v>
      </c>
      <c r="H41" s="575"/>
      <c r="I41" s="575"/>
      <c r="J41" s="575"/>
      <c r="K41" s="575"/>
      <c r="L41" s="575"/>
      <c r="M41" s="575"/>
      <c r="N41" s="575"/>
      <c r="O41" s="575"/>
      <c r="P41" s="575"/>
      <c r="Q41" s="575"/>
      <c r="R41" s="575"/>
      <c r="S41" s="575"/>
      <c r="T41" s="575"/>
      <c r="U41" s="575"/>
      <c r="V41" s="575"/>
      <c r="W41" s="575"/>
      <c r="X41" s="575"/>
      <c r="Y41" s="575"/>
      <c r="Z41" s="575"/>
      <c r="AA41" s="575"/>
      <c r="AB41" s="575"/>
      <c r="AC41" s="576"/>
      <c r="AD41" s="569">
        <v>3.5</v>
      </c>
      <c r="AE41" s="569"/>
      <c r="AF41" s="569"/>
      <c r="AG41" s="569"/>
      <c r="AH41" s="569"/>
      <c r="AI41" s="569"/>
      <c r="AJ41" s="569"/>
      <c r="AK41" s="569"/>
      <c r="AL41" s="569"/>
      <c r="AM41" s="569"/>
      <c r="AN41" s="569"/>
      <c r="AO41" s="569"/>
      <c r="AP41" s="569"/>
      <c r="AQ41" s="569"/>
      <c r="AR41" s="569"/>
      <c r="AS41" s="569"/>
      <c r="AT41" s="538">
        <f t="shared" ref="AT41:AT60" si="8">BK41+CC41+CV41</f>
        <v>38741</v>
      </c>
      <c r="AU41" s="538"/>
      <c r="AV41" s="538"/>
      <c r="AW41" s="538"/>
      <c r="AX41" s="538"/>
      <c r="AY41" s="538"/>
      <c r="AZ41" s="538"/>
      <c r="BA41" s="538"/>
      <c r="BB41" s="538"/>
      <c r="BC41" s="538"/>
      <c r="BD41" s="538"/>
      <c r="BE41" s="538"/>
      <c r="BF41" s="538"/>
      <c r="BG41" s="538"/>
      <c r="BH41" s="538"/>
      <c r="BI41" s="538"/>
      <c r="BJ41" s="538"/>
      <c r="BK41" s="570">
        <v>10741</v>
      </c>
      <c r="BL41" s="570"/>
      <c r="BM41" s="570"/>
      <c r="BN41" s="570"/>
      <c r="BO41" s="570"/>
      <c r="BP41" s="570"/>
      <c r="BQ41" s="570"/>
      <c r="BR41" s="570"/>
      <c r="BS41" s="570"/>
      <c r="BT41" s="570"/>
      <c r="BU41" s="570"/>
      <c r="BV41" s="570"/>
      <c r="BW41" s="570"/>
      <c r="BX41" s="570"/>
      <c r="BY41" s="570"/>
      <c r="BZ41" s="570"/>
      <c r="CA41" s="570"/>
      <c r="CB41" s="570"/>
      <c r="CC41" s="538"/>
      <c r="CD41" s="538"/>
      <c r="CE41" s="538"/>
      <c r="CF41" s="538"/>
      <c r="CG41" s="538"/>
      <c r="CH41" s="538"/>
      <c r="CI41" s="538"/>
      <c r="CJ41" s="538"/>
      <c r="CK41" s="538"/>
      <c r="CL41" s="538"/>
      <c r="CM41" s="538"/>
      <c r="CN41" s="538"/>
      <c r="CO41" s="538"/>
      <c r="CP41" s="538"/>
      <c r="CQ41" s="538"/>
      <c r="CR41" s="538"/>
      <c r="CS41" s="538"/>
      <c r="CT41" s="538"/>
      <c r="CU41" s="538"/>
      <c r="CV41" s="538">
        <v>28000</v>
      </c>
      <c r="CW41" s="538"/>
      <c r="CX41" s="538"/>
      <c r="CY41" s="538"/>
      <c r="CZ41" s="538"/>
      <c r="DA41" s="538"/>
      <c r="DB41" s="538"/>
      <c r="DC41" s="538"/>
      <c r="DD41" s="538"/>
      <c r="DE41" s="538"/>
      <c r="DF41" s="538"/>
      <c r="DG41" s="538"/>
      <c r="DH41" s="538"/>
      <c r="DI41" s="538"/>
      <c r="DJ41" s="538"/>
      <c r="DK41" s="538"/>
      <c r="DL41" s="538"/>
      <c r="DM41" s="538"/>
      <c r="DN41" s="538">
        <f t="shared" ref="DN41:DN60" si="9">AT41*80%</f>
        <v>30992.800000000003</v>
      </c>
      <c r="DO41" s="538"/>
      <c r="DP41" s="538"/>
      <c r="DQ41" s="538"/>
      <c r="DR41" s="538"/>
      <c r="DS41" s="538"/>
      <c r="DT41" s="538"/>
      <c r="DU41" s="538"/>
      <c r="DV41" s="538"/>
      <c r="DW41" s="538"/>
      <c r="DX41" s="538"/>
      <c r="DY41" s="538"/>
      <c r="DZ41" s="538"/>
      <c r="EA41" s="538"/>
      <c r="EB41" s="538"/>
      <c r="EC41" s="538"/>
      <c r="ED41" s="538">
        <f t="shared" ref="ED41:ED60" si="10">AT41*50%</f>
        <v>19370.5</v>
      </c>
      <c r="EE41" s="538"/>
      <c r="EF41" s="538"/>
      <c r="EG41" s="538"/>
      <c r="EH41" s="538"/>
      <c r="EI41" s="538"/>
      <c r="EJ41" s="538"/>
      <c r="EK41" s="538"/>
      <c r="EL41" s="538"/>
      <c r="EM41" s="538"/>
      <c r="EN41" s="538"/>
      <c r="EO41" s="538"/>
      <c r="EP41" s="538"/>
      <c r="EQ41" s="538"/>
      <c r="ER41" s="538"/>
      <c r="ES41" s="538"/>
      <c r="ET41" s="538">
        <f t="shared" ref="ET41:ET60" si="11">(AT41+DN41+ED41)*12*AD41</f>
        <v>3742380.6000000006</v>
      </c>
      <c r="EU41" s="538"/>
      <c r="EV41" s="538"/>
      <c r="EW41" s="538"/>
      <c r="EX41" s="538"/>
      <c r="EY41" s="538"/>
      <c r="EZ41" s="538"/>
      <c r="FA41" s="538"/>
      <c r="FB41" s="538"/>
      <c r="FC41" s="538"/>
      <c r="FD41" s="538"/>
      <c r="FE41" s="538"/>
      <c r="FF41" s="538"/>
      <c r="FG41" s="538"/>
      <c r="FH41" s="538"/>
      <c r="FI41" s="538"/>
      <c r="FJ41" s="538"/>
      <c r="FK41" s="171"/>
      <c r="FN41" s="171"/>
    </row>
    <row r="42" spans="1:178" s="16" customFormat="1" ht="25.95" customHeight="1" x14ac:dyDescent="0.3">
      <c r="A42" s="571" t="s">
        <v>71</v>
      </c>
      <c r="B42" s="571"/>
      <c r="C42" s="571"/>
      <c r="D42" s="571"/>
      <c r="E42" s="571"/>
      <c r="F42" s="571"/>
      <c r="G42" s="572" t="s">
        <v>502</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69">
        <v>0.1</v>
      </c>
      <c r="AE42" s="569"/>
      <c r="AF42" s="569"/>
      <c r="AG42" s="569"/>
      <c r="AH42" s="569"/>
      <c r="AI42" s="569"/>
      <c r="AJ42" s="569"/>
      <c r="AK42" s="569"/>
      <c r="AL42" s="569"/>
      <c r="AM42" s="569"/>
      <c r="AN42" s="569"/>
      <c r="AO42" s="569"/>
      <c r="AP42" s="569"/>
      <c r="AQ42" s="569"/>
      <c r="AR42" s="569"/>
      <c r="AS42" s="569"/>
      <c r="AT42" s="538">
        <f t="shared" si="8"/>
        <v>39714</v>
      </c>
      <c r="AU42" s="538"/>
      <c r="AV42" s="538"/>
      <c r="AW42" s="538"/>
      <c r="AX42" s="538"/>
      <c r="AY42" s="538"/>
      <c r="AZ42" s="538"/>
      <c r="BA42" s="538"/>
      <c r="BB42" s="538"/>
      <c r="BC42" s="538"/>
      <c r="BD42" s="538"/>
      <c r="BE42" s="538"/>
      <c r="BF42" s="538"/>
      <c r="BG42" s="538"/>
      <c r="BH42" s="538"/>
      <c r="BI42" s="538"/>
      <c r="BJ42" s="538"/>
      <c r="BK42" s="570">
        <v>11714</v>
      </c>
      <c r="BL42" s="570"/>
      <c r="BM42" s="570"/>
      <c r="BN42" s="570"/>
      <c r="BO42" s="570"/>
      <c r="BP42" s="570"/>
      <c r="BQ42" s="570"/>
      <c r="BR42" s="570"/>
      <c r="BS42" s="570"/>
      <c r="BT42" s="570"/>
      <c r="BU42" s="570"/>
      <c r="BV42" s="570"/>
      <c r="BW42" s="570"/>
      <c r="BX42" s="570"/>
      <c r="BY42" s="570"/>
      <c r="BZ42" s="570"/>
      <c r="CA42" s="570"/>
      <c r="CB42" s="570"/>
      <c r="CC42" s="569"/>
      <c r="CD42" s="569"/>
      <c r="CE42" s="569"/>
      <c r="CF42" s="569"/>
      <c r="CG42" s="569"/>
      <c r="CH42" s="569"/>
      <c r="CI42" s="569"/>
      <c r="CJ42" s="569"/>
      <c r="CK42" s="569"/>
      <c r="CL42" s="569"/>
      <c r="CM42" s="569"/>
      <c r="CN42" s="569"/>
      <c r="CO42" s="569"/>
      <c r="CP42" s="569"/>
      <c r="CQ42" s="569"/>
      <c r="CR42" s="569"/>
      <c r="CS42" s="569"/>
      <c r="CT42" s="569"/>
      <c r="CU42" s="569"/>
      <c r="CV42" s="538">
        <v>28000</v>
      </c>
      <c r="CW42" s="538"/>
      <c r="CX42" s="538"/>
      <c r="CY42" s="538"/>
      <c r="CZ42" s="538"/>
      <c r="DA42" s="538"/>
      <c r="DB42" s="538"/>
      <c r="DC42" s="538"/>
      <c r="DD42" s="538"/>
      <c r="DE42" s="538"/>
      <c r="DF42" s="538"/>
      <c r="DG42" s="538"/>
      <c r="DH42" s="538"/>
      <c r="DI42" s="538"/>
      <c r="DJ42" s="538"/>
      <c r="DK42" s="538"/>
      <c r="DL42" s="538"/>
      <c r="DM42" s="538"/>
      <c r="DN42" s="538">
        <f t="shared" si="9"/>
        <v>31771.200000000001</v>
      </c>
      <c r="DO42" s="538"/>
      <c r="DP42" s="538"/>
      <c r="DQ42" s="538"/>
      <c r="DR42" s="538"/>
      <c r="DS42" s="538"/>
      <c r="DT42" s="538"/>
      <c r="DU42" s="538"/>
      <c r="DV42" s="538"/>
      <c r="DW42" s="538"/>
      <c r="DX42" s="538"/>
      <c r="DY42" s="538"/>
      <c r="DZ42" s="538"/>
      <c r="EA42" s="538"/>
      <c r="EB42" s="538"/>
      <c r="EC42" s="538"/>
      <c r="ED42" s="538">
        <f t="shared" si="10"/>
        <v>19857</v>
      </c>
      <c r="EE42" s="538"/>
      <c r="EF42" s="538"/>
      <c r="EG42" s="538"/>
      <c r="EH42" s="538"/>
      <c r="EI42" s="538"/>
      <c r="EJ42" s="538"/>
      <c r="EK42" s="538"/>
      <c r="EL42" s="538"/>
      <c r="EM42" s="538"/>
      <c r="EN42" s="538"/>
      <c r="EO42" s="538"/>
      <c r="EP42" s="538"/>
      <c r="EQ42" s="538"/>
      <c r="ER42" s="538"/>
      <c r="ES42" s="538"/>
      <c r="ET42" s="538">
        <f t="shared" si="11"/>
        <v>109610.64</v>
      </c>
      <c r="EU42" s="538"/>
      <c r="EV42" s="538"/>
      <c r="EW42" s="538"/>
      <c r="EX42" s="538"/>
      <c r="EY42" s="538"/>
      <c r="EZ42" s="538"/>
      <c r="FA42" s="538"/>
      <c r="FB42" s="538"/>
      <c r="FC42" s="538"/>
      <c r="FD42" s="538"/>
      <c r="FE42" s="538"/>
      <c r="FF42" s="538"/>
      <c r="FG42" s="538"/>
      <c r="FH42" s="538"/>
      <c r="FI42" s="538"/>
      <c r="FJ42" s="538"/>
      <c r="FK42" s="171"/>
      <c r="FN42" s="171"/>
    </row>
    <row r="43" spans="1:178" s="16" customFormat="1" ht="13.2" customHeight="1" x14ac:dyDescent="0.3">
      <c r="A43" s="571" t="s">
        <v>462</v>
      </c>
      <c r="B43" s="571"/>
      <c r="C43" s="571"/>
      <c r="D43" s="571"/>
      <c r="E43" s="571"/>
      <c r="F43" s="571"/>
      <c r="G43" s="572" t="s">
        <v>503</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69">
        <v>0.2</v>
      </c>
      <c r="AE43" s="569"/>
      <c r="AF43" s="569"/>
      <c r="AG43" s="569"/>
      <c r="AH43" s="569"/>
      <c r="AI43" s="569"/>
      <c r="AJ43" s="569"/>
      <c r="AK43" s="569"/>
      <c r="AL43" s="569"/>
      <c r="AM43" s="569"/>
      <c r="AN43" s="569"/>
      <c r="AO43" s="569"/>
      <c r="AP43" s="569"/>
      <c r="AQ43" s="569"/>
      <c r="AR43" s="569"/>
      <c r="AS43" s="569"/>
      <c r="AT43" s="538">
        <f t="shared" si="8"/>
        <v>73108.695500000002</v>
      </c>
      <c r="AU43" s="538"/>
      <c r="AV43" s="538"/>
      <c r="AW43" s="538"/>
      <c r="AX43" s="538"/>
      <c r="AY43" s="538"/>
      <c r="AZ43" s="538"/>
      <c r="BA43" s="538"/>
      <c r="BB43" s="538"/>
      <c r="BC43" s="538"/>
      <c r="BD43" s="538"/>
      <c r="BE43" s="538"/>
      <c r="BF43" s="538"/>
      <c r="BG43" s="538"/>
      <c r="BH43" s="538"/>
      <c r="BI43" s="538"/>
      <c r="BJ43" s="538"/>
      <c r="BK43" s="570">
        <v>11129</v>
      </c>
      <c r="BL43" s="570"/>
      <c r="BM43" s="570"/>
      <c r="BN43" s="570"/>
      <c r="BO43" s="570"/>
      <c r="BP43" s="570"/>
      <c r="BQ43" s="570"/>
      <c r="BR43" s="570"/>
      <c r="BS43" s="570"/>
      <c r="BT43" s="570"/>
      <c r="BU43" s="570"/>
      <c r="BV43" s="570"/>
      <c r="BW43" s="570"/>
      <c r="BX43" s="570"/>
      <c r="BY43" s="570"/>
      <c r="BZ43" s="570"/>
      <c r="CA43" s="570"/>
      <c r="CB43" s="570"/>
      <c r="CC43" s="569"/>
      <c r="CD43" s="569"/>
      <c r="CE43" s="569"/>
      <c r="CF43" s="569"/>
      <c r="CG43" s="569"/>
      <c r="CH43" s="569"/>
      <c r="CI43" s="569"/>
      <c r="CJ43" s="569"/>
      <c r="CK43" s="569"/>
      <c r="CL43" s="569"/>
      <c r="CM43" s="569"/>
      <c r="CN43" s="569"/>
      <c r="CO43" s="569"/>
      <c r="CP43" s="569"/>
      <c r="CQ43" s="569"/>
      <c r="CR43" s="569"/>
      <c r="CS43" s="569"/>
      <c r="CT43" s="569"/>
      <c r="CU43" s="569"/>
      <c r="CV43" s="562">
        <v>61979.695500000002</v>
      </c>
      <c r="CW43" s="563"/>
      <c r="CX43" s="563"/>
      <c r="CY43" s="563"/>
      <c r="CZ43" s="563"/>
      <c r="DA43" s="563"/>
      <c r="DB43" s="563"/>
      <c r="DC43" s="563"/>
      <c r="DD43" s="563"/>
      <c r="DE43" s="563"/>
      <c r="DF43" s="563"/>
      <c r="DG43" s="563"/>
      <c r="DH43" s="563"/>
      <c r="DI43" s="563"/>
      <c r="DJ43" s="563"/>
      <c r="DK43" s="563"/>
      <c r="DL43" s="563"/>
      <c r="DM43" s="564"/>
      <c r="DN43" s="538">
        <f t="shared" si="9"/>
        <v>58486.956400000003</v>
      </c>
      <c r="DO43" s="538"/>
      <c r="DP43" s="538"/>
      <c r="DQ43" s="538"/>
      <c r="DR43" s="538"/>
      <c r="DS43" s="538"/>
      <c r="DT43" s="538"/>
      <c r="DU43" s="538"/>
      <c r="DV43" s="538"/>
      <c r="DW43" s="538"/>
      <c r="DX43" s="538"/>
      <c r="DY43" s="538"/>
      <c r="DZ43" s="538"/>
      <c r="EA43" s="538"/>
      <c r="EB43" s="538"/>
      <c r="EC43" s="538"/>
      <c r="ED43" s="538">
        <f t="shared" si="10"/>
        <v>36554.347750000001</v>
      </c>
      <c r="EE43" s="538"/>
      <c r="EF43" s="538"/>
      <c r="EG43" s="538"/>
      <c r="EH43" s="538"/>
      <c r="EI43" s="538"/>
      <c r="EJ43" s="538"/>
      <c r="EK43" s="538"/>
      <c r="EL43" s="538"/>
      <c r="EM43" s="538"/>
      <c r="EN43" s="538"/>
      <c r="EO43" s="538"/>
      <c r="EP43" s="538"/>
      <c r="EQ43" s="538"/>
      <c r="ER43" s="538"/>
      <c r="ES43" s="538"/>
      <c r="ET43" s="538">
        <f t="shared" si="11"/>
        <v>403559.99916000006</v>
      </c>
      <c r="EU43" s="538"/>
      <c r="EV43" s="538"/>
      <c r="EW43" s="538"/>
      <c r="EX43" s="538"/>
      <c r="EY43" s="538"/>
      <c r="EZ43" s="538"/>
      <c r="FA43" s="538"/>
      <c r="FB43" s="538"/>
      <c r="FC43" s="538"/>
      <c r="FD43" s="538"/>
      <c r="FE43" s="538"/>
      <c r="FF43" s="538"/>
      <c r="FG43" s="538"/>
      <c r="FH43" s="538"/>
      <c r="FI43" s="538"/>
      <c r="FJ43" s="538"/>
      <c r="FK43" s="171">
        <v>267705.7</v>
      </c>
      <c r="FL43" s="16" t="s">
        <v>504</v>
      </c>
      <c r="FM43" s="171">
        <f>ET43/12/0.2</f>
        <v>168149.99965000001</v>
      </c>
      <c r="FN43" s="171"/>
    </row>
    <row r="44" spans="1:178" s="16" customFormat="1" ht="24.6" customHeight="1" x14ac:dyDescent="0.3">
      <c r="A44" s="571" t="s">
        <v>477</v>
      </c>
      <c r="B44" s="571"/>
      <c r="C44" s="571"/>
      <c r="D44" s="571"/>
      <c r="E44" s="571"/>
      <c r="F44" s="571"/>
      <c r="G44" s="572" t="s">
        <v>505</v>
      </c>
      <c r="H44" s="572"/>
      <c r="I44" s="572"/>
      <c r="J44" s="572"/>
      <c r="K44" s="572"/>
      <c r="L44" s="572"/>
      <c r="M44" s="572"/>
      <c r="N44" s="572"/>
      <c r="O44" s="572"/>
      <c r="P44" s="572"/>
      <c r="Q44" s="572"/>
      <c r="R44" s="572"/>
      <c r="S44" s="572"/>
      <c r="T44" s="572"/>
      <c r="U44" s="572"/>
      <c r="V44" s="572"/>
      <c r="W44" s="572"/>
      <c r="X44" s="572"/>
      <c r="Y44" s="572"/>
      <c r="Z44" s="572"/>
      <c r="AA44" s="572"/>
      <c r="AB44" s="572"/>
      <c r="AC44" s="572"/>
      <c r="AD44" s="569">
        <v>6.5</v>
      </c>
      <c r="AE44" s="569"/>
      <c r="AF44" s="569"/>
      <c r="AG44" s="569"/>
      <c r="AH44" s="569"/>
      <c r="AI44" s="569"/>
      <c r="AJ44" s="569"/>
      <c r="AK44" s="569"/>
      <c r="AL44" s="569"/>
      <c r="AM44" s="569"/>
      <c r="AN44" s="569"/>
      <c r="AO44" s="569"/>
      <c r="AP44" s="569"/>
      <c r="AQ44" s="569"/>
      <c r="AR44" s="569"/>
      <c r="AS44" s="569"/>
      <c r="AT44" s="538">
        <f t="shared" si="8"/>
        <v>35326.226800000004</v>
      </c>
      <c r="AU44" s="538"/>
      <c r="AV44" s="538"/>
      <c r="AW44" s="538"/>
      <c r="AX44" s="538"/>
      <c r="AY44" s="538"/>
      <c r="AZ44" s="538"/>
      <c r="BA44" s="538"/>
      <c r="BB44" s="538"/>
      <c r="BC44" s="538"/>
      <c r="BD44" s="538"/>
      <c r="BE44" s="538"/>
      <c r="BF44" s="538"/>
      <c r="BG44" s="538"/>
      <c r="BH44" s="538"/>
      <c r="BI44" s="538"/>
      <c r="BJ44" s="538"/>
      <c r="BK44" s="570">
        <v>9000</v>
      </c>
      <c r="BL44" s="570"/>
      <c r="BM44" s="570"/>
      <c r="BN44" s="570"/>
      <c r="BO44" s="570"/>
      <c r="BP44" s="570"/>
      <c r="BQ44" s="570"/>
      <c r="BR44" s="570"/>
      <c r="BS44" s="570"/>
      <c r="BT44" s="570"/>
      <c r="BU44" s="570"/>
      <c r="BV44" s="570"/>
      <c r="BW44" s="570"/>
      <c r="BX44" s="570"/>
      <c r="BY44" s="570"/>
      <c r="BZ44" s="570"/>
      <c r="CA44" s="570"/>
      <c r="CB44" s="570"/>
      <c r="CC44" s="538">
        <v>1000</v>
      </c>
      <c r="CD44" s="538"/>
      <c r="CE44" s="538"/>
      <c r="CF44" s="538"/>
      <c r="CG44" s="538"/>
      <c r="CH44" s="538"/>
      <c r="CI44" s="538"/>
      <c r="CJ44" s="538"/>
      <c r="CK44" s="538"/>
      <c r="CL44" s="538"/>
      <c r="CM44" s="538"/>
      <c r="CN44" s="538"/>
      <c r="CO44" s="538"/>
      <c r="CP44" s="538"/>
      <c r="CQ44" s="538"/>
      <c r="CR44" s="538"/>
      <c r="CS44" s="538"/>
      <c r="CT44" s="538"/>
      <c r="CU44" s="538"/>
      <c r="CV44" s="562">
        <v>25326.2268</v>
      </c>
      <c r="CW44" s="563"/>
      <c r="CX44" s="563"/>
      <c r="CY44" s="563"/>
      <c r="CZ44" s="563"/>
      <c r="DA44" s="563"/>
      <c r="DB44" s="563"/>
      <c r="DC44" s="563"/>
      <c r="DD44" s="563"/>
      <c r="DE44" s="563"/>
      <c r="DF44" s="563"/>
      <c r="DG44" s="563"/>
      <c r="DH44" s="563"/>
      <c r="DI44" s="563"/>
      <c r="DJ44" s="563"/>
      <c r="DK44" s="563"/>
      <c r="DL44" s="563"/>
      <c r="DM44" s="564"/>
      <c r="DN44" s="538">
        <f t="shared" si="9"/>
        <v>28260.981440000003</v>
      </c>
      <c r="DO44" s="538"/>
      <c r="DP44" s="538"/>
      <c r="DQ44" s="538"/>
      <c r="DR44" s="538"/>
      <c r="DS44" s="538"/>
      <c r="DT44" s="538"/>
      <c r="DU44" s="538"/>
      <c r="DV44" s="538"/>
      <c r="DW44" s="538"/>
      <c r="DX44" s="538"/>
      <c r="DY44" s="538"/>
      <c r="DZ44" s="538"/>
      <c r="EA44" s="538"/>
      <c r="EB44" s="538"/>
      <c r="EC44" s="538"/>
      <c r="ED44" s="538">
        <f t="shared" si="10"/>
        <v>17663.113400000002</v>
      </c>
      <c r="EE44" s="538"/>
      <c r="EF44" s="538"/>
      <c r="EG44" s="538"/>
      <c r="EH44" s="538"/>
      <c r="EI44" s="538"/>
      <c r="EJ44" s="538"/>
      <c r="EK44" s="538"/>
      <c r="EL44" s="538"/>
      <c r="EM44" s="538"/>
      <c r="EN44" s="538"/>
      <c r="EO44" s="538"/>
      <c r="EP44" s="538"/>
      <c r="EQ44" s="538"/>
      <c r="ER44" s="538"/>
      <c r="ES44" s="538"/>
      <c r="ET44" s="538">
        <f t="shared" si="11"/>
        <v>6337525.0879200008</v>
      </c>
      <c r="EU44" s="538"/>
      <c r="EV44" s="538"/>
      <c r="EW44" s="538"/>
      <c r="EX44" s="538"/>
      <c r="EY44" s="538"/>
      <c r="EZ44" s="538"/>
      <c r="FA44" s="538"/>
      <c r="FB44" s="538"/>
      <c r="FC44" s="538"/>
      <c r="FD44" s="538"/>
      <c r="FE44" s="538"/>
      <c r="FF44" s="538"/>
      <c r="FG44" s="538"/>
      <c r="FH44" s="538"/>
      <c r="FI44" s="538"/>
      <c r="FJ44" s="538"/>
      <c r="FK44" s="171"/>
      <c r="FN44" s="171"/>
    </row>
    <row r="45" spans="1:178" s="16" customFormat="1" ht="30" customHeight="1" x14ac:dyDescent="0.3">
      <c r="A45" s="571" t="s">
        <v>479</v>
      </c>
      <c r="B45" s="571"/>
      <c r="C45" s="571"/>
      <c r="D45" s="571"/>
      <c r="E45" s="571"/>
      <c r="F45" s="571"/>
      <c r="G45" s="572" t="s">
        <v>506</v>
      </c>
      <c r="H45" s="572"/>
      <c r="I45" s="572"/>
      <c r="J45" s="572"/>
      <c r="K45" s="572"/>
      <c r="L45" s="572"/>
      <c r="M45" s="572"/>
      <c r="N45" s="572"/>
      <c r="O45" s="572"/>
      <c r="P45" s="572"/>
      <c r="Q45" s="572"/>
      <c r="R45" s="572"/>
      <c r="S45" s="572"/>
      <c r="T45" s="572"/>
      <c r="U45" s="572"/>
      <c r="V45" s="572"/>
      <c r="W45" s="572"/>
      <c r="X45" s="572"/>
      <c r="Y45" s="572"/>
      <c r="Z45" s="572"/>
      <c r="AA45" s="572"/>
      <c r="AB45" s="572"/>
      <c r="AC45" s="572"/>
      <c r="AD45" s="569">
        <v>5</v>
      </c>
      <c r="AE45" s="569"/>
      <c r="AF45" s="569"/>
      <c r="AG45" s="569"/>
      <c r="AH45" s="569"/>
      <c r="AI45" s="569"/>
      <c r="AJ45" s="569"/>
      <c r="AK45" s="569"/>
      <c r="AL45" s="569"/>
      <c r="AM45" s="569"/>
      <c r="AN45" s="569"/>
      <c r="AO45" s="569"/>
      <c r="AP45" s="569"/>
      <c r="AQ45" s="569"/>
      <c r="AR45" s="569"/>
      <c r="AS45" s="569"/>
      <c r="AT45" s="538">
        <f>BK45+CC45+CV45</f>
        <v>33350</v>
      </c>
      <c r="AU45" s="538"/>
      <c r="AV45" s="538"/>
      <c r="AW45" s="538"/>
      <c r="AX45" s="538"/>
      <c r="AY45" s="538"/>
      <c r="AZ45" s="538"/>
      <c r="BA45" s="538"/>
      <c r="BB45" s="538"/>
      <c r="BC45" s="538"/>
      <c r="BD45" s="538"/>
      <c r="BE45" s="538"/>
      <c r="BF45" s="538"/>
      <c r="BG45" s="538"/>
      <c r="BH45" s="538"/>
      <c r="BI45" s="538"/>
      <c r="BJ45" s="538"/>
      <c r="BK45" s="570">
        <v>10350</v>
      </c>
      <c r="BL45" s="570"/>
      <c r="BM45" s="570"/>
      <c r="BN45" s="570"/>
      <c r="BO45" s="570"/>
      <c r="BP45" s="570"/>
      <c r="BQ45" s="570"/>
      <c r="BR45" s="570"/>
      <c r="BS45" s="570"/>
      <c r="BT45" s="570"/>
      <c r="BU45" s="570"/>
      <c r="BV45" s="570"/>
      <c r="BW45" s="570"/>
      <c r="BX45" s="570"/>
      <c r="BY45" s="570"/>
      <c r="BZ45" s="570"/>
      <c r="CA45" s="570"/>
      <c r="CB45" s="570"/>
      <c r="CC45" s="538"/>
      <c r="CD45" s="538"/>
      <c r="CE45" s="538"/>
      <c r="CF45" s="538"/>
      <c r="CG45" s="538"/>
      <c r="CH45" s="538"/>
      <c r="CI45" s="538"/>
      <c r="CJ45" s="538"/>
      <c r="CK45" s="538"/>
      <c r="CL45" s="538"/>
      <c r="CM45" s="538"/>
      <c r="CN45" s="538"/>
      <c r="CO45" s="538"/>
      <c r="CP45" s="538"/>
      <c r="CQ45" s="538"/>
      <c r="CR45" s="538"/>
      <c r="CS45" s="538"/>
      <c r="CT45" s="538"/>
      <c r="CU45" s="538"/>
      <c r="CV45" s="562">
        <v>23000</v>
      </c>
      <c r="CW45" s="563"/>
      <c r="CX45" s="563"/>
      <c r="CY45" s="563"/>
      <c r="CZ45" s="563"/>
      <c r="DA45" s="563"/>
      <c r="DB45" s="563"/>
      <c r="DC45" s="563"/>
      <c r="DD45" s="563"/>
      <c r="DE45" s="563"/>
      <c r="DF45" s="563"/>
      <c r="DG45" s="563"/>
      <c r="DH45" s="563"/>
      <c r="DI45" s="563"/>
      <c r="DJ45" s="563"/>
      <c r="DK45" s="563"/>
      <c r="DL45" s="563"/>
      <c r="DM45" s="564"/>
      <c r="DN45" s="538">
        <f>AT45*80%</f>
        <v>26680</v>
      </c>
      <c r="DO45" s="538"/>
      <c r="DP45" s="538"/>
      <c r="DQ45" s="538"/>
      <c r="DR45" s="538"/>
      <c r="DS45" s="538"/>
      <c r="DT45" s="538"/>
      <c r="DU45" s="538"/>
      <c r="DV45" s="538"/>
      <c r="DW45" s="538"/>
      <c r="DX45" s="538"/>
      <c r="DY45" s="538"/>
      <c r="DZ45" s="538"/>
      <c r="EA45" s="538"/>
      <c r="EB45" s="538"/>
      <c r="EC45" s="538"/>
      <c r="ED45" s="538">
        <f>AT45*50%</f>
        <v>16675</v>
      </c>
      <c r="EE45" s="538"/>
      <c r="EF45" s="538"/>
      <c r="EG45" s="538"/>
      <c r="EH45" s="538"/>
      <c r="EI45" s="538"/>
      <c r="EJ45" s="538"/>
      <c r="EK45" s="538"/>
      <c r="EL45" s="538"/>
      <c r="EM45" s="538"/>
      <c r="EN45" s="538"/>
      <c r="EO45" s="538"/>
      <c r="EP45" s="538"/>
      <c r="EQ45" s="538"/>
      <c r="ER45" s="538"/>
      <c r="ES45" s="538"/>
      <c r="ET45" s="538">
        <f>(AT45+DN45+ED45)*12*AD45</f>
        <v>4602300</v>
      </c>
      <c r="EU45" s="538"/>
      <c r="EV45" s="538"/>
      <c r="EW45" s="538"/>
      <c r="EX45" s="538"/>
      <c r="EY45" s="538"/>
      <c r="EZ45" s="538"/>
      <c r="FA45" s="538"/>
      <c r="FB45" s="538"/>
      <c r="FC45" s="538"/>
      <c r="FD45" s="538"/>
      <c r="FE45" s="538"/>
      <c r="FF45" s="538"/>
      <c r="FG45" s="538"/>
      <c r="FH45" s="538"/>
      <c r="FI45" s="538"/>
      <c r="FJ45" s="538"/>
      <c r="FK45" s="171"/>
      <c r="FN45" s="171"/>
    </row>
    <row r="46" spans="1:178" s="16" customFormat="1" ht="13.2" customHeight="1" x14ac:dyDescent="0.3">
      <c r="A46" s="571" t="s">
        <v>481</v>
      </c>
      <c r="B46" s="571"/>
      <c r="C46" s="571"/>
      <c r="D46" s="571"/>
      <c r="E46" s="571"/>
      <c r="F46" s="571"/>
      <c r="G46" s="572" t="s">
        <v>507</v>
      </c>
      <c r="H46" s="572"/>
      <c r="I46" s="572"/>
      <c r="J46" s="572"/>
      <c r="K46" s="572"/>
      <c r="L46" s="572"/>
      <c r="M46" s="572"/>
      <c r="N46" s="572"/>
      <c r="O46" s="572"/>
      <c r="P46" s="572"/>
      <c r="Q46" s="572"/>
      <c r="R46" s="572"/>
      <c r="S46" s="572"/>
      <c r="T46" s="572"/>
      <c r="U46" s="572"/>
      <c r="V46" s="572"/>
      <c r="W46" s="572"/>
      <c r="X46" s="572"/>
      <c r="Y46" s="572"/>
      <c r="Z46" s="572"/>
      <c r="AA46" s="572"/>
      <c r="AB46" s="572"/>
      <c r="AC46" s="572"/>
      <c r="AD46" s="569">
        <v>7</v>
      </c>
      <c r="AE46" s="569"/>
      <c r="AF46" s="569"/>
      <c r="AG46" s="569"/>
      <c r="AH46" s="569"/>
      <c r="AI46" s="569"/>
      <c r="AJ46" s="569"/>
      <c r="AK46" s="569"/>
      <c r="AL46" s="569"/>
      <c r="AM46" s="569"/>
      <c r="AN46" s="569"/>
      <c r="AO46" s="569"/>
      <c r="AP46" s="569"/>
      <c r="AQ46" s="569"/>
      <c r="AR46" s="569"/>
      <c r="AS46" s="569"/>
      <c r="AT46" s="538">
        <f t="shared" si="8"/>
        <v>30006</v>
      </c>
      <c r="AU46" s="538"/>
      <c r="AV46" s="538"/>
      <c r="AW46" s="538"/>
      <c r="AX46" s="538"/>
      <c r="AY46" s="538"/>
      <c r="AZ46" s="538"/>
      <c r="BA46" s="538"/>
      <c r="BB46" s="538"/>
      <c r="BC46" s="538"/>
      <c r="BD46" s="538"/>
      <c r="BE46" s="538"/>
      <c r="BF46" s="538"/>
      <c r="BG46" s="538"/>
      <c r="BH46" s="538"/>
      <c r="BI46" s="538"/>
      <c r="BJ46" s="538"/>
      <c r="BK46" s="570">
        <v>6156</v>
      </c>
      <c r="BL46" s="570"/>
      <c r="BM46" s="570"/>
      <c r="BN46" s="570"/>
      <c r="BO46" s="570"/>
      <c r="BP46" s="570"/>
      <c r="BQ46" s="570"/>
      <c r="BR46" s="570"/>
      <c r="BS46" s="570"/>
      <c r="BT46" s="570"/>
      <c r="BU46" s="570"/>
      <c r="BV46" s="570"/>
      <c r="BW46" s="570"/>
      <c r="BX46" s="570"/>
      <c r="BY46" s="570"/>
      <c r="BZ46" s="570"/>
      <c r="CA46" s="570"/>
      <c r="CB46" s="570"/>
      <c r="CC46" s="538">
        <v>850</v>
      </c>
      <c r="CD46" s="538"/>
      <c r="CE46" s="538"/>
      <c r="CF46" s="538"/>
      <c r="CG46" s="538"/>
      <c r="CH46" s="538"/>
      <c r="CI46" s="538"/>
      <c r="CJ46" s="538"/>
      <c r="CK46" s="538"/>
      <c r="CL46" s="538"/>
      <c r="CM46" s="538"/>
      <c r="CN46" s="538"/>
      <c r="CO46" s="538"/>
      <c r="CP46" s="538"/>
      <c r="CQ46" s="538"/>
      <c r="CR46" s="538"/>
      <c r="CS46" s="538"/>
      <c r="CT46" s="538"/>
      <c r="CU46" s="538"/>
      <c r="CV46" s="562">
        <v>23000</v>
      </c>
      <c r="CW46" s="563"/>
      <c r="CX46" s="563"/>
      <c r="CY46" s="563"/>
      <c r="CZ46" s="563"/>
      <c r="DA46" s="563"/>
      <c r="DB46" s="563"/>
      <c r="DC46" s="563"/>
      <c r="DD46" s="563"/>
      <c r="DE46" s="563"/>
      <c r="DF46" s="563"/>
      <c r="DG46" s="563"/>
      <c r="DH46" s="563"/>
      <c r="DI46" s="563"/>
      <c r="DJ46" s="563"/>
      <c r="DK46" s="563"/>
      <c r="DL46" s="563"/>
      <c r="DM46" s="564"/>
      <c r="DN46" s="538">
        <f t="shared" si="9"/>
        <v>24004.800000000003</v>
      </c>
      <c r="DO46" s="538"/>
      <c r="DP46" s="538"/>
      <c r="DQ46" s="538"/>
      <c r="DR46" s="538"/>
      <c r="DS46" s="538"/>
      <c r="DT46" s="538"/>
      <c r="DU46" s="538"/>
      <c r="DV46" s="538"/>
      <c r="DW46" s="538"/>
      <c r="DX46" s="538"/>
      <c r="DY46" s="538"/>
      <c r="DZ46" s="538"/>
      <c r="EA46" s="538"/>
      <c r="EB46" s="538"/>
      <c r="EC46" s="538"/>
      <c r="ED46" s="538">
        <f t="shared" si="10"/>
        <v>15003</v>
      </c>
      <c r="EE46" s="538"/>
      <c r="EF46" s="538"/>
      <c r="EG46" s="538"/>
      <c r="EH46" s="538"/>
      <c r="EI46" s="538"/>
      <c r="EJ46" s="538"/>
      <c r="EK46" s="538"/>
      <c r="EL46" s="538"/>
      <c r="EM46" s="538"/>
      <c r="EN46" s="538"/>
      <c r="EO46" s="538"/>
      <c r="EP46" s="538"/>
      <c r="EQ46" s="538"/>
      <c r="ER46" s="538"/>
      <c r="ES46" s="538"/>
      <c r="ET46" s="538">
        <f t="shared" si="11"/>
        <v>5797159.2000000011</v>
      </c>
      <c r="EU46" s="538"/>
      <c r="EV46" s="538"/>
      <c r="EW46" s="538"/>
      <c r="EX46" s="538"/>
      <c r="EY46" s="538"/>
      <c r="EZ46" s="538"/>
      <c r="FA46" s="538"/>
      <c r="FB46" s="538"/>
      <c r="FC46" s="538"/>
      <c r="FD46" s="538"/>
      <c r="FE46" s="538"/>
      <c r="FF46" s="538"/>
      <c r="FG46" s="538"/>
      <c r="FH46" s="538"/>
      <c r="FI46" s="538"/>
      <c r="FJ46" s="538"/>
      <c r="FK46" s="171"/>
      <c r="FN46" s="171"/>
    </row>
    <row r="47" spans="1:178" s="16" customFormat="1" ht="13.2" customHeight="1" x14ac:dyDescent="0.3">
      <c r="A47" s="571" t="s">
        <v>483</v>
      </c>
      <c r="B47" s="571"/>
      <c r="C47" s="571"/>
      <c r="D47" s="571"/>
      <c r="E47" s="571"/>
      <c r="F47" s="571"/>
      <c r="G47" s="572" t="s">
        <v>508</v>
      </c>
      <c r="H47" s="572"/>
      <c r="I47" s="572"/>
      <c r="J47" s="572"/>
      <c r="K47" s="572"/>
      <c r="L47" s="572"/>
      <c r="M47" s="572"/>
      <c r="N47" s="572"/>
      <c r="O47" s="572"/>
      <c r="P47" s="572"/>
      <c r="Q47" s="572"/>
      <c r="R47" s="572"/>
      <c r="S47" s="572"/>
      <c r="T47" s="572"/>
      <c r="U47" s="572"/>
      <c r="V47" s="572"/>
      <c r="W47" s="572"/>
      <c r="X47" s="572"/>
      <c r="Y47" s="572"/>
      <c r="Z47" s="572"/>
      <c r="AA47" s="572"/>
      <c r="AB47" s="572"/>
      <c r="AC47" s="572"/>
      <c r="AD47" s="569">
        <v>1.1000000000000001</v>
      </c>
      <c r="AE47" s="569"/>
      <c r="AF47" s="569"/>
      <c r="AG47" s="569"/>
      <c r="AH47" s="569"/>
      <c r="AI47" s="569"/>
      <c r="AJ47" s="569"/>
      <c r="AK47" s="569"/>
      <c r="AL47" s="569"/>
      <c r="AM47" s="569"/>
      <c r="AN47" s="569"/>
      <c r="AO47" s="569"/>
      <c r="AP47" s="569"/>
      <c r="AQ47" s="569"/>
      <c r="AR47" s="569"/>
      <c r="AS47" s="569"/>
      <c r="AT47" s="538">
        <f t="shared" si="8"/>
        <v>33200.90567</v>
      </c>
      <c r="AU47" s="538"/>
      <c r="AV47" s="538"/>
      <c r="AW47" s="538"/>
      <c r="AX47" s="538"/>
      <c r="AY47" s="538"/>
      <c r="AZ47" s="538"/>
      <c r="BA47" s="538"/>
      <c r="BB47" s="538"/>
      <c r="BC47" s="538"/>
      <c r="BD47" s="538"/>
      <c r="BE47" s="538"/>
      <c r="BF47" s="538"/>
      <c r="BG47" s="538"/>
      <c r="BH47" s="538"/>
      <c r="BI47" s="538"/>
      <c r="BJ47" s="538"/>
      <c r="BK47" s="570">
        <v>10237</v>
      </c>
      <c r="BL47" s="570"/>
      <c r="BM47" s="570"/>
      <c r="BN47" s="570"/>
      <c r="BO47" s="570"/>
      <c r="BP47" s="570"/>
      <c r="BQ47" s="570"/>
      <c r="BR47" s="570"/>
      <c r="BS47" s="570"/>
      <c r="BT47" s="570"/>
      <c r="BU47" s="570"/>
      <c r="BV47" s="570"/>
      <c r="BW47" s="570"/>
      <c r="BX47" s="570"/>
      <c r="BY47" s="570"/>
      <c r="BZ47" s="570"/>
      <c r="CA47" s="570"/>
      <c r="CB47" s="570"/>
      <c r="CC47" s="538"/>
      <c r="CD47" s="538"/>
      <c r="CE47" s="538"/>
      <c r="CF47" s="538"/>
      <c r="CG47" s="538"/>
      <c r="CH47" s="538"/>
      <c r="CI47" s="538"/>
      <c r="CJ47" s="538"/>
      <c r="CK47" s="538"/>
      <c r="CL47" s="538"/>
      <c r="CM47" s="538"/>
      <c r="CN47" s="538"/>
      <c r="CO47" s="538"/>
      <c r="CP47" s="538"/>
      <c r="CQ47" s="538"/>
      <c r="CR47" s="538"/>
      <c r="CS47" s="538"/>
      <c r="CT47" s="538"/>
      <c r="CU47" s="538"/>
      <c r="CV47" s="562">
        <v>22963.90567</v>
      </c>
      <c r="CW47" s="563"/>
      <c r="CX47" s="563"/>
      <c r="CY47" s="563"/>
      <c r="CZ47" s="563"/>
      <c r="DA47" s="563"/>
      <c r="DB47" s="563"/>
      <c r="DC47" s="563"/>
      <c r="DD47" s="563"/>
      <c r="DE47" s="563"/>
      <c r="DF47" s="563"/>
      <c r="DG47" s="563"/>
      <c r="DH47" s="563"/>
      <c r="DI47" s="563"/>
      <c r="DJ47" s="563"/>
      <c r="DK47" s="563"/>
      <c r="DL47" s="563"/>
      <c r="DM47" s="564"/>
      <c r="DN47" s="538">
        <f t="shared" si="9"/>
        <v>26560.724536000002</v>
      </c>
      <c r="DO47" s="538"/>
      <c r="DP47" s="538"/>
      <c r="DQ47" s="538"/>
      <c r="DR47" s="538"/>
      <c r="DS47" s="538"/>
      <c r="DT47" s="538"/>
      <c r="DU47" s="538"/>
      <c r="DV47" s="538"/>
      <c r="DW47" s="538"/>
      <c r="DX47" s="538"/>
      <c r="DY47" s="538"/>
      <c r="DZ47" s="538"/>
      <c r="EA47" s="538"/>
      <c r="EB47" s="538"/>
      <c r="EC47" s="538"/>
      <c r="ED47" s="538">
        <f t="shared" si="10"/>
        <v>16600.452835</v>
      </c>
      <c r="EE47" s="538"/>
      <c r="EF47" s="538"/>
      <c r="EG47" s="538"/>
      <c r="EH47" s="538"/>
      <c r="EI47" s="538"/>
      <c r="EJ47" s="538"/>
      <c r="EK47" s="538"/>
      <c r="EL47" s="538"/>
      <c r="EM47" s="538"/>
      <c r="EN47" s="538"/>
      <c r="EO47" s="538"/>
      <c r="EP47" s="538"/>
      <c r="EQ47" s="538"/>
      <c r="ER47" s="538"/>
      <c r="ES47" s="538"/>
      <c r="ET47" s="538">
        <f t="shared" si="11"/>
        <v>1007979.4961412002</v>
      </c>
      <c r="EU47" s="538"/>
      <c r="EV47" s="538"/>
      <c r="EW47" s="538"/>
      <c r="EX47" s="538"/>
      <c r="EY47" s="538"/>
      <c r="EZ47" s="538"/>
      <c r="FA47" s="538"/>
      <c r="FB47" s="538"/>
      <c r="FC47" s="538"/>
      <c r="FD47" s="538"/>
      <c r="FE47" s="538"/>
      <c r="FF47" s="538"/>
      <c r="FG47" s="538"/>
      <c r="FH47" s="538"/>
      <c r="FI47" s="538"/>
      <c r="FJ47" s="538"/>
      <c r="FK47" s="171"/>
      <c r="FN47" s="171"/>
    </row>
    <row r="48" spans="1:178" s="16" customFormat="1" ht="30.6" customHeight="1" x14ac:dyDescent="0.3">
      <c r="A48" s="571" t="s">
        <v>485</v>
      </c>
      <c r="B48" s="571"/>
      <c r="C48" s="571"/>
      <c r="D48" s="571"/>
      <c r="E48" s="571"/>
      <c r="F48" s="571"/>
      <c r="G48" s="572" t="s">
        <v>509</v>
      </c>
      <c r="H48" s="572"/>
      <c r="I48" s="572"/>
      <c r="J48" s="572"/>
      <c r="K48" s="572"/>
      <c r="L48" s="572"/>
      <c r="M48" s="572"/>
      <c r="N48" s="572"/>
      <c r="O48" s="572"/>
      <c r="P48" s="572"/>
      <c r="Q48" s="572"/>
      <c r="R48" s="572"/>
      <c r="S48" s="572"/>
      <c r="T48" s="572"/>
      <c r="U48" s="572"/>
      <c r="V48" s="572"/>
      <c r="W48" s="572"/>
      <c r="X48" s="572"/>
      <c r="Y48" s="572"/>
      <c r="Z48" s="572"/>
      <c r="AA48" s="572"/>
      <c r="AB48" s="572"/>
      <c r="AC48" s="572"/>
      <c r="AD48" s="569">
        <v>5</v>
      </c>
      <c r="AE48" s="569"/>
      <c r="AF48" s="569"/>
      <c r="AG48" s="569"/>
      <c r="AH48" s="569"/>
      <c r="AI48" s="569"/>
      <c r="AJ48" s="569"/>
      <c r="AK48" s="569"/>
      <c r="AL48" s="569"/>
      <c r="AM48" s="569"/>
      <c r="AN48" s="569"/>
      <c r="AO48" s="569"/>
      <c r="AP48" s="569"/>
      <c r="AQ48" s="569"/>
      <c r="AR48" s="569"/>
      <c r="AS48" s="569"/>
      <c r="AT48" s="538">
        <f t="shared" si="8"/>
        <v>33350</v>
      </c>
      <c r="AU48" s="538"/>
      <c r="AV48" s="538"/>
      <c r="AW48" s="538"/>
      <c r="AX48" s="538"/>
      <c r="AY48" s="538"/>
      <c r="AZ48" s="538"/>
      <c r="BA48" s="538"/>
      <c r="BB48" s="538"/>
      <c r="BC48" s="538"/>
      <c r="BD48" s="538"/>
      <c r="BE48" s="538"/>
      <c r="BF48" s="538"/>
      <c r="BG48" s="538"/>
      <c r="BH48" s="538"/>
      <c r="BI48" s="538"/>
      <c r="BJ48" s="538"/>
      <c r="BK48" s="570">
        <v>10350</v>
      </c>
      <c r="BL48" s="570"/>
      <c r="BM48" s="570"/>
      <c r="BN48" s="570"/>
      <c r="BO48" s="570"/>
      <c r="BP48" s="570"/>
      <c r="BQ48" s="570"/>
      <c r="BR48" s="570"/>
      <c r="BS48" s="570"/>
      <c r="BT48" s="570"/>
      <c r="BU48" s="570"/>
      <c r="BV48" s="570"/>
      <c r="BW48" s="570"/>
      <c r="BX48" s="570"/>
      <c r="BY48" s="570"/>
      <c r="BZ48" s="570"/>
      <c r="CA48" s="570"/>
      <c r="CB48" s="570"/>
      <c r="CC48" s="538"/>
      <c r="CD48" s="538"/>
      <c r="CE48" s="538"/>
      <c r="CF48" s="538"/>
      <c r="CG48" s="538"/>
      <c r="CH48" s="538"/>
      <c r="CI48" s="538"/>
      <c r="CJ48" s="538"/>
      <c r="CK48" s="538"/>
      <c r="CL48" s="538"/>
      <c r="CM48" s="538"/>
      <c r="CN48" s="538"/>
      <c r="CO48" s="538"/>
      <c r="CP48" s="538"/>
      <c r="CQ48" s="538"/>
      <c r="CR48" s="538"/>
      <c r="CS48" s="538"/>
      <c r="CT48" s="538"/>
      <c r="CU48" s="538"/>
      <c r="CV48" s="562">
        <v>23000</v>
      </c>
      <c r="CW48" s="563"/>
      <c r="CX48" s="563"/>
      <c r="CY48" s="563"/>
      <c r="CZ48" s="563"/>
      <c r="DA48" s="563"/>
      <c r="DB48" s="563"/>
      <c r="DC48" s="563"/>
      <c r="DD48" s="563"/>
      <c r="DE48" s="563"/>
      <c r="DF48" s="563"/>
      <c r="DG48" s="563"/>
      <c r="DH48" s="563"/>
      <c r="DI48" s="563"/>
      <c r="DJ48" s="563"/>
      <c r="DK48" s="563"/>
      <c r="DL48" s="563"/>
      <c r="DM48" s="564"/>
      <c r="DN48" s="538">
        <f t="shared" si="9"/>
        <v>26680</v>
      </c>
      <c r="DO48" s="538"/>
      <c r="DP48" s="538"/>
      <c r="DQ48" s="538"/>
      <c r="DR48" s="538"/>
      <c r="DS48" s="538"/>
      <c r="DT48" s="538"/>
      <c r="DU48" s="538"/>
      <c r="DV48" s="538"/>
      <c r="DW48" s="538"/>
      <c r="DX48" s="538"/>
      <c r="DY48" s="538"/>
      <c r="DZ48" s="538"/>
      <c r="EA48" s="538"/>
      <c r="EB48" s="538"/>
      <c r="EC48" s="538"/>
      <c r="ED48" s="538">
        <f t="shared" si="10"/>
        <v>16675</v>
      </c>
      <c r="EE48" s="538"/>
      <c r="EF48" s="538"/>
      <c r="EG48" s="538"/>
      <c r="EH48" s="538"/>
      <c r="EI48" s="538"/>
      <c r="EJ48" s="538"/>
      <c r="EK48" s="538"/>
      <c r="EL48" s="538"/>
      <c r="EM48" s="538"/>
      <c r="EN48" s="538"/>
      <c r="EO48" s="538"/>
      <c r="EP48" s="538"/>
      <c r="EQ48" s="538"/>
      <c r="ER48" s="538"/>
      <c r="ES48" s="538"/>
      <c r="ET48" s="538">
        <f t="shared" si="11"/>
        <v>4602300</v>
      </c>
      <c r="EU48" s="538"/>
      <c r="EV48" s="538"/>
      <c r="EW48" s="538"/>
      <c r="EX48" s="538"/>
      <c r="EY48" s="538"/>
      <c r="EZ48" s="538"/>
      <c r="FA48" s="538"/>
      <c r="FB48" s="538"/>
      <c r="FC48" s="538"/>
      <c r="FD48" s="538"/>
      <c r="FE48" s="538"/>
      <c r="FF48" s="538"/>
      <c r="FG48" s="538"/>
      <c r="FH48" s="538"/>
      <c r="FI48" s="538"/>
      <c r="FJ48" s="538"/>
      <c r="FK48" s="171"/>
      <c r="FN48" s="171"/>
    </row>
    <row r="49" spans="1:178" s="16" customFormat="1" ht="44.4" customHeight="1" x14ac:dyDescent="0.3">
      <c r="A49" s="571" t="s">
        <v>487</v>
      </c>
      <c r="B49" s="571"/>
      <c r="C49" s="571"/>
      <c r="D49" s="571"/>
      <c r="E49" s="571"/>
      <c r="F49" s="571"/>
      <c r="G49" s="572" t="s">
        <v>510</v>
      </c>
      <c r="H49" s="572"/>
      <c r="I49" s="572"/>
      <c r="J49" s="572"/>
      <c r="K49" s="572"/>
      <c r="L49" s="572"/>
      <c r="M49" s="572"/>
      <c r="N49" s="572"/>
      <c r="O49" s="572"/>
      <c r="P49" s="572"/>
      <c r="Q49" s="572"/>
      <c r="R49" s="572"/>
      <c r="S49" s="572"/>
      <c r="T49" s="572"/>
      <c r="U49" s="572"/>
      <c r="V49" s="572"/>
      <c r="W49" s="572"/>
      <c r="X49" s="572"/>
      <c r="Y49" s="572"/>
      <c r="Z49" s="572"/>
      <c r="AA49" s="572"/>
      <c r="AB49" s="572"/>
      <c r="AC49" s="572"/>
      <c r="AD49" s="569">
        <v>0.75</v>
      </c>
      <c r="AE49" s="569"/>
      <c r="AF49" s="569"/>
      <c r="AG49" s="569"/>
      <c r="AH49" s="569"/>
      <c r="AI49" s="569"/>
      <c r="AJ49" s="569"/>
      <c r="AK49" s="569"/>
      <c r="AL49" s="569"/>
      <c r="AM49" s="569"/>
      <c r="AN49" s="569"/>
      <c r="AO49" s="569"/>
      <c r="AP49" s="569"/>
      <c r="AQ49" s="569"/>
      <c r="AR49" s="569"/>
      <c r="AS49" s="569"/>
      <c r="AT49" s="538">
        <f t="shared" si="8"/>
        <v>36600</v>
      </c>
      <c r="AU49" s="538"/>
      <c r="AV49" s="538"/>
      <c r="AW49" s="538"/>
      <c r="AX49" s="538"/>
      <c r="AY49" s="538"/>
      <c r="AZ49" s="538"/>
      <c r="BA49" s="538"/>
      <c r="BB49" s="538"/>
      <c r="BC49" s="538"/>
      <c r="BD49" s="538"/>
      <c r="BE49" s="538"/>
      <c r="BF49" s="538"/>
      <c r="BG49" s="538"/>
      <c r="BH49" s="538"/>
      <c r="BI49" s="538"/>
      <c r="BJ49" s="538"/>
      <c r="BK49" s="570">
        <v>12600</v>
      </c>
      <c r="BL49" s="570"/>
      <c r="BM49" s="570"/>
      <c r="BN49" s="570"/>
      <c r="BO49" s="570"/>
      <c r="BP49" s="570"/>
      <c r="BQ49" s="570"/>
      <c r="BR49" s="570"/>
      <c r="BS49" s="570"/>
      <c r="BT49" s="570"/>
      <c r="BU49" s="570"/>
      <c r="BV49" s="570"/>
      <c r="BW49" s="570"/>
      <c r="BX49" s="570"/>
      <c r="BY49" s="570"/>
      <c r="BZ49" s="570"/>
      <c r="CA49" s="570"/>
      <c r="CB49" s="570"/>
      <c r="CC49" s="538"/>
      <c r="CD49" s="538"/>
      <c r="CE49" s="538"/>
      <c r="CF49" s="538"/>
      <c r="CG49" s="538"/>
      <c r="CH49" s="538"/>
      <c r="CI49" s="538"/>
      <c r="CJ49" s="538"/>
      <c r="CK49" s="538"/>
      <c r="CL49" s="538"/>
      <c r="CM49" s="538"/>
      <c r="CN49" s="538"/>
      <c r="CO49" s="538"/>
      <c r="CP49" s="538"/>
      <c r="CQ49" s="538"/>
      <c r="CR49" s="538"/>
      <c r="CS49" s="538"/>
      <c r="CT49" s="538"/>
      <c r="CU49" s="538"/>
      <c r="CV49" s="562">
        <v>24000</v>
      </c>
      <c r="CW49" s="563"/>
      <c r="CX49" s="563"/>
      <c r="CY49" s="563"/>
      <c r="CZ49" s="563"/>
      <c r="DA49" s="563"/>
      <c r="DB49" s="563"/>
      <c r="DC49" s="563"/>
      <c r="DD49" s="563"/>
      <c r="DE49" s="563"/>
      <c r="DF49" s="563"/>
      <c r="DG49" s="563"/>
      <c r="DH49" s="563"/>
      <c r="DI49" s="563"/>
      <c r="DJ49" s="563"/>
      <c r="DK49" s="563"/>
      <c r="DL49" s="563"/>
      <c r="DM49" s="564"/>
      <c r="DN49" s="538">
        <f t="shared" si="9"/>
        <v>29280</v>
      </c>
      <c r="DO49" s="538"/>
      <c r="DP49" s="538"/>
      <c r="DQ49" s="538"/>
      <c r="DR49" s="538"/>
      <c r="DS49" s="538"/>
      <c r="DT49" s="538"/>
      <c r="DU49" s="538"/>
      <c r="DV49" s="538"/>
      <c r="DW49" s="538"/>
      <c r="DX49" s="538"/>
      <c r="DY49" s="538"/>
      <c r="DZ49" s="538"/>
      <c r="EA49" s="538"/>
      <c r="EB49" s="538"/>
      <c r="EC49" s="538"/>
      <c r="ED49" s="538">
        <f t="shared" si="10"/>
        <v>18300</v>
      </c>
      <c r="EE49" s="538"/>
      <c r="EF49" s="538"/>
      <c r="EG49" s="538"/>
      <c r="EH49" s="538"/>
      <c r="EI49" s="538"/>
      <c r="EJ49" s="538"/>
      <c r="EK49" s="538"/>
      <c r="EL49" s="538"/>
      <c r="EM49" s="538"/>
      <c r="EN49" s="538"/>
      <c r="EO49" s="538"/>
      <c r="EP49" s="538"/>
      <c r="EQ49" s="538"/>
      <c r="ER49" s="538"/>
      <c r="ES49" s="538"/>
      <c r="ET49" s="538">
        <f t="shared" si="11"/>
        <v>757620</v>
      </c>
      <c r="EU49" s="538"/>
      <c r="EV49" s="538"/>
      <c r="EW49" s="538"/>
      <c r="EX49" s="538"/>
      <c r="EY49" s="538"/>
      <c r="EZ49" s="538"/>
      <c r="FA49" s="538"/>
      <c r="FB49" s="538"/>
      <c r="FC49" s="538"/>
      <c r="FD49" s="538"/>
      <c r="FE49" s="538"/>
      <c r="FF49" s="538"/>
      <c r="FG49" s="538"/>
      <c r="FH49" s="538"/>
      <c r="FI49" s="538"/>
      <c r="FJ49" s="538"/>
      <c r="FK49" s="171"/>
      <c r="FN49" s="171"/>
    </row>
    <row r="50" spans="1:178" s="16" customFormat="1" ht="38.4" customHeight="1" x14ac:dyDescent="0.3">
      <c r="A50" s="571" t="s">
        <v>489</v>
      </c>
      <c r="B50" s="571"/>
      <c r="C50" s="571"/>
      <c r="D50" s="571"/>
      <c r="E50" s="571"/>
      <c r="F50" s="571"/>
      <c r="G50" s="572" t="s">
        <v>511</v>
      </c>
      <c r="H50" s="572"/>
      <c r="I50" s="572"/>
      <c r="J50" s="572"/>
      <c r="K50" s="572"/>
      <c r="L50" s="572"/>
      <c r="M50" s="572"/>
      <c r="N50" s="572"/>
      <c r="O50" s="572"/>
      <c r="P50" s="572"/>
      <c r="Q50" s="572"/>
      <c r="R50" s="572"/>
      <c r="S50" s="572"/>
      <c r="T50" s="572"/>
      <c r="U50" s="572"/>
      <c r="V50" s="572"/>
      <c r="W50" s="572"/>
      <c r="X50" s="572"/>
      <c r="Y50" s="572"/>
      <c r="Z50" s="572"/>
      <c r="AA50" s="572"/>
      <c r="AB50" s="572"/>
      <c r="AC50" s="572"/>
      <c r="AD50" s="569">
        <v>2</v>
      </c>
      <c r="AE50" s="569"/>
      <c r="AF50" s="569"/>
      <c r="AG50" s="569"/>
      <c r="AH50" s="569"/>
      <c r="AI50" s="569"/>
      <c r="AJ50" s="569"/>
      <c r="AK50" s="569"/>
      <c r="AL50" s="569"/>
      <c r="AM50" s="569"/>
      <c r="AN50" s="569"/>
      <c r="AO50" s="569"/>
      <c r="AP50" s="569"/>
      <c r="AQ50" s="569"/>
      <c r="AR50" s="569"/>
      <c r="AS50" s="569"/>
      <c r="AT50" s="538">
        <f t="shared" si="8"/>
        <v>30930.642</v>
      </c>
      <c r="AU50" s="538"/>
      <c r="AV50" s="538"/>
      <c r="AW50" s="538"/>
      <c r="AX50" s="538"/>
      <c r="AY50" s="538"/>
      <c r="AZ50" s="538"/>
      <c r="BA50" s="538"/>
      <c r="BB50" s="538"/>
      <c r="BC50" s="538"/>
      <c r="BD50" s="538"/>
      <c r="BE50" s="538"/>
      <c r="BF50" s="538"/>
      <c r="BG50" s="538"/>
      <c r="BH50" s="538"/>
      <c r="BI50" s="538"/>
      <c r="BJ50" s="538"/>
      <c r="BK50" s="570">
        <v>9414</v>
      </c>
      <c r="BL50" s="570"/>
      <c r="BM50" s="570"/>
      <c r="BN50" s="570"/>
      <c r="BO50" s="570"/>
      <c r="BP50" s="570"/>
      <c r="BQ50" s="570"/>
      <c r="BR50" s="570"/>
      <c r="BS50" s="570"/>
      <c r="BT50" s="570"/>
      <c r="BU50" s="570"/>
      <c r="BV50" s="570"/>
      <c r="BW50" s="570"/>
      <c r="BX50" s="570"/>
      <c r="BY50" s="570"/>
      <c r="BZ50" s="570"/>
      <c r="CA50" s="570"/>
      <c r="CB50" s="570"/>
      <c r="CC50" s="538"/>
      <c r="CD50" s="538"/>
      <c r="CE50" s="538"/>
      <c r="CF50" s="538"/>
      <c r="CG50" s="538"/>
      <c r="CH50" s="538"/>
      <c r="CI50" s="538"/>
      <c r="CJ50" s="538"/>
      <c r="CK50" s="538"/>
      <c r="CL50" s="538"/>
      <c r="CM50" s="538"/>
      <c r="CN50" s="538"/>
      <c r="CO50" s="538"/>
      <c r="CP50" s="538"/>
      <c r="CQ50" s="538"/>
      <c r="CR50" s="538"/>
      <c r="CS50" s="538"/>
      <c r="CT50" s="538"/>
      <c r="CU50" s="538"/>
      <c r="CV50" s="562">
        <v>21516.642</v>
      </c>
      <c r="CW50" s="563"/>
      <c r="CX50" s="563"/>
      <c r="CY50" s="563"/>
      <c r="CZ50" s="563"/>
      <c r="DA50" s="563"/>
      <c r="DB50" s="563"/>
      <c r="DC50" s="563"/>
      <c r="DD50" s="563"/>
      <c r="DE50" s="563"/>
      <c r="DF50" s="563"/>
      <c r="DG50" s="563"/>
      <c r="DH50" s="563"/>
      <c r="DI50" s="563"/>
      <c r="DJ50" s="563"/>
      <c r="DK50" s="563"/>
      <c r="DL50" s="563"/>
      <c r="DM50" s="564"/>
      <c r="DN50" s="538">
        <f t="shared" si="9"/>
        <v>24744.513600000002</v>
      </c>
      <c r="DO50" s="538"/>
      <c r="DP50" s="538"/>
      <c r="DQ50" s="538"/>
      <c r="DR50" s="538"/>
      <c r="DS50" s="538"/>
      <c r="DT50" s="538"/>
      <c r="DU50" s="538"/>
      <c r="DV50" s="538"/>
      <c r="DW50" s="538"/>
      <c r="DX50" s="538"/>
      <c r="DY50" s="538"/>
      <c r="DZ50" s="538"/>
      <c r="EA50" s="538"/>
      <c r="EB50" s="538"/>
      <c r="EC50" s="538"/>
      <c r="ED50" s="538">
        <f t="shared" si="10"/>
        <v>15465.321</v>
      </c>
      <c r="EE50" s="538"/>
      <c r="EF50" s="538"/>
      <c r="EG50" s="538"/>
      <c r="EH50" s="538"/>
      <c r="EI50" s="538"/>
      <c r="EJ50" s="538"/>
      <c r="EK50" s="538"/>
      <c r="EL50" s="538"/>
      <c r="EM50" s="538"/>
      <c r="EN50" s="538"/>
      <c r="EO50" s="538"/>
      <c r="EP50" s="538"/>
      <c r="EQ50" s="538"/>
      <c r="ER50" s="538"/>
      <c r="ES50" s="538"/>
      <c r="ET50" s="538">
        <f>(AT50+DN50+ED50)*12*AD50</f>
        <v>1707371.4383999999</v>
      </c>
      <c r="EU50" s="538"/>
      <c r="EV50" s="538"/>
      <c r="EW50" s="538"/>
      <c r="EX50" s="538"/>
      <c r="EY50" s="538"/>
      <c r="EZ50" s="538"/>
      <c r="FA50" s="538"/>
      <c r="FB50" s="538"/>
      <c r="FC50" s="538"/>
      <c r="FD50" s="538"/>
      <c r="FE50" s="538"/>
      <c r="FF50" s="538"/>
      <c r="FG50" s="538"/>
      <c r="FH50" s="538"/>
      <c r="FI50" s="538"/>
      <c r="FJ50" s="538"/>
      <c r="FK50" s="171"/>
      <c r="FN50" s="171"/>
      <c r="FO50" s="60"/>
    </row>
    <row r="51" spans="1:178" s="16" customFormat="1" ht="26.4" customHeight="1" x14ac:dyDescent="0.3">
      <c r="A51" s="571" t="s">
        <v>491</v>
      </c>
      <c r="B51" s="571"/>
      <c r="C51" s="571"/>
      <c r="D51" s="571"/>
      <c r="E51" s="571"/>
      <c r="F51" s="571"/>
      <c r="G51" s="572" t="s">
        <v>513</v>
      </c>
      <c r="H51" s="572"/>
      <c r="I51" s="572"/>
      <c r="J51" s="572"/>
      <c r="K51" s="572"/>
      <c r="L51" s="572"/>
      <c r="M51" s="572"/>
      <c r="N51" s="572"/>
      <c r="O51" s="572"/>
      <c r="P51" s="572"/>
      <c r="Q51" s="572"/>
      <c r="R51" s="572"/>
      <c r="S51" s="572"/>
      <c r="T51" s="572"/>
      <c r="U51" s="572"/>
      <c r="V51" s="572"/>
      <c r="W51" s="572"/>
      <c r="X51" s="572"/>
      <c r="Y51" s="572"/>
      <c r="Z51" s="572"/>
      <c r="AA51" s="572"/>
      <c r="AB51" s="572"/>
      <c r="AC51" s="572"/>
      <c r="AD51" s="569">
        <v>1</v>
      </c>
      <c r="AE51" s="569"/>
      <c r="AF51" s="569"/>
      <c r="AG51" s="569"/>
      <c r="AH51" s="569"/>
      <c r="AI51" s="569"/>
      <c r="AJ51" s="569"/>
      <c r="AK51" s="569"/>
      <c r="AL51" s="569"/>
      <c r="AM51" s="569"/>
      <c r="AN51" s="569"/>
      <c r="AO51" s="569"/>
      <c r="AP51" s="569"/>
      <c r="AQ51" s="569"/>
      <c r="AR51" s="569"/>
      <c r="AS51" s="569"/>
      <c r="AT51" s="538">
        <f t="shared" si="8"/>
        <v>36673.239000000001</v>
      </c>
      <c r="AU51" s="538"/>
      <c r="AV51" s="538"/>
      <c r="AW51" s="538"/>
      <c r="AX51" s="538"/>
      <c r="AY51" s="538"/>
      <c r="AZ51" s="538"/>
      <c r="BA51" s="538"/>
      <c r="BB51" s="538"/>
      <c r="BC51" s="538"/>
      <c r="BD51" s="538"/>
      <c r="BE51" s="538"/>
      <c r="BF51" s="538"/>
      <c r="BG51" s="538"/>
      <c r="BH51" s="538"/>
      <c r="BI51" s="538"/>
      <c r="BJ51" s="538"/>
      <c r="BK51" s="570">
        <v>10734</v>
      </c>
      <c r="BL51" s="570"/>
      <c r="BM51" s="570"/>
      <c r="BN51" s="570"/>
      <c r="BO51" s="570"/>
      <c r="BP51" s="570"/>
      <c r="BQ51" s="570"/>
      <c r="BR51" s="570"/>
      <c r="BS51" s="570"/>
      <c r="BT51" s="570"/>
      <c r="BU51" s="570"/>
      <c r="BV51" s="570"/>
      <c r="BW51" s="570"/>
      <c r="BX51" s="570"/>
      <c r="BY51" s="570"/>
      <c r="BZ51" s="570"/>
      <c r="CA51" s="570"/>
      <c r="CB51" s="570"/>
      <c r="CC51" s="569"/>
      <c r="CD51" s="569"/>
      <c r="CE51" s="569"/>
      <c r="CF51" s="569"/>
      <c r="CG51" s="569"/>
      <c r="CH51" s="569"/>
      <c r="CI51" s="569"/>
      <c r="CJ51" s="569"/>
      <c r="CK51" s="569"/>
      <c r="CL51" s="569"/>
      <c r="CM51" s="569"/>
      <c r="CN51" s="569"/>
      <c r="CO51" s="569"/>
      <c r="CP51" s="569"/>
      <c r="CQ51" s="569"/>
      <c r="CR51" s="569"/>
      <c r="CS51" s="569"/>
      <c r="CT51" s="569"/>
      <c r="CU51" s="569"/>
      <c r="CV51" s="562">
        <v>25939.239000000001</v>
      </c>
      <c r="CW51" s="563"/>
      <c r="CX51" s="563"/>
      <c r="CY51" s="563"/>
      <c r="CZ51" s="563"/>
      <c r="DA51" s="563"/>
      <c r="DB51" s="563"/>
      <c r="DC51" s="563"/>
      <c r="DD51" s="563"/>
      <c r="DE51" s="563"/>
      <c r="DF51" s="563"/>
      <c r="DG51" s="563"/>
      <c r="DH51" s="563"/>
      <c r="DI51" s="563"/>
      <c r="DJ51" s="563"/>
      <c r="DK51" s="563"/>
      <c r="DL51" s="563"/>
      <c r="DM51" s="564"/>
      <c r="DN51" s="538">
        <f t="shared" si="9"/>
        <v>29338.591200000003</v>
      </c>
      <c r="DO51" s="538"/>
      <c r="DP51" s="538"/>
      <c r="DQ51" s="538"/>
      <c r="DR51" s="538"/>
      <c r="DS51" s="538"/>
      <c r="DT51" s="538"/>
      <c r="DU51" s="538"/>
      <c r="DV51" s="538"/>
      <c r="DW51" s="538"/>
      <c r="DX51" s="538"/>
      <c r="DY51" s="538"/>
      <c r="DZ51" s="538"/>
      <c r="EA51" s="538"/>
      <c r="EB51" s="538"/>
      <c r="EC51" s="538"/>
      <c r="ED51" s="538">
        <f t="shared" si="10"/>
        <v>18336.619500000001</v>
      </c>
      <c r="EE51" s="538"/>
      <c r="EF51" s="538"/>
      <c r="EG51" s="538"/>
      <c r="EH51" s="538"/>
      <c r="EI51" s="538"/>
      <c r="EJ51" s="538"/>
      <c r="EK51" s="538"/>
      <c r="EL51" s="538"/>
      <c r="EM51" s="538"/>
      <c r="EN51" s="538"/>
      <c r="EO51" s="538"/>
      <c r="EP51" s="538"/>
      <c r="EQ51" s="538"/>
      <c r="ER51" s="538"/>
      <c r="ES51" s="538"/>
      <c r="ET51" s="538">
        <f t="shared" si="11"/>
        <v>1012181.3964</v>
      </c>
      <c r="EU51" s="538"/>
      <c r="EV51" s="538"/>
      <c r="EW51" s="538"/>
      <c r="EX51" s="538"/>
      <c r="EY51" s="538"/>
      <c r="EZ51" s="538"/>
      <c r="FA51" s="538"/>
      <c r="FB51" s="538"/>
      <c r="FC51" s="538"/>
      <c r="FD51" s="538"/>
      <c r="FE51" s="538"/>
      <c r="FF51" s="538"/>
      <c r="FG51" s="538"/>
      <c r="FH51" s="538"/>
      <c r="FI51" s="538"/>
      <c r="FJ51" s="538"/>
      <c r="FK51" s="171"/>
      <c r="FL51" s="171"/>
      <c r="FN51" s="171"/>
      <c r="FO51" s="171"/>
      <c r="FP51" s="60"/>
    </row>
    <row r="52" spans="1:178" s="16" customFormat="1" ht="13.2" customHeight="1" x14ac:dyDescent="0.3">
      <c r="A52" s="571" t="s">
        <v>493</v>
      </c>
      <c r="B52" s="571"/>
      <c r="C52" s="571"/>
      <c r="D52" s="571"/>
      <c r="E52" s="571"/>
      <c r="F52" s="571"/>
      <c r="G52" s="572" t="s">
        <v>514</v>
      </c>
      <c r="H52" s="572"/>
      <c r="I52" s="572"/>
      <c r="J52" s="572"/>
      <c r="K52" s="572"/>
      <c r="L52" s="572"/>
      <c r="M52" s="572"/>
      <c r="N52" s="572"/>
      <c r="O52" s="572"/>
      <c r="P52" s="572"/>
      <c r="Q52" s="572"/>
      <c r="R52" s="572"/>
      <c r="S52" s="572"/>
      <c r="T52" s="572"/>
      <c r="U52" s="572"/>
      <c r="V52" s="572"/>
      <c r="W52" s="572"/>
      <c r="X52" s="572"/>
      <c r="Y52" s="572"/>
      <c r="Z52" s="572"/>
      <c r="AA52" s="572"/>
      <c r="AB52" s="572"/>
      <c r="AC52" s="572"/>
      <c r="AD52" s="569">
        <v>5</v>
      </c>
      <c r="AE52" s="569"/>
      <c r="AF52" s="569"/>
      <c r="AG52" s="569"/>
      <c r="AH52" s="569"/>
      <c r="AI52" s="569"/>
      <c r="AJ52" s="569"/>
      <c r="AK52" s="569"/>
      <c r="AL52" s="569"/>
      <c r="AM52" s="569"/>
      <c r="AN52" s="569"/>
      <c r="AO52" s="569"/>
      <c r="AP52" s="569"/>
      <c r="AQ52" s="569"/>
      <c r="AR52" s="569"/>
      <c r="AS52" s="569"/>
      <c r="AT52" s="538">
        <f t="shared" si="8"/>
        <v>35977</v>
      </c>
      <c r="AU52" s="538"/>
      <c r="AV52" s="538"/>
      <c r="AW52" s="538"/>
      <c r="AX52" s="538"/>
      <c r="AY52" s="538"/>
      <c r="AZ52" s="538"/>
      <c r="BA52" s="538"/>
      <c r="BB52" s="538"/>
      <c r="BC52" s="538"/>
      <c r="BD52" s="538"/>
      <c r="BE52" s="538"/>
      <c r="BF52" s="538"/>
      <c r="BG52" s="538"/>
      <c r="BH52" s="538"/>
      <c r="BI52" s="538"/>
      <c r="BJ52" s="538"/>
      <c r="BK52" s="570">
        <v>8677</v>
      </c>
      <c r="BL52" s="570"/>
      <c r="BM52" s="570"/>
      <c r="BN52" s="570"/>
      <c r="BO52" s="570"/>
      <c r="BP52" s="570"/>
      <c r="BQ52" s="570"/>
      <c r="BR52" s="570"/>
      <c r="BS52" s="570"/>
      <c r="BT52" s="570"/>
      <c r="BU52" s="570"/>
      <c r="BV52" s="570"/>
      <c r="BW52" s="570"/>
      <c r="BX52" s="570"/>
      <c r="BY52" s="570"/>
      <c r="BZ52" s="570"/>
      <c r="CA52" s="570"/>
      <c r="CB52" s="570"/>
      <c r="CC52" s="569">
        <v>1800</v>
      </c>
      <c r="CD52" s="569"/>
      <c r="CE52" s="569"/>
      <c r="CF52" s="569"/>
      <c r="CG52" s="569"/>
      <c r="CH52" s="569"/>
      <c r="CI52" s="569"/>
      <c r="CJ52" s="569"/>
      <c r="CK52" s="569"/>
      <c r="CL52" s="569"/>
      <c r="CM52" s="569"/>
      <c r="CN52" s="569"/>
      <c r="CO52" s="569"/>
      <c r="CP52" s="569"/>
      <c r="CQ52" s="569"/>
      <c r="CR52" s="569"/>
      <c r="CS52" s="569"/>
      <c r="CT52" s="569"/>
      <c r="CU52" s="569"/>
      <c r="CV52" s="562">
        <v>25500</v>
      </c>
      <c r="CW52" s="563"/>
      <c r="CX52" s="563"/>
      <c r="CY52" s="563"/>
      <c r="CZ52" s="563"/>
      <c r="DA52" s="563"/>
      <c r="DB52" s="563"/>
      <c r="DC52" s="563"/>
      <c r="DD52" s="563"/>
      <c r="DE52" s="563"/>
      <c r="DF52" s="563"/>
      <c r="DG52" s="563"/>
      <c r="DH52" s="563"/>
      <c r="DI52" s="563"/>
      <c r="DJ52" s="563"/>
      <c r="DK52" s="563"/>
      <c r="DL52" s="563"/>
      <c r="DM52" s="564"/>
      <c r="DN52" s="538">
        <f t="shared" si="9"/>
        <v>28781.600000000002</v>
      </c>
      <c r="DO52" s="538"/>
      <c r="DP52" s="538"/>
      <c r="DQ52" s="538"/>
      <c r="DR52" s="538"/>
      <c r="DS52" s="538"/>
      <c r="DT52" s="538"/>
      <c r="DU52" s="538"/>
      <c r="DV52" s="538"/>
      <c r="DW52" s="538"/>
      <c r="DX52" s="538"/>
      <c r="DY52" s="538"/>
      <c r="DZ52" s="538"/>
      <c r="EA52" s="538"/>
      <c r="EB52" s="538"/>
      <c r="EC52" s="538"/>
      <c r="ED52" s="538">
        <f t="shared" si="10"/>
        <v>17988.5</v>
      </c>
      <c r="EE52" s="538"/>
      <c r="EF52" s="538"/>
      <c r="EG52" s="538"/>
      <c r="EH52" s="538"/>
      <c r="EI52" s="538"/>
      <c r="EJ52" s="538"/>
      <c r="EK52" s="538"/>
      <c r="EL52" s="538"/>
      <c r="EM52" s="538"/>
      <c r="EN52" s="538"/>
      <c r="EO52" s="538"/>
      <c r="EP52" s="538"/>
      <c r="EQ52" s="538"/>
      <c r="ER52" s="538"/>
      <c r="ES52" s="538"/>
      <c r="ET52" s="538">
        <f t="shared" si="11"/>
        <v>4964826</v>
      </c>
      <c r="EU52" s="538"/>
      <c r="EV52" s="538"/>
      <c r="EW52" s="538"/>
      <c r="EX52" s="538"/>
      <c r="EY52" s="538"/>
      <c r="EZ52" s="538"/>
      <c r="FA52" s="538"/>
      <c r="FB52" s="538"/>
      <c r="FC52" s="538"/>
      <c r="FD52" s="538"/>
      <c r="FE52" s="538"/>
      <c r="FF52" s="538"/>
      <c r="FG52" s="538"/>
      <c r="FH52" s="538"/>
      <c r="FI52" s="538"/>
      <c r="FJ52" s="538"/>
      <c r="FK52" s="171"/>
      <c r="FL52" s="171"/>
      <c r="FN52" s="171"/>
      <c r="FO52" s="171"/>
      <c r="FP52" s="171"/>
    </row>
    <row r="53" spans="1:178" s="16" customFormat="1" ht="44.4" customHeight="1" x14ac:dyDescent="0.3">
      <c r="A53" s="571" t="s">
        <v>515</v>
      </c>
      <c r="B53" s="571"/>
      <c r="C53" s="571"/>
      <c r="D53" s="571"/>
      <c r="E53" s="571"/>
      <c r="F53" s="571"/>
      <c r="G53" s="572" t="s">
        <v>516</v>
      </c>
      <c r="H53" s="572"/>
      <c r="I53" s="572"/>
      <c r="J53" s="572"/>
      <c r="K53" s="572"/>
      <c r="L53" s="572"/>
      <c r="M53" s="572"/>
      <c r="N53" s="572"/>
      <c r="O53" s="572"/>
      <c r="P53" s="572"/>
      <c r="Q53" s="572"/>
      <c r="R53" s="572"/>
      <c r="S53" s="572"/>
      <c r="T53" s="572"/>
      <c r="U53" s="572"/>
      <c r="V53" s="572"/>
      <c r="W53" s="572"/>
      <c r="X53" s="572"/>
      <c r="Y53" s="572"/>
      <c r="Z53" s="572"/>
      <c r="AA53" s="572"/>
      <c r="AB53" s="572"/>
      <c r="AC53" s="572"/>
      <c r="AD53" s="569">
        <v>1</v>
      </c>
      <c r="AE53" s="569"/>
      <c r="AF53" s="569"/>
      <c r="AG53" s="569"/>
      <c r="AH53" s="569"/>
      <c r="AI53" s="569"/>
      <c r="AJ53" s="569"/>
      <c r="AK53" s="569"/>
      <c r="AL53" s="569"/>
      <c r="AM53" s="569"/>
      <c r="AN53" s="569"/>
      <c r="AO53" s="569"/>
      <c r="AP53" s="569"/>
      <c r="AQ53" s="569"/>
      <c r="AR53" s="569"/>
      <c r="AS53" s="569"/>
      <c r="AT53" s="538">
        <f t="shared" si="8"/>
        <v>37629.782599999999</v>
      </c>
      <c r="AU53" s="538"/>
      <c r="AV53" s="538"/>
      <c r="AW53" s="538"/>
      <c r="AX53" s="538"/>
      <c r="AY53" s="538"/>
      <c r="AZ53" s="538"/>
      <c r="BA53" s="538"/>
      <c r="BB53" s="538"/>
      <c r="BC53" s="538"/>
      <c r="BD53" s="538"/>
      <c r="BE53" s="538"/>
      <c r="BF53" s="538"/>
      <c r="BG53" s="538"/>
      <c r="BH53" s="538"/>
      <c r="BI53" s="538"/>
      <c r="BJ53" s="538"/>
      <c r="BK53" s="570">
        <v>9809</v>
      </c>
      <c r="BL53" s="570"/>
      <c r="BM53" s="570"/>
      <c r="BN53" s="570"/>
      <c r="BO53" s="570"/>
      <c r="BP53" s="570"/>
      <c r="BQ53" s="570"/>
      <c r="BR53" s="570"/>
      <c r="BS53" s="570"/>
      <c r="BT53" s="570"/>
      <c r="BU53" s="570"/>
      <c r="BV53" s="570"/>
      <c r="BW53" s="570"/>
      <c r="BX53" s="570"/>
      <c r="BY53" s="570"/>
      <c r="BZ53" s="570"/>
      <c r="CA53" s="570"/>
      <c r="CB53" s="570"/>
      <c r="CC53" s="569">
        <v>2500</v>
      </c>
      <c r="CD53" s="569"/>
      <c r="CE53" s="569"/>
      <c r="CF53" s="569"/>
      <c r="CG53" s="569"/>
      <c r="CH53" s="569"/>
      <c r="CI53" s="569"/>
      <c r="CJ53" s="569"/>
      <c r="CK53" s="569"/>
      <c r="CL53" s="569"/>
      <c r="CM53" s="569"/>
      <c r="CN53" s="569"/>
      <c r="CO53" s="569"/>
      <c r="CP53" s="569"/>
      <c r="CQ53" s="569"/>
      <c r="CR53" s="569"/>
      <c r="CS53" s="569"/>
      <c r="CT53" s="569"/>
      <c r="CU53" s="569"/>
      <c r="CV53" s="562">
        <v>25320.782599999999</v>
      </c>
      <c r="CW53" s="563"/>
      <c r="CX53" s="563"/>
      <c r="CY53" s="563"/>
      <c r="CZ53" s="563"/>
      <c r="DA53" s="563"/>
      <c r="DB53" s="563"/>
      <c r="DC53" s="563"/>
      <c r="DD53" s="563"/>
      <c r="DE53" s="563"/>
      <c r="DF53" s="563"/>
      <c r="DG53" s="563"/>
      <c r="DH53" s="563"/>
      <c r="DI53" s="563"/>
      <c r="DJ53" s="563"/>
      <c r="DK53" s="563"/>
      <c r="DL53" s="563"/>
      <c r="DM53" s="564"/>
      <c r="DN53" s="538">
        <f t="shared" si="9"/>
        <v>30103.826079999999</v>
      </c>
      <c r="DO53" s="538"/>
      <c r="DP53" s="538"/>
      <c r="DQ53" s="538"/>
      <c r="DR53" s="538"/>
      <c r="DS53" s="538"/>
      <c r="DT53" s="538"/>
      <c r="DU53" s="538"/>
      <c r="DV53" s="538"/>
      <c r="DW53" s="538"/>
      <c r="DX53" s="538"/>
      <c r="DY53" s="538"/>
      <c r="DZ53" s="538"/>
      <c r="EA53" s="538"/>
      <c r="EB53" s="538"/>
      <c r="EC53" s="538"/>
      <c r="ED53" s="538">
        <f t="shared" si="10"/>
        <v>18814.891299999999</v>
      </c>
      <c r="EE53" s="538"/>
      <c r="EF53" s="538"/>
      <c r="EG53" s="538"/>
      <c r="EH53" s="538"/>
      <c r="EI53" s="538"/>
      <c r="EJ53" s="538"/>
      <c r="EK53" s="538"/>
      <c r="EL53" s="538"/>
      <c r="EM53" s="538"/>
      <c r="EN53" s="538"/>
      <c r="EO53" s="538"/>
      <c r="EP53" s="538"/>
      <c r="EQ53" s="538"/>
      <c r="ER53" s="538"/>
      <c r="ES53" s="538"/>
      <c r="ET53" s="538">
        <f t="shared" si="11"/>
        <v>1038581.99976</v>
      </c>
      <c r="EU53" s="538"/>
      <c r="EV53" s="538"/>
      <c r="EW53" s="538"/>
      <c r="EX53" s="538"/>
      <c r="EY53" s="538"/>
      <c r="EZ53" s="538"/>
      <c r="FA53" s="538"/>
      <c r="FB53" s="538"/>
      <c r="FC53" s="538"/>
      <c r="FD53" s="538"/>
      <c r="FE53" s="538"/>
      <c r="FF53" s="538"/>
      <c r="FG53" s="538"/>
      <c r="FH53" s="538"/>
      <c r="FI53" s="538"/>
      <c r="FJ53" s="538"/>
      <c r="FK53" s="171" t="s">
        <v>517</v>
      </c>
      <c r="FL53" s="16" t="s">
        <v>512</v>
      </c>
      <c r="FM53" s="16" t="s">
        <v>518</v>
      </c>
      <c r="FN53" s="171"/>
      <c r="FO53" s="171" t="s">
        <v>504</v>
      </c>
      <c r="FP53" s="16" t="s">
        <v>909</v>
      </c>
    </row>
    <row r="54" spans="1:178" s="16" customFormat="1" ht="57" customHeight="1" x14ac:dyDescent="0.3">
      <c r="A54" s="571" t="s">
        <v>519</v>
      </c>
      <c r="B54" s="571"/>
      <c r="C54" s="571"/>
      <c r="D54" s="571"/>
      <c r="E54" s="571"/>
      <c r="F54" s="571"/>
      <c r="G54" s="572" t="s">
        <v>520</v>
      </c>
      <c r="H54" s="572"/>
      <c r="I54" s="572"/>
      <c r="J54" s="572"/>
      <c r="K54" s="572"/>
      <c r="L54" s="572"/>
      <c r="M54" s="572"/>
      <c r="N54" s="572"/>
      <c r="O54" s="572"/>
      <c r="P54" s="572"/>
      <c r="Q54" s="572"/>
      <c r="R54" s="572"/>
      <c r="S54" s="572"/>
      <c r="T54" s="572"/>
      <c r="U54" s="572"/>
      <c r="V54" s="572"/>
      <c r="W54" s="572"/>
      <c r="X54" s="572"/>
      <c r="Y54" s="572"/>
      <c r="Z54" s="572"/>
      <c r="AA54" s="572"/>
      <c r="AB54" s="572"/>
      <c r="AC54" s="572"/>
      <c r="AD54" s="569">
        <v>1</v>
      </c>
      <c r="AE54" s="569"/>
      <c r="AF54" s="569"/>
      <c r="AG54" s="569"/>
      <c r="AH54" s="569"/>
      <c r="AI54" s="569"/>
      <c r="AJ54" s="569"/>
      <c r="AK54" s="569"/>
      <c r="AL54" s="569"/>
      <c r="AM54" s="569"/>
      <c r="AN54" s="569"/>
      <c r="AO54" s="569"/>
      <c r="AP54" s="569"/>
      <c r="AQ54" s="569"/>
      <c r="AR54" s="569"/>
      <c r="AS54" s="569"/>
      <c r="AT54" s="538">
        <f t="shared" si="8"/>
        <v>38186</v>
      </c>
      <c r="AU54" s="538"/>
      <c r="AV54" s="538"/>
      <c r="AW54" s="538"/>
      <c r="AX54" s="538"/>
      <c r="AY54" s="538"/>
      <c r="AZ54" s="538"/>
      <c r="BA54" s="538"/>
      <c r="BB54" s="538"/>
      <c r="BC54" s="538"/>
      <c r="BD54" s="538"/>
      <c r="BE54" s="538"/>
      <c r="BF54" s="538"/>
      <c r="BG54" s="538"/>
      <c r="BH54" s="538"/>
      <c r="BI54" s="538"/>
      <c r="BJ54" s="538"/>
      <c r="BK54" s="570">
        <v>10186</v>
      </c>
      <c r="BL54" s="570"/>
      <c r="BM54" s="570"/>
      <c r="BN54" s="570"/>
      <c r="BO54" s="570"/>
      <c r="BP54" s="570"/>
      <c r="BQ54" s="570"/>
      <c r="BR54" s="570"/>
      <c r="BS54" s="570"/>
      <c r="BT54" s="570"/>
      <c r="BU54" s="570"/>
      <c r="BV54" s="570"/>
      <c r="BW54" s="570"/>
      <c r="BX54" s="570"/>
      <c r="BY54" s="570"/>
      <c r="BZ54" s="570"/>
      <c r="CA54" s="570"/>
      <c r="CB54" s="570"/>
      <c r="CC54" s="569">
        <v>2500</v>
      </c>
      <c r="CD54" s="569"/>
      <c r="CE54" s="569"/>
      <c r="CF54" s="569"/>
      <c r="CG54" s="569"/>
      <c r="CH54" s="569"/>
      <c r="CI54" s="569"/>
      <c r="CJ54" s="569"/>
      <c r="CK54" s="569"/>
      <c r="CL54" s="569"/>
      <c r="CM54" s="569"/>
      <c r="CN54" s="569"/>
      <c r="CO54" s="569"/>
      <c r="CP54" s="569"/>
      <c r="CQ54" s="569"/>
      <c r="CR54" s="569"/>
      <c r="CS54" s="569"/>
      <c r="CT54" s="569"/>
      <c r="CU54" s="569"/>
      <c r="CV54" s="562">
        <v>25500</v>
      </c>
      <c r="CW54" s="563"/>
      <c r="CX54" s="563"/>
      <c r="CY54" s="563"/>
      <c r="CZ54" s="563"/>
      <c r="DA54" s="563"/>
      <c r="DB54" s="563"/>
      <c r="DC54" s="563"/>
      <c r="DD54" s="563"/>
      <c r="DE54" s="563"/>
      <c r="DF54" s="563"/>
      <c r="DG54" s="563"/>
      <c r="DH54" s="563"/>
      <c r="DI54" s="563"/>
      <c r="DJ54" s="563"/>
      <c r="DK54" s="563"/>
      <c r="DL54" s="563"/>
      <c r="DM54" s="564"/>
      <c r="DN54" s="538">
        <f t="shared" si="9"/>
        <v>30548.800000000003</v>
      </c>
      <c r="DO54" s="538"/>
      <c r="DP54" s="538"/>
      <c r="DQ54" s="538"/>
      <c r="DR54" s="538"/>
      <c r="DS54" s="538"/>
      <c r="DT54" s="538"/>
      <c r="DU54" s="538"/>
      <c r="DV54" s="538"/>
      <c r="DW54" s="538"/>
      <c r="DX54" s="538"/>
      <c r="DY54" s="538"/>
      <c r="DZ54" s="538"/>
      <c r="EA54" s="538"/>
      <c r="EB54" s="538"/>
      <c r="EC54" s="538"/>
      <c r="ED54" s="538">
        <f t="shared" si="10"/>
        <v>19093</v>
      </c>
      <c r="EE54" s="538"/>
      <c r="EF54" s="538"/>
      <c r="EG54" s="538"/>
      <c r="EH54" s="538"/>
      <c r="EI54" s="538"/>
      <c r="EJ54" s="538"/>
      <c r="EK54" s="538"/>
      <c r="EL54" s="538"/>
      <c r="EM54" s="538"/>
      <c r="EN54" s="538"/>
      <c r="EO54" s="538"/>
      <c r="EP54" s="538"/>
      <c r="EQ54" s="538"/>
      <c r="ER54" s="538"/>
      <c r="ES54" s="538"/>
      <c r="ET54" s="538">
        <f t="shared" si="11"/>
        <v>1053933.6000000001</v>
      </c>
      <c r="EU54" s="538"/>
      <c r="EV54" s="538"/>
      <c r="EW54" s="538"/>
      <c r="EX54" s="538"/>
      <c r="EY54" s="538"/>
      <c r="EZ54" s="538"/>
      <c r="FA54" s="538"/>
      <c r="FB54" s="538"/>
      <c r="FC54" s="538"/>
      <c r="FD54" s="538"/>
      <c r="FE54" s="538"/>
      <c r="FF54" s="538"/>
      <c r="FG54" s="538"/>
      <c r="FH54" s="538"/>
      <c r="FI54" s="538"/>
      <c r="FJ54" s="538"/>
      <c r="FK54" s="171" t="e">
        <f>55765*12*7.8+#REF!</f>
        <v>#REF!</v>
      </c>
      <c r="FL54" s="60" t="e">
        <f>ET53+ET54+ET51+#REF!</f>
        <v>#REF!</v>
      </c>
      <c r="FM54" s="60" t="e">
        <f>FL54/12/7.8</f>
        <v>#REF!</v>
      </c>
      <c r="FN54" s="171"/>
      <c r="FO54" s="60">
        <f>84075*12*8</f>
        <v>8071200</v>
      </c>
      <c r="FP54" s="60">
        <f>ET51+ET52+ET53+ET54+ET80</f>
        <v>8071199.999760001</v>
      </c>
    </row>
    <row r="55" spans="1:178" s="16" customFormat="1" ht="13.2" customHeight="1" x14ac:dyDescent="0.3">
      <c r="A55" s="571" t="s">
        <v>521</v>
      </c>
      <c r="B55" s="571"/>
      <c r="C55" s="571"/>
      <c r="D55" s="571"/>
      <c r="E55" s="571"/>
      <c r="F55" s="571"/>
      <c r="G55" s="572" t="s">
        <v>522</v>
      </c>
      <c r="H55" s="572"/>
      <c r="I55" s="572"/>
      <c r="J55" s="572"/>
      <c r="K55" s="572"/>
      <c r="L55" s="572"/>
      <c r="M55" s="572"/>
      <c r="N55" s="572"/>
      <c r="O55" s="572"/>
      <c r="P55" s="572"/>
      <c r="Q55" s="572"/>
      <c r="R55" s="572"/>
      <c r="S55" s="572"/>
      <c r="T55" s="572"/>
      <c r="U55" s="572"/>
      <c r="V55" s="572"/>
      <c r="W55" s="572"/>
      <c r="X55" s="572"/>
      <c r="Y55" s="572"/>
      <c r="Z55" s="572"/>
      <c r="AA55" s="572"/>
      <c r="AB55" s="572"/>
      <c r="AC55" s="572"/>
      <c r="AD55" s="569">
        <v>1</v>
      </c>
      <c r="AE55" s="569"/>
      <c r="AF55" s="569"/>
      <c r="AG55" s="569"/>
      <c r="AH55" s="569"/>
      <c r="AI55" s="569"/>
      <c r="AJ55" s="569"/>
      <c r="AK55" s="569"/>
      <c r="AL55" s="569"/>
      <c r="AM55" s="569"/>
      <c r="AN55" s="569"/>
      <c r="AO55" s="569"/>
      <c r="AP55" s="569"/>
      <c r="AQ55" s="569"/>
      <c r="AR55" s="569"/>
      <c r="AS55" s="569"/>
      <c r="AT55" s="538">
        <f t="shared" si="8"/>
        <v>29399</v>
      </c>
      <c r="AU55" s="538"/>
      <c r="AV55" s="538"/>
      <c r="AW55" s="538"/>
      <c r="AX55" s="538"/>
      <c r="AY55" s="538"/>
      <c r="AZ55" s="538"/>
      <c r="BA55" s="538"/>
      <c r="BB55" s="538"/>
      <c r="BC55" s="538"/>
      <c r="BD55" s="538"/>
      <c r="BE55" s="538"/>
      <c r="BF55" s="538"/>
      <c r="BG55" s="538"/>
      <c r="BH55" s="538"/>
      <c r="BI55" s="538"/>
      <c r="BJ55" s="538"/>
      <c r="BK55" s="570">
        <v>7399</v>
      </c>
      <c r="BL55" s="570"/>
      <c r="BM55" s="570"/>
      <c r="BN55" s="570"/>
      <c r="BO55" s="570"/>
      <c r="BP55" s="570"/>
      <c r="BQ55" s="570"/>
      <c r="BR55" s="570"/>
      <c r="BS55" s="570"/>
      <c r="BT55" s="570"/>
      <c r="BU55" s="570"/>
      <c r="BV55" s="570"/>
      <c r="BW55" s="570"/>
      <c r="BX55" s="570"/>
      <c r="BY55" s="570"/>
      <c r="BZ55" s="570"/>
      <c r="CA55" s="570"/>
      <c r="CB55" s="570"/>
      <c r="CC55" s="569"/>
      <c r="CD55" s="569"/>
      <c r="CE55" s="569"/>
      <c r="CF55" s="569"/>
      <c r="CG55" s="569"/>
      <c r="CH55" s="569"/>
      <c r="CI55" s="569"/>
      <c r="CJ55" s="569"/>
      <c r="CK55" s="569"/>
      <c r="CL55" s="569"/>
      <c r="CM55" s="569"/>
      <c r="CN55" s="569"/>
      <c r="CO55" s="569"/>
      <c r="CP55" s="569"/>
      <c r="CQ55" s="569"/>
      <c r="CR55" s="569"/>
      <c r="CS55" s="569"/>
      <c r="CT55" s="569"/>
      <c r="CU55" s="569"/>
      <c r="CV55" s="562">
        <v>22000</v>
      </c>
      <c r="CW55" s="563"/>
      <c r="CX55" s="563"/>
      <c r="CY55" s="563"/>
      <c r="CZ55" s="563"/>
      <c r="DA55" s="563"/>
      <c r="DB55" s="563"/>
      <c r="DC55" s="563"/>
      <c r="DD55" s="563"/>
      <c r="DE55" s="563"/>
      <c r="DF55" s="563"/>
      <c r="DG55" s="563"/>
      <c r="DH55" s="563"/>
      <c r="DI55" s="563"/>
      <c r="DJ55" s="563"/>
      <c r="DK55" s="563"/>
      <c r="DL55" s="563"/>
      <c r="DM55" s="564"/>
      <c r="DN55" s="538">
        <f t="shared" si="9"/>
        <v>23519.200000000001</v>
      </c>
      <c r="DO55" s="538"/>
      <c r="DP55" s="538"/>
      <c r="DQ55" s="538"/>
      <c r="DR55" s="538"/>
      <c r="DS55" s="538"/>
      <c r="DT55" s="538"/>
      <c r="DU55" s="538"/>
      <c r="DV55" s="538"/>
      <c r="DW55" s="538"/>
      <c r="DX55" s="538"/>
      <c r="DY55" s="538"/>
      <c r="DZ55" s="538"/>
      <c r="EA55" s="538"/>
      <c r="EB55" s="538"/>
      <c r="EC55" s="538"/>
      <c r="ED55" s="538">
        <f t="shared" si="10"/>
        <v>14699.5</v>
      </c>
      <c r="EE55" s="538"/>
      <c r="EF55" s="538"/>
      <c r="EG55" s="538"/>
      <c r="EH55" s="538"/>
      <c r="EI55" s="538"/>
      <c r="EJ55" s="538"/>
      <c r="EK55" s="538"/>
      <c r="EL55" s="538"/>
      <c r="EM55" s="538"/>
      <c r="EN55" s="538"/>
      <c r="EO55" s="538"/>
      <c r="EP55" s="538"/>
      <c r="EQ55" s="538"/>
      <c r="ER55" s="538"/>
      <c r="ES55" s="538"/>
      <c r="ET55" s="573">
        <f t="shared" si="11"/>
        <v>811412.39999999991</v>
      </c>
      <c r="EU55" s="573"/>
      <c r="EV55" s="573"/>
      <c r="EW55" s="573"/>
      <c r="EX55" s="573"/>
      <c r="EY55" s="573"/>
      <c r="EZ55" s="573"/>
      <c r="FA55" s="573"/>
      <c r="FB55" s="573"/>
      <c r="FC55" s="573"/>
      <c r="FD55" s="573"/>
      <c r="FE55" s="573"/>
      <c r="FF55" s="573"/>
      <c r="FG55" s="573"/>
      <c r="FH55" s="573"/>
      <c r="FI55" s="573"/>
      <c r="FJ55" s="573"/>
      <c r="FK55" s="171"/>
      <c r="FM55" s="60"/>
      <c r="FN55" s="171"/>
      <c r="FO55" s="60"/>
      <c r="FP55" s="60"/>
    </row>
    <row r="56" spans="1:178" s="16" customFormat="1" ht="13.2" customHeight="1" x14ac:dyDescent="0.3">
      <c r="A56" s="571" t="s">
        <v>523</v>
      </c>
      <c r="B56" s="571"/>
      <c r="C56" s="571"/>
      <c r="D56" s="571"/>
      <c r="E56" s="571"/>
      <c r="F56" s="571"/>
      <c r="G56" s="572" t="s">
        <v>898</v>
      </c>
      <c r="H56" s="572"/>
      <c r="I56" s="572"/>
      <c r="J56" s="572"/>
      <c r="K56" s="572"/>
      <c r="L56" s="572"/>
      <c r="M56" s="572"/>
      <c r="N56" s="572"/>
      <c r="O56" s="572"/>
      <c r="P56" s="572"/>
      <c r="Q56" s="572"/>
      <c r="R56" s="572"/>
      <c r="S56" s="572"/>
      <c r="T56" s="572"/>
      <c r="U56" s="572"/>
      <c r="V56" s="572"/>
      <c r="W56" s="572"/>
      <c r="X56" s="572"/>
      <c r="Y56" s="572"/>
      <c r="Z56" s="572"/>
      <c r="AA56" s="572"/>
      <c r="AB56" s="572"/>
      <c r="AC56" s="572"/>
      <c r="AD56" s="569">
        <v>2</v>
      </c>
      <c r="AE56" s="569"/>
      <c r="AF56" s="569"/>
      <c r="AG56" s="569"/>
      <c r="AH56" s="569"/>
      <c r="AI56" s="569"/>
      <c r="AJ56" s="569"/>
      <c r="AK56" s="569"/>
      <c r="AL56" s="569"/>
      <c r="AM56" s="569"/>
      <c r="AN56" s="569"/>
      <c r="AO56" s="569"/>
      <c r="AP56" s="569"/>
      <c r="AQ56" s="569"/>
      <c r="AR56" s="569"/>
      <c r="AS56" s="569"/>
      <c r="AT56" s="538">
        <f t="shared" si="8"/>
        <v>29399</v>
      </c>
      <c r="AU56" s="538"/>
      <c r="AV56" s="538"/>
      <c r="AW56" s="538"/>
      <c r="AX56" s="538"/>
      <c r="AY56" s="538"/>
      <c r="AZ56" s="538"/>
      <c r="BA56" s="538"/>
      <c r="BB56" s="538"/>
      <c r="BC56" s="538"/>
      <c r="BD56" s="538"/>
      <c r="BE56" s="538"/>
      <c r="BF56" s="538"/>
      <c r="BG56" s="538"/>
      <c r="BH56" s="538"/>
      <c r="BI56" s="538"/>
      <c r="BJ56" s="538"/>
      <c r="BK56" s="570">
        <v>7399</v>
      </c>
      <c r="BL56" s="570"/>
      <c r="BM56" s="570"/>
      <c r="BN56" s="570"/>
      <c r="BO56" s="570"/>
      <c r="BP56" s="570"/>
      <c r="BQ56" s="570"/>
      <c r="BR56" s="570"/>
      <c r="BS56" s="570"/>
      <c r="BT56" s="570"/>
      <c r="BU56" s="570"/>
      <c r="BV56" s="570"/>
      <c r="BW56" s="570"/>
      <c r="BX56" s="570"/>
      <c r="BY56" s="570"/>
      <c r="BZ56" s="570"/>
      <c r="CA56" s="570"/>
      <c r="CB56" s="570"/>
      <c r="CC56" s="569"/>
      <c r="CD56" s="569"/>
      <c r="CE56" s="569"/>
      <c r="CF56" s="569"/>
      <c r="CG56" s="569"/>
      <c r="CH56" s="569"/>
      <c r="CI56" s="569"/>
      <c r="CJ56" s="569"/>
      <c r="CK56" s="569"/>
      <c r="CL56" s="569"/>
      <c r="CM56" s="569"/>
      <c r="CN56" s="569"/>
      <c r="CO56" s="569"/>
      <c r="CP56" s="569"/>
      <c r="CQ56" s="569"/>
      <c r="CR56" s="569"/>
      <c r="CS56" s="569"/>
      <c r="CT56" s="569"/>
      <c r="CU56" s="569"/>
      <c r="CV56" s="562">
        <v>22000</v>
      </c>
      <c r="CW56" s="563"/>
      <c r="CX56" s="563"/>
      <c r="CY56" s="563"/>
      <c r="CZ56" s="563"/>
      <c r="DA56" s="563"/>
      <c r="DB56" s="563"/>
      <c r="DC56" s="563"/>
      <c r="DD56" s="563"/>
      <c r="DE56" s="563"/>
      <c r="DF56" s="563"/>
      <c r="DG56" s="563"/>
      <c r="DH56" s="563"/>
      <c r="DI56" s="563"/>
      <c r="DJ56" s="563"/>
      <c r="DK56" s="563"/>
      <c r="DL56" s="563"/>
      <c r="DM56" s="564"/>
      <c r="DN56" s="538">
        <f t="shared" si="9"/>
        <v>23519.200000000001</v>
      </c>
      <c r="DO56" s="538"/>
      <c r="DP56" s="538"/>
      <c r="DQ56" s="538"/>
      <c r="DR56" s="538"/>
      <c r="DS56" s="538"/>
      <c r="DT56" s="538"/>
      <c r="DU56" s="538"/>
      <c r="DV56" s="538"/>
      <c r="DW56" s="538"/>
      <c r="DX56" s="538"/>
      <c r="DY56" s="538"/>
      <c r="DZ56" s="538"/>
      <c r="EA56" s="538"/>
      <c r="EB56" s="538"/>
      <c r="EC56" s="538"/>
      <c r="ED56" s="538">
        <f t="shared" si="10"/>
        <v>14699.5</v>
      </c>
      <c r="EE56" s="538"/>
      <c r="EF56" s="538"/>
      <c r="EG56" s="538"/>
      <c r="EH56" s="538"/>
      <c r="EI56" s="538"/>
      <c r="EJ56" s="538"/>
      <c r="EK56" s="538"/>
      <c r="EL56" s="538"/>
      <c r="EM56" s="538"/>
      <c r="EN56" s="538"/>
      <c r="EO56" s="538"/>
      <c r="EP56" s="538"/>
      <c r="EQ56" s="538"/>
      <c r="ER56" s="538"/>
      <c r="ES56" s="538"/>
      <c r="ET56" s="573">
        <f t="shared" si="11"/>
        <v>1622824.7999999998</v>
      </c>
      <c r="EU56" s="573"/>
      <c r="EV56" s="573"/>
      <c r="EW56" s="573"/>
      <c r="EX56" s="573"/>
      <c r="EY56" s="573"/>
      <c r="EZ56" s="573"/>
      <c r="FA56" s="573"/>
      <c r="FB56" s="573"/>
      <c r="FC56" s="573"/>
      <c r="FD56" s="573"/>
      <c r="FE56" s="573"/>
      <c r="FF56" s="573"/>
      <c r="FG56" s="573"/>
      <c r="FH56" s="573"/>
      <c r="FI56" s="573"/>
      <c r="FJ56" s="573"/>
      <c r="FK56" s="171" t="s">
        <v>517</v>
      </c>
      <c r="FL56" s="16" t="s">
        <v>512</v>
      </c>
      <c r="FM56" s="16" t="s">
        <v>518</v>
      </c>
      <c r="FN56" s="171"/>
      <c r="FO56" s="171" t="s">
        <v>504</v>
      </c>
      <c r="FP56" s="16" t="s">
        <v>909</v>
      </c>
    </row>
    <row r="57" spans="1:178" s="16" customFormat="1" ht="13.2" customHeight="1" x14ac:dyDescent="0.3">
      <c r="A57" s="571" t="s">
        <v>525</v>
      </c>
      <c r="B57" s="571"/>
      <c r="C57" s="571"/>
      <c r="D57" s="571"/>
      <c r="E57" s="571"/>
      <c r="F57" s="571"/>
      <c r="G57" s="572" t="s">
        <v>524</v>
      </c>
      <c r="H57" s="572"/>
      <c r="I57" s="572"/>
      <c r="J57" s="572"/>
      <c r="K57" s="572"/>
      <c r="L57" s="572"/>
      <c r="M57" s="572"/>
      <c r="N57" s="572"/>
      <c r="O57" s="572"/>
      <c r="P57" s="572"/>
      <c r="Q57" s="572"/>
      <c r="R57" s="572"/>
      <c r="S57" s="572"/>
      <c r="T57" s="572"/>
      <c r="U57" s="572"/>
      <c r="V57" s="572"/>
      <c r="W57" s="572"/>
      <c r="X57" s="572"/>
      <c r="Y57" s="572"/>
      <c r="Z57" s="572"/>
      <c r="AA57" s="572"/>
      <c r="AB57" s="572"/>
      <c r="AC57" s="572"/>
      <c r="AD57" s="569">
        <v>1</v>
      </c>
      <c r="AE57" s="569"/>
      <c r="AF57" s="569"/>
      <c r="AG57" s="569"/>
      <c r="AH57" s="569"/>
      <c r="AI57" s="569"/>
      <c r="AJ57" s="569"/>
      <c r="AK57" s="569"/>
      <c r="AL57" s="569"/>
      <c r="AM57" s="569"/>
      <c r="AN57" s="569"/>
      <c r="AO57" s="569"/>
      <c r="AP57" s="569"/>
      <c r="AQ57" s="569"/>
      <c r="AR57" s="569"/>
      <c r="AS57" s="569"/>
      <c r="AT57" s="538">
        <f t="shared" si="8"/>
        <v>28434</v>
      </c>
      <c r="AU57" s="538"/>
      <c r="AV57" s="538"/>
      <c r="AW57" s="538"/>
      <c r="AX57" s="538"/>
      <c r="AY57" s="538"/>
      <c r="AZ57" s="538"/>
      <c r="BA57" s="538"/>
      <c r="BB57" s="538"/>
      <c r="BC57" s="538"/>
      <c r="BD57" s="538"/>
      <c r="BE57" s="538"/>
      <c r="BF57" s="538"/>
      <c r="BG57" s="538"/>
      <c r="BH57" s="538"/>
      <c r="BI57" s="538"/>
      <c r="BJ57" s="538"/>
      <c r="BK57" s="570">
        <v>6434</v>
      </c>
      <c r="BL57" s="570"/>
      <c r="BM57" s="570"/>
      <c r="BN57" s="570"/>
      <c r="BO57" s="570"/>
      <c r="BP57" s="570"/>
      <c r="BQ57" s="570"/>
      <c r="BR57" s="570"/>
      <c r="BS57" s="570"/>
      <c r="BT57" s="570"/>
      <c r="BU57" s="570"/>
      <c r="BV57" s="570"/>
      <c r="BW57" s="570"/>
      <c r="BX57" s="570"/>
      <c r="BY57" s="570"/>
      <c r="BZ57" s="570"/>
      <c r="CA57" s="570"/>
      <c r="CB57" s="570"/>
      <c r="CC57" s="569"/>
      <c r="CD57" s="569"/>
      <c r="CE57" s="569"/>
      <c r="CF57" s="569"/>
      <c r="CG57" s="569"/>
      <c r="CH57" s="569"/>
      <c r="CI57" s="569"/>
      <c r="CJ57" s="569"/>
      <c r="CK57" s="569"/>
      <c r="CL57" s="569"/>
      <c r="CM57" s="569"/>
      <c r="CN57" s="569"/>
      <c r="CO57" s="569"/>
      <c r="CP57" s="569"/>
      <c r="CQ57" s="569"/>
      <c r="CR57" s="569"/>
      <c r="CS57" s="569"/>
      <c r="CT57" s="569"/>
      <c r="CU57" s="569"/>
      <c r="CV57" s="562">
        <v>22000</v>
      </c>
      <c r="CW57" s="563"/>
      <c r="CX57" s="563"/>
      <c r="CY57" s="563"/>
      <c r="CZ57" s="563"/>
      <c r="DA57" s="563"/>
      <c r="DB57" s="563"/>
      <c r="DC57" s="563"/>
      <c r="DD57" s="563"/>
      <c r="DE57" s="563"/>
      <c r="DF57" s="563"/>
      <c r="DG57" s="563"/>
      <c r="DH57" s="563"/>
      <c r="DI57" s="563"/>
      <c r="DJ57" s="563"/>
      <c r="DK57" s="563"/>
      <c r="DL57" s="563"/>
      <c r="DM57" s="564"/>
      <c r="DN57" s="538">
        <f t="shared" si="9"/>
        <v>22747.200000000001</v>
      </c>
      <c r="DO57" s="538"/>
      <c r="DP57" s="538"/>
      <c r="DQ57" s="538"/>
      <c r="DR57" s="538"/>
      <c r="DS57" s="538"/>
      <c r="DT57" s="538"/>
      <c r="DU57" s="538"/>
      <c r="DV57" s="538"/>
      <c r="DW57" s="538"/>
      <c r="DX57" s="538"/>
      <c r="DY57" s="538"/>
      <c r="DZ57" s="538"/>
      <c r="EA57" s="538"/>
      <c r="EB57" s="538"/>
      <c r="EC57" s="538"/>
      <c r="ED57" s="538">
        <f t="shared" si="10"/>
        <v>14217</v>
      </c>
      <c r="EE57" s="538"/>
      <c r="EF57" s="538"/>
      <c r="EG57" s="538"/>
      <c r="EH57" s="538"/>
      <c r="EI57" s="538"/>
      <c r="EJ57" s="538"/>
      <c r="EK57" s="538"/>
      <c r="EL57" s="538"/>
      <c r="EM57" s="538"/>
      <c r="EN57" s="538"/>
      <c r="EO57" s="538"/>
      <c r="EP57" s="538"/>
      <c r="EQ57" s="538"/>
      <c r="ER57" s="538"/>
      <c r="ES57" s="538"/>
      <c r="ET57" s="573">
        <f t="shared" si="11"/>
        <v>784778.39999999991</v>
      </c>
      <c r="EU57" s="573"/>
      <c r="EV57" s="573"/>
      <c r="EW57" s="573"/>
      <c r="EX57" s="573"/>
      <c r="EY57" s="573"/>
      <c r="EZ57" s="573"/>
      <c r="FA57" s="573"/>
      <c r="FB57" s="573"/>
      <c r="FC57" s="573"/>
      <c r="FD57" s="573"/>
      <c r="FE57" s="573"/>
      <c r="FF57" s="573"/>
      <c r="FG57" s="573"/>
      <c r="FH57" s="573"/>
      <c r="FI57" s="573"/>
      <c r="FJ57" s="573"/>
      <c r="FK57" s="171" t="s">
        <v>517</v>
      </c>
      <c r="FL57" s="16" t="s">
        <v>512</v>
      </c>
      <c r="FM57" s="16" t="s">
        <v>518</v>
      </c>
      <c r="FN57" s="171"/>
      <c r="FO57" s="171"/>
      <c r="FP57" s="171"/>
    </row>
    <row r="58" spans="1:178" s="16" customFormat="1" ht="42" customHeight="1" x14ac:dyDescent="0.3">
      <c r="A58" s="571" t="s">
        <v>526</v>
      </c>
      <c r="B58" s="571"/>
      <c r="C58" s="571"/>
      <c r="D58" s="571"/>
      <c r="E58" s="571"/>
      <c r="F58" s="571"/>
      <c r="G58" s="572" t="s">
        <v>430</v>
      </c>
      <c r="H58" s="572"/>
      <c r="I58" s="572"/>
      <c r="J58" s="572"/>
      <c r="K58" s="572"/>
      <c r="L58" s="572"/>
      <c r="M58" s="572"/>
      <c r="N58" s="572"/>
      <c r="O58" s="572"/>
      <c r="P58" s="572"/>
      <c r="Q58" s="572"/>
      <c r="R58" s="572"/>
      <c r="S58" s="572"/>
      <c r="T58" s="572"/>
      <c r="U58" s="572"/>
      <c r="V58" s="572"/>
      <c r="W58" s="572"/>
      <c r="X58" s="572"/>
      <c r="Y58" s="572"/>
      <c r="Z58" s="572"/>
      <c r="AA58" s="572"/>
      <c r="AB58" s="572"/>
      <c r="AC58" s="572"/>
      <c r="AD58" s="569">
        <v>11</v>
      </c>
      <c r="AE58" s="569"/>
      <c r="AF58" s="569"/>
      <c r="AG58" s="569"/>
      <c r="AH58" s="569"/>
      <c r="AI58" s="569"/>
      <c r="AJ58" s="569"/>
      <c r="AK58" s="569"/>
      <c r="AL58" s="569"/>
      <c r="AM58" s="569"/>
      <c r="AN58" s="569"/>
      <c r="AO58" s="569"/>
      <c r="AP58" s="569"/>
      <c r="AQ58" s="569"/>
      <c r="AR58" s="569"/>
      <c r="AS58" s="569"/>
      <c r="AT58" s="538">
        <f t="shared" si="8"/>
        <v>32460.45651</v>
      </c>
      <c r="AU58" s="538"/>
      <c r="AV58" s="538"/>
      <c r="AW58" s="538"/>
      <c r="AX58" s="538"/>
      <c r="AY58" s="538"/>
      <c r="AZ58" s="538"/>
      <c r="BA58" s="538"/>
      <c r="BB58" s="538"/>
      <c r="BC58" s="538"/>
      <c r="BD58" s="538"/>
      <c r="BE58" s="538"/>
      <c r="BF58" s="538"/>
      <c r="BG58" s="538"/>
      <c r="BH58" s="538"/>
      <c r="BI58" s="538"/>
      <c r="BJ58" s="538"/>
      <c r="BK58" s="570">
        <v>7399</v>
      </c>
      <c r="BL58" s="570"/>
      <c r="BM58" s="570"/>
      <c r="BN58" s="570"/>
      <c r="BO58" s="570"/>
      <c r="BP58" s="570"/>
      <c r="BQ58" s="570"/>
      <c r="BR58" s="570"/>
      <c r="BS58" s="570"/>
      <c r="BT58" s="570"/>
      <c r="BU58" s="570"/>
      <c r="BV58" s="570"/>
      <c r="BW58" s="570"/>
      <c r="BX58" s="570"/>
      <c r="BY58" s="570"/>
      <c r="BZ58" s="570"/>
      <c r="CA58" s="570"/>
      <c r="CB58" s="570"/>
      <c r="CC58" s="569">
        <v>1600</v>
      </c>
      <c r="CD58" s="569"/>
      <c r="CE58" s="569"/>
      <c r="CF58" s="569"/>
      <c r="CG58" s="569"/>
      <c r="CH58" s="569"/>
      <c r="CI58" s="569"/>
      <c r="CJ58" s="569"/>
      <c r="CK58" s="569"/>
      <c r="CL58" s="569"/>
      <c r="CM58" s="569"/>
      <c r="CN58" s="569"/>
      <c r="CO58" s="569"/>
      <c r="CP58" s="569"/>
      <c r="CQ58" s="569"/>
      <c r="CR58" s="569"/>
      <c r="CS58" s="569"/>
      <c r="CT58" s="569"/>
      <c r="CU58" s="569"/>
      <c r="CV58" s="562">
        <v>23461.45651</v>
      </c>
      <c r="CW58" s="563"/>
      <c r="CX58" s="563"/>
      <c r="CY58" s="563"/>
      <c r="CZ58" s="563"/>
      <c r="DA58" s="563"/>
      <c r="DB58" s="563"/>
      <c r="DC58" s="563"/>
      <c r="DD58" s="563"/>
      <c r="DE58" s="563"/>
      <c r="DF58" s="563"/>
      <c r="DG58" s="563"/>
      <c r="DH58" s="563"/>
      <c r="DI58" s="563"/>
      <c r="DJ58" s="563"/>
      <c r="DK58" s="563"/>
      <c r="DL58" s="563"/>
      <c r="DM58" s="564"/>
      <c r="DN58" s="538">
        <f t="shared" si="9"/>
        <v>25968.365208000003</v>
      </c>
      <c r="DO58" s="538"/>
      <c r="DP58" s="538"/>
      <c r="DQ58" s="538"/>
      <c r="DR58" s="538"/>
      <c r="DS58" s="538"/>
      <c r="DT58" s="538"/>
      <c r="DU58" s="538"/>
      <c r="DV58" s="538"/>
      <c r="DW58" s="538"/>
      <c r="DX58" s="538"/>
      <c r="DY58" s="538"/>
      <c r="DZ58" s="538"/>
      <c r="EA58" s="538"/>
      <c r="EB58" s="538"/>
      <c r="EC58" s="538"/>
      <c r="ED58" s="538">
        <f t="shared" si="10"/>
        <v>16230.228255</v>
      </c>
      <c r="EE58" s="538"/>
      <c r="EF58" s="538"/>
      <c r="EG58" s="538"/>
      <c r="EH58" s="538"/>
      <c r="EI58" s="538"/>
      <c r="EJ58" s="538"/>
      <c r="EK58" s="538"/>
      <c r="EL58" s="538"/>
      <c r="EM58" s="538"/>
      <c r="EN58" s="538"/>
      <c r="EO58" s="538"/>
      <c r="EP58" s="538"/>
      <c r="EQ58" s="538"/>
      <c r="ER58" s="538"/>
      <c r="ES58" s="538"/>
      <c r="ET58" s="573">
        <f t="shared" si="11"/>
        <v>9854994.5964359995</v>
      </c>
      <c r="EU58" s="573"/>
      <c r="EV58" s="573"/>
      <c r="EW58" s="573"/>
      <c r="EX58" s="573"/>
      <c r="EY58" s="573"/>
      <c r="EZ58" s="573"/>
      <c r="FA58" s="573"/>
      <c r="FB58" s="573"/>
      <c r="FC58" s="573"/>
      <c r="FD58" s="573"/>
      <c r="FE58" s="573"/>
      <c r="FF58" s="573"/>
      <c r="FG58" s="573"/>
      <c r="FH58" s="573"/>
      <c r="FI58" s="573"/>
      <c r="FJ58" s="573"/>
      <c r="FK58" s="171" t="e">
        <f>55765*14*12+#REF!</f>
        <v>#REF!</v>
      </c>
      <c r="FL58" s="60" t="e">
        <f>ET57+ET58+ET55+#REF!+#REF!</f>
        <v>#REF!</v>
      </c>
      <c r="FM58" s="60" t="e">
        <f>FL58/12/14</f>
        <v>#REF!</v>
      </c>
      <c r="FN58" s="171"/>
      <c r="FO58" s="171">
        <f>72633.39*15*12</f>
        <v>13074010.200000001</v>
      </c>
      <c r="FP58" s="60">
        <f>ET55+ET56+ET57+ET58</f>
        <v>13074010.196435999</v>
      </c>
    </row>
    <row r="59" spans="1:178" s="16" customFormat="1" ht="13.2" customHeight="1" x14ac:dyDescent="0.3">
      <c r="A59" s="571" t="s">
        <v>530</v>
      </c>
      <c r="B59" s="571"/>
      <c r="C59" s="571"/>
      <c r="D59" s="571"/>
      <c r="E59" s="571"/>
      <c r="F59" s="571"/>
      <c r="G59" s="572" t="s">
        <v>527</v>
      </c>
      <c r="H59" s="572"/>
      <c r="I59" s="572"/>
      <c r="J59" s="572"/>
      <c r="K59" s="572"/>
      <c r="L59" s="572"/>
      <c r="M59" s="572"/>
      <c r="N59" s="572"/>
      <c r="O59" s="572"/>
      <c r="P59" s="572"/>
      <c r="Q59" s="572"/>
      <c r="R59" s="572"/>
      <c r="S59" s="572"/>
      <c r="T59" s="572"/>
      <c r="U59" s="572"/>
      <c r="V59" s="572"/>
      <c r="W59" s="572"/>
      <c r="X59" s="572"/>
      <c r="Y59" s="572"/>
      <c r="Z59" s="572"/>
      <c r="AA59" s="572"/>
      <c r="AB59" s="572"/>
      <c r="AC59" s="572"/>
      <c r="AD59" s="569">
        <v>12</v>
      </c>
      <c r="AE59" s="569"/>
      <c r="AF59" s="569"/>
      <c r="AG59" s="569"/>
      <c r="AH59" s="569"/>
      <c r="AI59" s="569"/>
      <c r="AJ59" s="569"/>
      <c r="AK59" s="569"/>
      <c r="AL59" s="569"/>
      <c r="AM59" s="569"/>
      <c r="AN59" s="569"/>
      <c r="AO59" s="569"/>
      <c r="AP59" s="569"/>
      <c r="AQ59" s="569"/>
      <c r="AR59" s="569"/>
      <c r="AS59" s="569"/>
      <c r="AT59" s="538">
        <f t="shared" si="8"/>
        <v>37075.402499999997</v>
      </c>
      <c r="AU59" s="538"/>
      <c r="AV59" s="538"/>
      <c r="AW59" s="538"/>
      <c r="AX59" s="538"/>
      <c r="AY59" s="538"/>
      <c r="AZ59" s="538"/>
      <c r="BA59" s="538"/>
      <c r="BB59" s="538"/>
      <c r="BC59" s="538"/>
      <c r="BD59" s="538"/>
      <c r="BE59" s="538"/>
      <c r="BF59" s="538"/>
      <c r="BG59" s="538"/>
      <c r="BH59" s="538"/>
      <c r="BI59" s="538"/>
      <c r="BJ59" s="538"/>
      <c r="BK59" s="570">
        <v>8090</v>
      </c>
      <c r="BL59" s="570"/>
      <c r="BM59" s="570"/>
      <c r="BN59" s="570"/>
      <c r="BO59" s="570"/>
      <c r="BP59" s="570"/>
      <c r="BQ59" s="570"/>
      <c r="BR59" s="570"/>
      <c r="BS59" s="570"/>
      <c r="BT59" s="570"/>
      <c r="BU59" s="570"/>
      <c r="BV59" s="570"/>
      <c r="BW59" s="570"/>
      <c r="BX59" s="570"/>
      <c r="BY59" s="570"/>
      <c r="BZ59" s="570"/>
      <c r="CA59" s="570"/>
      <c r="CB59" s="570"/>
      <c r="CC59" s="569"/>
      <c r="CD59" s="569"/>
      <c r="CE59" s="569"/>
      <c r="CF59" s="569"/>
      <c r="CG59" s="569"/>
      <c r="CH59" s="569"/>
      <c r="CI59" s="569"/>
      <c r="CJ59" s="569"/>
      <c r="CK59" s="569"/>
      <c r="CL59" s="569"/>
      <c r="CM59" s="569"/>
      <c r="CN59" s="569"/>
      <c r="CO59" s="569"/>
      <c r="CP59" s="569"/>
      <c r="CQ59" s="569"/>
      <c r="CR59" s="569"/>
      <c r="CS59" s="569"/>
      <c r="CT59" s="569"/>
      <c r="CU59" s="569"/>
      <c r="CV59" s="562">
        <v>28985.4025</v>
      </c>
      <c r="CW59" s="563"/>
      <c r="CX59" s="563"/>
      <c r="CY59" s="563"/>
      <c r="CZ59" s="563"/>
      <c r="DA59" s="563"/>
      <c r="DB59" s="563"/>
      <c r="DC59" s="563"/>
      <c r="DD59" s="563"/>
      <c r="DE59" s="563"/>
      <c r="DF59" s="563"/>
      <c r="DG59" s="563"/>
      <c r="DH59" s="563"/>
      <c r="DI59" s="563"/>
      <c r="DJ59" s="563"/>
      <c r="DK59" s="563"/>
      <c r="DL59" s="563"/>
      <c r="DM59" s="564"/>
      <c r="DN59" s="538">
        <f t="shared" si="9"/>
        <v>29660.322</v>
      </c>
      <c r="DO59" s="538"/>
      <c r="DP59" s="538"/>
      <c r="DQ59" s="538"/>
      <c r="DR59" s="538"/>
      <c r="DS59" s="538"/>
      <c r="DT59" s="538"/>
      <c r="DU59" s="538"/>
      <c r="DV59" s="538"/>
      <c r="DW59" s="538"/>
      <c r="DX59" s="538"/>
      <c r="DY59" s="538"/>
      <c r="DZ59" s="538"/>
      <c r="EA59" s="538"/>
      <c r="EB59" s="538"/>
      <c r="EC59" s="538"/>
      <c r="ED59" s="538">
        <f t="shared" si="10"/>
        <v>18537.701249999998</v>
      </c>
      <c r="EE59" s="538"/>
      <c r="EF59" s="538"/>
      <c r="EG59" s="538"/>
      <c r="EH59" s="538"/>
      <c r="EI59" s="538"/>
      <c r="EJ59" s="538"/>
      <c r="EK59" s="538"/>
      <c r="EL59" s="538"/>
      <c r="EM59" s="538"/>
      <c r="EN59" s="538"/>
      <c r="EO59" s="538"/>
      <c r="EP59" s="538"/>
      <c r="EQ59" s="538"/>
      <c r="ER59" s="538"/>
      <c r="ES59" s="538"/>
      <c r="ET59" s="538">
        <f t="shared" si="11"/>
        <v>12279373.307999998</v>
      </c>
      <c r="EU59" s="538"/>
      <c r="EV59" s="538"/>
      <c r="EW59" s="538"/>
      <c r="EX59" s="538"/>
      <c r="EY59" s="538"/>
      <c r="EZ59" s="538"/>
      <c r="FA59" s="538"/>
      <c r="FB59" s="538"/>
      <c r="FC59" s="538"/>
      <c r="FD59" s="538"/>
      <c r="FE59" s="538"/>
      <c r="FF59" s="538"/>
      <c r="FG59" s="538"/>
      <c r="FH59" s="538"/>
      <c r="FI59" s="538"/>
      <c r="FJ59" s="538"/>
      <c r="FK59" s="171" t="s">
        <v>528</v>
      </c>
      <c r="FM59" s="16" t="s">
        <v>529</v>
      </c>
      <c r="FN59" s="171"/>
      <c r="FO59" s="171">
        <f>84075*14.5*12</f>
        <v>14629050</v>
      </c>
      <c r="FP59" s="60">
        <f>ET81+ET59+ET60+92700</f>
        <v>14629050.002039997</v>
      </c>
    </row>
    <row r="60" spans="1:178" s="16" customFormat="1" ht="30" customHeight="1" x14ac:dyDescent="0.3">
      <c r="A60" s="571" t="s">
        <v>621</v>
      </c>
      <c r="B60" s="571"/>
      <c r="C60" s="571"/>
      <c r="D60" s="571"/>
      <c r="E60" s="571"/>
      <c r="F60" s="571"/>
      <c r="G60" s="572" t="s">
        <v>531</v>
      </c>
      <c r="H60" s="572"/>
      <c r="I60" s="572"/>
      <c r="J60" s="572"/>
      <c r="K60" s="572"/>
      <c r="L60" s="572"/>
      <c r="M60" s="572"/>
      <c r="N60" s="572"/>
      <c r="O60" s="572"/>
      <c r="P60" s="572"/>
      <c r="Q60" s="572"/>
      <c r="R60" s="572"/>
      <c r="S60" s="572"/>
      <c r="T60" s="572"/>
      <c r="U60" s="572"/>
      <c r="V60" s="572"/>
      <c r="W60" s="572"/>
      <c r="X60" s="572"/>
      <c r="Y60" s="572"/>
      <c r="Z60" s="572"/>
      <c r="AA60" s="572"/>
      <c r="AB60" s="572"/>
      <c r="AC60" s="572"/>
      <c r="AD60" s="569">
        <v>2</v>
      </c>
      <c r="AE60" s="569"/>
      <c r="AF60" s="569"/>
      <c r="AG60" s="569"/>
      <c r="AH60" s="569"/>
      <c r="AI60" s="569"/>
      <c r="AJ60" s="569"/>
      <c r="AK60" s="569"/>
      <c r="AL60" s="569"/>
      <c r="AM60" s="569"/>
      <c r="AN60" s="569"/>
      <c r="AO60" s="569"/>
      <c r="AP60" s="569"/>
      <c r="AQ60" s="569"/>
      <c r="AR60" s="569"/>
      <c r="AS60" s="569"/>
      <c r="AT60" s="538">
        <f t="shared" si="8"/>
        <v>36158.763200000001</v>
      </c>
      <c r="AU60" s="538"/>
      <c r="AV60" s="538"/>
      <c r="AW60" s="538"/>
      <c r="AX60" s="538"/>
      <c r="AY60" s="538"/>
      <c r="AZ60" s="538"/>
      <c r="BA60" s="538"/>
      <c r="BB60" s="538"/>
      <c r="BC60" s="538"/>
      <c r="BD60" s="538"/>
      <c r="BE60" s="538"/>
      <c r="BF60" s="538"/>
      <c r="BG60" s="538"/>
      <c r="BH60" s="538"/>
      <c r="BI60" s="538"/>
      <c r="BJ60" s="538"/>
      <c r="BK60" s="570">
        <v>9849</v>
      </c>
      <c r="BL60" s="570"/>
      <c r="BM60" s="570"/>
      <c r="BN60" s="570"/>
      <c r="BO60" s="570"/>
      <c r="BP60" s="570"/>
      <c r="BQ60" s="570"/>
      <c r="BR60" s="570"/>
      <c r="BS60" s="570"/>
      <c r="BT60" s="570"/>
      <c r="BU60" s="570"/>
      <c r="BV60" s="570"/>
      <c r="BW60" s="570"/>
      <c r="BX60" s="570"/>
      <c r="BY60" s="570"/>
      <c r="BZ60" s="570"/>
      <c r="CA60" s="570"/>
      <c r="CB60" s="570"/>
      <c r="CC60" s="569"/>
      <c r="CD60" s="569"/>
      <c r="CE60" s="569"/>
      <c r="CF60" s="569"/>
      <c r="CG60" s="569"/>
      <c r="CH60" s="569"/>
      <c r="CI60" s="569"/>
      <c r="CJ60" s="569"/>
      <c r="CK60" s="569"/>
      <c r="CL60" s="569"/>
      <c r="CM60" s="569"/>
      <c r="CN60" s="569"/>
      <c r="CO60" s="569"/>
      <c r="CP60" s="569"/>
      <c r="CQ60" s="569"/>
      <c r="CR60" s="569"/>
      <c r="CS60" s="569"/>
      <c r="CT60" s="569"/>
      <c r="CU60" s="569"/>
      <c r="CV60" s="562">
        <v>26309.763200000001</v>
      </c>
      <c r="CW60" s="563"/>
      <c r="CX60" s="563"/>
      <c r="CY60" s="563"/>
      <c r="CZ60" s="563"/>
      <c r="DA60" s="563"/>
      <c r="DB60" s="563"/>
      <c r="DC60" s="563"/>
      <c r="DD60" s="563"/>
      <c r="DE60" s="563"/>
      <c r="DF60" s="563"/>
      <c r="DG60" s="563"/>
      <c r="DH60" s="563"/>
      <c r="DI60" s="563"/>
      <c r="DJ60" s="563"/>
      <c r="DK60" s="563"/>
      <c r="DL60" s="563"/>
      <c r="DM60" s="564"/>
      <c r="DN60" s="538">
        <f t="shared" si="9"/>
        <v>28927.010560000002</v>
      </c>
      <c r="DO60" s="538"/>
      <c r="DP60" s="538"/>
      <c r="DQ60" s="538"/>
      <c r="DR60" s="538"/>
      <c r="DS60" s="538"/>
      <c r="DT60" s="538"/>
      <c r="DU60" s="538"/>
      <c r="DV60" s="538"/>
      <c r="DW60" s="538"/>
      <c r="DX60" s="538"/>
      <c r="DY60" s="538"/>
      <c r="DZ60" s="538"/>
      <c r="EA60" s="538"/>
      <c r="EB60" s="538"/>
      <c r="EC60" s="538"/>
      <c r="ED60" s="538">
        <f t="shared" si="10"/>
        <v>18079.381600000001</v>
      </c>
      <c r="EE60" s="538"/>
      <c r="EF60" s="538"/>
      <c r="EG60" s="538"/>
      <c r="EH60" s="538"/>
      <c r="EI60" s="538"/>
      <c r="EJ60" s="538"/>
      <c r="EK60" s="538"/>
      <c r="EL60" s="538"/>
      <c r="EM60" s="538"/>
      <c r="EN60" s="538"/>
      <c r="EO60" s="538"/>
      <c r="EP60" s="538"/>
      <c r="EQ60" s="538"/>
      <c r="ER60" s="538"/>
      <c r="ES60" s="538"/>
      <c r="ET60" s="538">
        <f t="shared" si="11"/>
        <v>1995963.7286400001</v>
      </c>
      <c r="EU60" s="538"/>
      <c r="EV60" s="538"/>
      <c r="EW60" s="538"/>
      <c r="EX60" s="538"/>
      <c r="EY60" s="538"/>
      <c r="EZ60" s="538"/>
      <c r="FA60" s="538"/>
      <c r="FB60" s="538"/>
      <c r="FC60" s="538"/>
      <c r="FD60" s="538"/>
      <c r="FE60" s="538"/>
      <c r="FF60" s="538"/>
      <c r="FG60" s="538"/>
      <c r="FH60" s="538"/>
      <c r="FI60" s="538"/>
      <c r="FJ60" s="538"/>
      <c r="FK60" s="171" t="e">
        <f>55765*12.5*12+#REF!-112400</f>
        <v>#REF!</v>
      </c>
      <c r="FL60" s="60" t="e">
        <f>ET60+ET59+ET81+#REF!</f>
        <v>#REF!</v>
      </c>
      <c r="FM60" s="60" t="e">
        <f>ET59+ET60+ET81+#REF!+112400</f>
        <v>#REF!</v>
      </c>
      <c r="FN60" s="171"/>
      <c r="FO60" s="60"/>
      <c r="FP60" s="171"/>
      <c r="FV60" s="171"/>
    </row>
    <row r="61" spans="1:178" s="16" customFormat="1" ht="21" customHeight="1" x14ac:dyDescent="0.3">
      <c r="A61" s="565" t="s">
        <v>257</v>
      </c>
      <c r="B61" s="566"/>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39">
        <f>SUM(AD41:AD60)</f>
        <v>68.150000000000006</v>
      </c>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68"/>
      <c r="BL61" s="568"/>
      <c r="BM61" s="568"/>
      <c r="BN61" s="568"/>
      <c r="BO61" s="568"/>
      <c r="BP61" s="568"/>
      <c r="BQ61" s="568"/>
      <c r="BR61" s="568"/>
      <c r="BS61" s="568"/>
      <c r="BT61" s="568"/>
      <c r="BU61" s="568"/>
      <c r="BV61" s="568"/>
      <c r="BW61" s="568"/>
      <c r="BX61" s="568"/>
      <c r="BY61" s="568"/>
      <c r="BZ61" s="568"/>
      <c r="CA61" s="568"/>
      <c r="CB61" s="568"/>
      <c r="CC61" s="539"/>
      <c r="CD61" s="539"/>
      <c r="CE61" s="539"/>
      <c r="CF61" s="539"/>
      <c r="CG61" s="539"/>
      <c r="CH61" s="539"/>
      <c r="CI61" s="539"/>
      <c r="CJ61" s="539"/>
      <c r="CK61" s="539"/>
      <c r="CL61" s="539"/>
      <c r="CM61" s="539"/>
      <c r="CN61" s="539"/>
      <c r="CO61" s="539"/>
      <c r="CP61" s="539"/>
      <c r="CQ61" s="539"/>
      <c r="CR61" s="539"/>
      <c r="CS61" s="539"/>
      <c r="CT61" s="539"/>
      <c r="CU61" s="539"/>
      <c r="CV61" s="540"/>
      <c r="CW61" s="540"/>
      <c r="CX61" s="540"/>
      <c r="CY61" s="540"/>
      <c r="CZ61" s="540"/>
      <c r="DA61" s="540"/>
      <c r="DB61" s="540"/>
      <c r="DC61" s="540"/>
      <c r="DD61" s="540"/>
      <c r="DE61" s="540"/>
      <c r="DF61" s="540"/>
      <c r="DG61" s="540"/>
      <c r="DH61" s="540"/>
      <c r="DI61" s="540"/>
      <c r="DJ61" s="540"/>
      <c r="DK61" s="540"/>
      <c r="DL61" s="540"/>
      <c r="DM61" s="540"/>
      <c r="DN61" s="540"/>
      <c r="DO61" s="540"/>
      <c r="DP61" s="540"/>
      <c r="DQ61" s="540"/>
      <c r="DR61" s="540"/>
      <c r="DS61" s="540"/>
      <c r="DT61" s="540"/>
      <c r="DU61" s="540"/>
      <c r="DV61" s="540"/>
      <c r="DW61" s="540"/>
      <c r="DX61" s="540"/>
      <c r="DY61" s="540"/>
      <c r="DZ61" s="540"/>
      <c r="EA61" s="540"/>
      <c r="EB61" s="540"/>
      <c r="EC61" s="540"/>
      <c r="ED61" s="540"/>
      <c r="EE61" s="540"/>
      <c r="EF61" s="540"/>
      <c r="EG61" s="540"/>
      <c r="EH61" s="540"/>
      <c r="EI61" s="540"/>
      <c r="EJ61" s="540"/>
      <c r="EK61" s="540"/>
      <c r="EL61" s="540"/>
      <c r="EM61" s="540"/>
      <c r="EN61" s="540"/>
      <c r="EO61" s="540"/>
      <c r="EP61" s="540"/>
      <c r="EQ61" s="540"/>
      <c r="ER61" s="540"/>
      <c r="ES61" s="540"/>
      <c r="ET61" s="540">
        <f>SUM(ET41:FJ60)</f>
        <v>64486676.690857194</v>
      </c>
      <c r="EU61" s="540"/>
      <c r="EV61" s="540"/>
      <c r="EW61" s="540"/>
      <c r="EX61" s="540"/>
      <c r="EY61" s="540"/>
      <c r="EZ61" s="540"/>
      <c r="FA61" s="540"/>
      <c r="FB61" s="540"/>
      <c r="FC61" s="540"/>
      <c r="FD61" s="540"/>
      <c r="FE61" s="540"/>
      <c r="FF61" s="540"/>
      <c r="FG61" s="540"/>
      <c r="FH61" s="540"/>
      <c r="FI61" s="540"/>
      <c r="FJ61" s="540"/>
      <c r="FK61" s="171" t="s">
        <v>504</v>
      </c>
      <c r="FL61" s="16" t="s">
        <v>512</v>
      </c>
      <c r="FM61" s="171" t="e">
        <f>FM60/12.5/12</f>
        <v>#REF!</v>
      </c>
      <c r="FN61" s="171"/>
    </row>
    <row r="62" spans="1:178" s="16" customFormat="1" x14ac:dyDescent="0.25">
      <c r="A62" s="607" t="s">
        <v>56</v>
      </c>
      <c r="B62" s="608"/>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9"/>
      <c r="AD62" s="560">
        <f>AD30+AD39+AD61</f>
        <v>94.5</v>
      </c>
      <c r="AE62" s="560"/>
      <c r="AF62" s="560"/>
      <c r="AG62" s="560"/>
      <c r="AH62" s="560"/>
      <c r="AI62" s="560"/>
      <c r="AJ62" s="560"/>
      <c r="AK62" s="560"/>
      <c r="AL62" s="560"/>
      <c r="AM62" s="560"/>
      <c r="AN62" s="560"/>
      <c r="AO62" s="560"/>
      <c r="AP62" s="560"/>
      <c r="AQ62" s="560"/>
      <c r="AR62" s="560"/>
      <c r="AS62" s="560"/>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c r="CA62" s="582"/>
      <c r="CB62" s="582"/>
      <c r="CC62" s="582"/>
      <c r="CD62" s="582"/>
      <c r="CE62" s="582"/>
      <c r="CF62" s="582"/>
      <c r="CG62" s="582"/>
      <c r="CH62" s="582"/>
      <c r="CI62" s="582"/>
      <c r="CJ62" s="582"/>
      <c r="CK62" s="582"/>
      <c r="CL62" s="582"/>
      <c r="CM62" s="582"/>
      <c r="CN62" s="582"/>
      <c r="CO62" s="582"/>
      <c r="CP62" s="582"/>
      <c r="CQ62" s="582"/>
      <c r="CR62" s="582"/>
      <c r="CS62" s="582"/>
      <c r="CT62" s="582"/>
      <c r="CU62" s="582"/>
      <c r="CV62" s="582"/>
      <c r="CW62" s="582"/>
      <c r="CX62" s="582"/>
      <c r="CY62" s="582"/>
      <c r="CZ62" s="582"/>
      <c r="DA62" s="582"/>
      <c r="DB62" s="582"/>
      <c r="DC62" s="582"/>
      <c r="DD62" s="582"/>
      <c r="DE62" s="582"/>
      <c r="DF62" s="582"/>
      <c r="DG62" s="582"/>
      <c r="DH62" s="582"/>
      <c r="DI62" s="582"/>
      <c r="DJ62" s="582"/>
      <c r="DK62" s="582"/>
      <c r="DL62" s="582"/>
      <c r="DM62" s="582"/>
      <c r="DN62" s="582"/>
      <c r="DO62" s="582"/>
      <c r="DP62" s="582"/>
      <c r="DQ62" s="582"/>
      <c r="DR62" s="582"/>
      <c r="DS62" s="582"/>
      <c r="DT62" s="582"/>
      <c r="DU62" s="582"/>
      <c r="DV62" s="582"/>
      <c r="DW62" s="582"/>
      <c r="DX62" s="582"/>
      <c r="DY62" s="582"/>
      <c r="DZ62" s="582"/>
      <c r="EA62" s="582"/>
      <c r="EB62" s="582"/>
      <c r="EC62" s="582"/>
      <c r="ED62" s="582"/>
      <c r="EE62" s="582"/>
      <c r="EF62" s="582"/>
      <c r="EG62" s="582"/>
      <c r="EH62" s="582"/>
      <c r="EI62" s="582"/>
      <c r="EJ62" s="582"/>
      <c r="EK62" s="582"/>
      <c r="EL62" s="582"/>
      <c r="EM62" s="582"/>
      <c r="EN62" s="582"/>
      <c r="EO62" s="582"/>
      <c r="EP62" s="582"/>
      <c r="EQ62" s="582"/>
      <c r="ER62" s="582"/>
      <c r="ES62" s="582"/>
      <c r="ET62" s="611">
        <f>ET30+ET39+ET61</f>
        <v>85907287.250073195</v>
      </c>
      <c r="EU62" s="560"/>
      <c r="EV62" s="560"/>
      <c r="EW62" s="560"/>
      <c r="EX62" s="560"/>
      <c r="EY62" s="560"/>
      <c r="EZ62" s="560"/>
      <c r="FA62" s="560"/>
      <c r="FB62" s="560"/>
      <c r="FC62" s="560"/>
      <c r="FD62" s="560"/>
      <c r="FE62" s="560"/>
      <c r="FF62" s="560"/>
      <c r="FG62" s="560"/>
      <c r="FH62" s="560"/>
      <c r="FI62" s="560"/>
      <c r="FJ62" s="560"/>
      <c r="FK62" s="171">
        <f>57429116.59+263960.18+134802.5+0.03</f>
        <v>57827879.300000004</v>
      </c>
      <c r="FN62" s="152"/>
    </row>
    <row r="63" spans="1:178" x14ac:dyDescent="0.25">
      <c r="ET63" s="610">
        <v>85907287.25</v>
      </c>
      <c r="EU63" s="539"/>
      <c r="EV63" s="539"/>
      <c r="EW63" s="539"/>
      <c r="EX63" s="539"/>
      <c r="EY63" s="539"/>
      <c r="EZ63" s="539"/>
      <c r="FA63" s="539"/>
      <c r="FB63" s="539"/>
      <c r="FC63" s="539"/>
      <c r="FD63" s="539"/>
      <c r="FE63" s="539"/>
      <c r="FF63" s="539"/>
      <c r="FG63" s="539"/>
      <c r="FH63" s="539"/>
      <c r="FI63" s="539"/>
      <c r="FJ63" s="539"/>
      <c r="FN63" s="176"/>
      <c r="FO63" s="177"/>
    </row>
    <row r="64" spans="1:178" s="20" customFormat="1" ht="13.8" x14ac:dyDescent="0.25">
      <c r="A64" s="20" t="s">
        <v>47</v>
      </c>
      <c r="AC64" s="595" t="s">
        <v>466</v>
      </c>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595"/>
      <c r="CR64" s="595"/>
      <c r="CS64" s="595"/>
      <c r="CT64" s="595"/>
      <c r="CU64" s="595"/>
      <c r="CV64" s="595"/>
      <c r="CW64" s="595"/>
      <c r="CX64" s="595"/>
      <c r="CY64" s="595"/>
      <c r="CZ64" s="595"/>
      <c r="DA64" s="595"/>
      <c r="DB64" s="595"/>
      <c r="DC64" s="595"/>
      <c r="DD64" s="595"/>
      <c r="DE64" s="595"/>
      <c r="DF64" s="595"/>
      <c r="DG64" s="595"/>
      <c r="DH64" s="595"/>
      <c r="DI64" s="595"/>
      <c r="DJ64" s="595"/>
      <c r="DK64" s="595"/>
      <c r="DL64" s="595"/>
      <c r="DM64" s="595"/>
      <c r="DN64" s="595"/>
      <c r="DO64" s="595"/>
      <c r="DP64" s="595"/>
      <c r="DQ64" s="595"/>
      <c r="DR64" s="595"/>
      <c r="DS64" s="595"/>
      <c r="DT64" s="595"/>
      <c r="DU64" s="595"/>
      <c r="DV64" s="595"/>
      <c r="DW64" s="595"/>
      <c r="DX64" s="595"/>
      <c r="DY64" s="595"/>
      <c r="DZ64" s="595"/>
      <c r="EA64" s="595"/>
      <c r="EB64" s="595"/>
      <c r="EC64" s="595"/>
      <c r="ED64" s="595"/>
      <c r="EE64" s="595"/>
      <c r="EF64" s="595"/>
      <c r="EG64" s="595"/>
      <c r="EH64" s="595"/>
      <c r="EI64" s="595"/>
      <c r="EJ64" s="595"/>
      <c r="EK64" s="595"/>
      <c r="EL64" s="595"/>
      <c r="EM64" s="595"/>
      <c r="EN64" s="595"/>
      <c r="EO64" s="595"/>
      <c r="EP64" s="595"/>
      <c r="EQ64" s="595"/>
      <c r="ER64" s="595"/>
      <c r="ES64" s="595"/>
      <c r="ET64" s="595"/>
      <c r="EU64" s="595"/>
      <c r="EV64" s="595"/>
      <c r="EW64" s="595"/>
      <c r="EX64" s="595"/>
      <c r="EY64" s="595"/>
      <c r="EZ64" s="595"/>
      <c r="FA64" s="595"/>
      <c r="FB64" s="595"/>
      <c r="FC64" s="595"/>
      <c r="FD64" s="595"/>
      <c r="FE64" s="595"/>
      <c r="FF64" s="595"/>
      <c r="FG64" s="595"/>
      <c r="FH64" s="595"/>
      <c r="FI64" s="595"/>
      <c r="FJ64" s="595"/>
      <c r="FK64" s="13" t="s">
        <v>532</v>
      </c>
      <c r="FL64" s="154"/>
      <c r="FN64" s="154"/>
    </row>
    <row r="65" spans="1:170" customFormat="1" ht="14.4" x14ac:dyDescent="0.3">
      <c r="FN65" s="155"/>
    </row>
    <row r="66" spans="1:170" s="20" customFormat="1" ht="13.8" x14ac:dyDescent="0.25">
      <c r="A66" s="594" t="s">
        <v>48</v>
      </c>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6" t="s">
        <v>533</v>
      </c>
      <c r="AV66" s="596"/>
      <c r="AW66" s="596"/>
      <c r="AX66" s="596"/>
      <c r="AY66" s="596"/>
      <c r="AZ66" s="596"/>
      <c r="BA66" s="596"/>
      <c r="BB66" s="596"/>
      <c r="BC66" s="596"/>
      <c r="BD66" s="596"/>
      <c r="BE66" s="596"/>
      <c r="BF66" s="596"/>
      <c r="BG66" s="596"/>
      <c r="BH66" s="596"/>
      <c r="BI66" s="596"/>
      <c r="BJ66" s="596"/>
      <c r="BK66" s="596"/>
      <c r="BL66" s="596"/>
      <c r="BM66" s="596"/>
      <c r="BN66" s="596"/>
      <c r="BO66" s="596"/>
      <c r="BP66" s="596"/>
      <c r="BQ66" s="596"/>
      <c r="BR66" s="596"/>
      <c r="BS66" s="596"/>
      <c r="BT66" s="596"/>
      <c r="BU66" s="596"/>
      <c r="BV66" s="596"/>
      <c r="BW66" s="596"/>
      <c r="BX66" s="596"/>
      <c r="BY66" s="596"/>
      <c r="BZ66" s="596"/>
      <c r="CA66" s="596"/>
      <c r="CB66" s="596"/>
      <c r="CC66" s="596"/>
      <c r="CD66" s="596"/>
      <c r="CE66" s="596"/>
      <c r="CF66" s="596"/>
      <c r="CG66" s="596"/>
      <c r="CH66" s="596"/>
      <c r="CI66" s="596"/>
      <c r="CJ66" s="596"/>
      <c r="CK66" s="596"/>
      <c r="CL66" s="596"/>
      <c r="CM66" s="596"/>
      <c r="CN66" s="596"/>
      <c r="CO66" s="596"/>
      <c r="CP66" s="596"/>
      <c r="CQ66" s="596"/>
      <c r="CR66" s="596"/>
      <c r="CS66" s="596"/>
      <c r="CT66" s="596"/>
      <c r="CU66" s="596"/>
      <c r="CV66" s="596"/>
      <c r="CW66" s="596"/>
      <c r="CX66" s="596"/>
      <c r="CY66" s="596"/>
      <c r="CZ66" s="596"/>
      <c r="DA66" s="596"/>
      <c r="DB66" s="596"/>
      <c r="DC66" s="596"/>
      <c r="DD66" s="596"/>
      <c r="DE66" s="596"/>
      <c r="DF66" s="596"/>
      <c r="DG66" s="596"/>
      <c r="DH66" s="596"/>
      <c r="DI66" s="596"/>
      <c r="DJ66" s="596"/>
      <c r="DK66" s="596"/>
      <c r="DL66" s="596"/>
      <c r="DM66" s="596"/>
      <c r="DN66" s="596"/>
      <c r="DO66" s="596"/>
      <c r="DP66" s="596"/>
      <c r="DQ66" s="596"/>
      <c r="DR66" s="596"/>
      <c r="DS66" s="596"/>
      <c r="DT66" s="596"/>
      <c r="DU66" s="596"/>
      <c r="DV66" s="596"/>
      <c r="DW66" s="596"/>
      <c r="DX66" s="596"/>
      <c r="DY66" s="596"/>
      <c r="DZ66" s="596"/>
      <c r="EA66" s="596"/>
      <c r="EB66" s="596"/>
      <c r="EC66" s="596"/>
      <c r="ED66" s="596"/>
      <c r="EE66" s="596"/>
      <c r="EF66" s="596"/>
      <c r="EG66" s="596"/>
      <c r="EH66" s="596"/>
      <c r="EI66" s="596"/>
      <c r="EJ66" s="596"/>
      <c r="EK66" s="596"/>
      <c r="EL66" s="596"/>
      <c r="EM66" s="596"/>
      <c r="EN66" s="596"/>
      <c r="EO66" s="596"/>
      <c r="EP66" s="596"/>
      <c r="EQ66" s="596"/>
      <c r="ER66" s="596"/>
      <c r="ES66" s="596"/>
      <c r="ET66" s="596"/>
      <c r="EU66" s="596"/>
      <c r="EV66" s="596"/>
      <c r="EW66" s="596"/>
      <c r="EX66" s="596"/>
      <c r="EY66" s="596"/>
      <c r="EZ66" s="596"/>
      <c r="FA66" s="596"/>
      <c r="FB66" s="596"/>
      <c r="FC66" s="596"/>
      <c r="FD66" s="596"/>
      <c r="FE66" s="596"/>
      <c r="FF66" s="596"/>
      <c r="FG66" s="596"/>
      <c r="FH66" s="596"/>
      <c r="FI66" s="596"/>
      <c r="FJ66" s="596"/>
      <c r="FL66" s="154"/>
      <c r="FN66" s="154"/>
    </row>
    <row r="69" spans="1:170" s="18" customFormat="1" ht="12.75" customHeight="1" x14ac:dyDescent="0.3">
      <c r="A69" s="597" t="s">
        <v>49</v>
      </c>
      <c r="B69" s="598"/>
      <c r="C69" s="598"/>
      <c r="D69" s="598"/>
      <c r="E69" s="598"/>
      <c r="F69" s="599"/>
      <c r="G69" s="597" t="s">
        <v>251</v>
      </c>
      <c r="H69" s="598"/>
      <c r="I69" s="598"/>
      <c r="J69" s="598"/>
      <c r="K69" s="598"/>
      <c r="L69" s="598"/>
      <c r="M69" s="598"/>
      <c r="N69" s="598"/>
      <c r="O69" s="598"/>
      <c r="P69" s="598"/>
      <c r="Q69" s="598"/>
      <c r="R69" s="598"/>
      <c r="S69" s="598"/>
      <c r="T69" s="598"/>
      <c r="U69" s="598"/>
      <c r="V69" s="598"/>
      <c r="W69" s="598"/>
      <c r="X69" s="598"/>
      <c r="Y69" s="598"/>
      <c r="Z69" s="598"/>
      <c r="AA69" s="598"/>
      <c r="AB69" s="598"/>
      <c r="AC69" s="599"/>
      <c r="AD69" s="597" t="s">
        <v>50</v>
      </c>
      <c r="AE69" s="598"/>
      <c r="AF69" s="598"/>
      <c r="AG69" s="598"/>
      <c r="AH69" s="598"/>
      <c r="AI69" s="598"/>
      <c r="AJ69" s="598"/>
      <c r="AK69" s="598"/>
      <c r="AL69" s="598"/>
      <c r="AM69" s="598"/>
      <c r="AN69" s="598"/>
      <c r="AO69" s="598"/>
      <c r="AP69" s="598"/>
      <c r="AQ69" s="598"/>
      <c r="AR69" s="598"/>
      <c r="AS69" s="599"/>
      <c r="AT69" s="475" t="s">
        <v>51</v>
      </c>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c r="DK69" s="476"/>
      <c r="DL69" s="476"/>
      <c r="DM69" s="477"/>
      <c r="DN69" s="597" t="s">
        <v>52</v>
      </c>
      <c r="DO69" s="598"/>
      <c r="DP69" s="598"/>
      <c r="DQ69" s="598"/>
      <c r="DR69" s="598"/>
      <c r="DS69" s="598"/>
      <c r="DT69" s="598"/>
      <c r="DU69" s="598"/>
      <c r="DV69" s="598"/>
      <c r="DW69" s="598"/>
      <c r="DX69" s="598"/>
      <c r="DY69" s="598"/>
      <c r="DZ69" s="598"/>
      <c r="EA69" s="598"/>
      <c r="EB69" s="598"/>
      <c r="EC69" s="599"/>
      <c r="ED69" s="597" t="s">
        <v>100</v>
      </c>
      <c r="EE69" s="598"/>
      <c r="EF69" s="598"/>
      <c r="EG69" s="598"/>
      <c r="EH69" s="598"/>
      <c r="EI69" s="598"/>
      <c r="EJ69" s="598"/>
      <c r="EK69" s="598"/>
      <c r="EL69" s="598"/>
      <c r="EM69" s="598"/>
      <c r="EN69" s="598"/>
      <c r="EO69" s="598"/>
      <c r="EP69" s="598"/>
      <c r="EQ69" s="598"/>
      <c r="ER69" s="598"/>
      <c r="ES69" s="599"/>
      <c r="ET69" s="597" t="s">
        <v>101</v>
      </c>
      <c r="EU69" s="598"/>
      <c r="EV69" s="598"/>
      <c r="EW69" s="598"/>
      <c r="EX69" s="598"/>
      <c r="EY69" s="598"/>
      <c r="EZ69" s="598"/>
      <c r="FA69" s="598"/>
      <c r="FB69" s="598"/>
      <c r="FC69" s="598"/>
      <c r="FD69" s="598"/>
      <c r="FE69" s="598"/>
      <c r="FF69" s="598"/>
      <c r="FG69" s="598"/>
      <c r="FH69" s="598"/>
      <c r="FI69" s="598"/>
      <c r="FJ69" s="599"/>
      <c r="FN69" s="178"/>
    </row>
    <row r="70" spans="1:170" s="18" customFormat="1" ht="24.9" customHeight="1" x14ac:dyDescent="0.3">
      <c r="A70" s="600"/>
      <c r="B70" s="601"/>
      <c r="C70" s="601"/>
      <c r="D70" s="601"/>
      <c r="E70" s="601"/>
      <c r="F70" s="602"/>
      <c r="G70" s="600"/>
      <c r="H70" s="601"/>
      <c r="I70" s="601"/>
      <c r="J70" s="601"/>
      <c r="K70" s="601"/>
      <c r="L70" s="601"/>
      <c r="M70" s="601"/>
      <c r="N70" s="601"/>
      <c r="O70" s="601"/>
      <c r="P70" s="601"/>
      <c r="Q70" s="601"/>
      <c r="R70" s="601"/>
      <c r="S70" s="601"/>
      <c r="T70" s="601"/>
      <c r="U70" s="601"/>
      <c r="V70" s="601"/>
      <c r="W70" s="601"/>
      <c r="X70" s="601"/>
      <c r="Y70" s="601"/>
      <c r="Z70" s="601"/>
      <c r="AA70" s="601"/>
      <c r="AB70" s="601"/>
      <c r="AC70" s="602"/>
      <c r="AD70" s="600"/>
      <c r="AE70" s="601"/>
      <c r="AF70" s="601"/>
      <c r="AG70" s="601"/>
      <c r="AH70" s="601"/>
      <c r="AI70" s="601"/>
      <c r="AJ70" s="601"/>
      <c r="AK70" s="601"/>
      <c r="AL70" s="601"/>
      <c r="AM70" s="601"/>
      <c r="AN70" s="601"/>
      <c r="AO70" s="601"/>
      <c r="AP70" s="601"/>
      <c r="AQ70" s="601"/>
      <c r="AR70" s="601"/>
      <c r="AS70" s="602"/>
      <c r="AT70" s="597" t="s">
        <v>2</v>
      </c>
      <c r="AU70" s="598"/>
      <c r="AV70" s="598"/>
      <c r="AW70" s="598"/>
      <c r="AX70" s="598"/>
      <c r="AY70" s="598"/>
      <c r="AZ70" s="598"/>
      <c r="BA70" s="598"/>
      <c r="BB70" s="598"/>
      <c r="BC70" s="598"/>
      <c r="BD70" s="598"/>
      <c r="BE70" s="598"/>
      <c r="BF70" s="598"/>
      <c r="BG70" s="598"/>
      <c r="BH70" s="598"/>
      <c r="BI70" s="598"/>
      <c r="BJ70" s="599"/>
      <c r="BK70" s="475" t="s">
        <v>3</v>
      </c>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c r="DK70" s="476"/>
      <c r="DL70" s="476"/>
      <c r="DM70" s="477"/>
      <c r="DN70" s="600"/>
      <c r="DO70" s="601"/>
      <c r="DP70" s="601"/>
      <c r="DQ70" s="601"/>
      <c r="DR70" s="601"/>
      <c r="DS70" s="601"/>
      <c r="DT70" s="601"/>
      <c r="DU70" s="601"/>
      <c r="DV70" s="601"/>
      <c r="DW70" s="601"/>
      <c r="DX70" s="601"/>
      <c r="DY70" s="601"/>
      <c r="DZ70" s="601"/>
      <c r="EA70" s="601"/>
      <c r="EB70" s="601"/>
      <c r="EC70" s="602"/>
      <c r="ED70" s="600"/>
      <c r="EE70" s="601"/>
      <c r="EF70" s="601"/>
      <c r="EG70" s="601"/>
      <c r="EH70" s="601"/>
      <c r="EI70" s="601"/>
      <c r="EJ70" s="601"/>
      <c r="EK70" s="601"/>
      <c r="EL70" s="601"/>
      <c r="EM70" s="601"/>
      <c r="EN70" s="601"/>
      <c r="EO70" s="601"/>
      <c r="EP70" s="601"/>
      <c r="EQ70" s="601"/>
      <c r="ER70" s="601"/>
      <c r="ES70" s="602"/>
      <c r="ET70" s="600"/>
      <c r="EU70" s="601"/>
      <c r="EV70" s="601"/>
      <c r="EW70" s="601"/>
      <c r="EX70" s="601"/>
      <c r="EY70" s="601"/>
      <c r="EZ70" s="601"/>
      <c r="FA70" s="601"/>
      <c r="FB70" s="601"/>
      <c r="FC70" s="601"/>
      <c r="FD70" s="601"/>
      <c r="FE70" s="601"/>
      <c r="FF70" s="601"/>
      <c r="FG70" s="601"/>
      <c r="FH70" s="601"/>
      <c r="FI70" s="601"/>
      <c r="FJ70" s="602"/>
      <c r="FN70" s="178"/>
    </row>
    <row r="71" spans="1:170" s="18" customFormat="1" ht="45.75" customHeight="1" x14ac:dyDescent="0.3">
      <c r="A71" s="603"/>
      <c r="B71" s="604"/>
      <c r="C71" s="604"/>
      <c r="D71" s="604"/>
      <c r="E71" s="604"/>
      <c r="F71" s="605"/>
      <c r="G71" s="603"/>
      <c r="H71" s="604"/>
      <c r="I71" s="604"/>
      <c r="J71" s="604"/>
      <c r="K71" s="604"/>
      <c r="L71" s="604"/>
      <c r="M71" s="604"/>
      <c r="N71" s="604"/>
      <c r="O71" s="604"/>
      <c r="P71" s="604"/>
      <c r="Q71" s="604"/>
      <c r="R71" s="604"/>
      <c r="S71" s="604"/>
      <c r="T71" s="604"/>
      <c r="U71" s="604"/>
      <c r="V71" s="604"/>
      <c r="W71" s="604"/>
      <c r="X71" s="604"/>
      <c r="Y71" s="604"/>
      <c r="Z71" s="604"/>
      <c r="AA71" s="604"/>
      <c r="AB71" s="604"/>
      <c r="AC71" s="605"/>
      <c r="AD71" s="603"/>
      <c r="AE71" s="604"/>
      <c r="AF71" s="604"/>
      <c r="AG71" s="604"/>
      <c r="AH71" s="604"/>
      <c r="AI71" s="604"/>
      <c r="AJ71" s="604"/>
      <c r="AK71" s="604"/>
      <c r="AL71" s="604"/>
      <c r="AM71" s="604"/>
      <c r="AN71" s="604"/>
      <c r="AO71" s="604"/>
      <c r="AP71" s="604"/>
      <c r="AQ71" s="604"/>
      <c r="AR71" s="604"/>
      <c r="AS71" s="605"/>
      <c r="AT71" s="603"/>
      <c r="AU71" s="604"/>
      <c r="AV71" s="604"/>
      <c r="AW71" s="604"/>
      <c r="AX71" s="604"/>
      <c r="AY71" s="604"/>
      <c r="AZ71" s="604"/>
      <c r="BA71" s="604"/>
      <c r="BB71" s="604"/>
      <c r="BC71" s="604"/>
      <c r="BD71" s="604"/>
      <c r="BE71" s="604"/>
      <c r="BF71" s="604"/>
      <c r="BG71" s="604"/>
      <c r="BH71" s="604"/>
      <c r="BI71" s="604"/>
      <c r="BJ71" s="605"/>
      <c r="BK71" s="606" t="s">
        <v>53</v>
      </c>
      <c r="BL71" s="606"/>
      <c r="BM71" s="606"/>
      <c r="BN71" s="606"/>
      <c r="BO71" s="606"/>
      <c r="BP71" s="606"/>
      <c r="BQ71" s="606"/>
      <c r="BR71" s="606"/>
      <c r="BS71" s="606"/>
      <c r="BT71" s="606"/>
      <c r="BU71" s="606"/>
      <c r="BV71" s="606"/>
      <c r="BW71" s="606"/>
      <c r="BX71" s="606"/>
      <c r="BY71" s="606"/>
      <c r="BZ71" s="606"/>
      <c r="CA71" s="606"/>
      <c r="CB71" s="606"/>
      <c r="CC71" s="606" t="s">
        <v>54</v>
      </c>
      <c r="CD71" s="606"/>
      <c r="CE71" s="606"/>
      <c r="CF71" s="606"/>
      <c r="CG71" s="606"/>
      <c r="CH71" s="606"/>
      <c r="CI71" s="606"/>
      <c r="CJ71" s="606"/>
      <c r="CK71" s="606"/>
      <c r="CL71" s="606"/>
      <c r="CM71" s="606"/>
      <c r="CN71" s="606"/>
      <c r="CO71" s="606"/>
      <c r="CP71" s="606"/>
      <c r="CQ71" s="606"/>
      <c r="CR71" s="606"/>
      <c r="CS71" s="606"/>
      <c r="CT71" s="606"/>
      <c r="CU71" s="606"/>
      <c r="CV71" s="606" t="s">
        <v>55</v>
      </c>
      <c r="CW71" s="606"/>
      <c r="CX71" s="606"/>
      <c r="CY71" s="606"/>
      <c r="CZ71" s="606"/>
      <c r="DA71" s="606"/>
      <c r="DB71" s="606"/>
      <c r="DC71" s="606"/>
      <c r="DD71" s="606"/>
      <c r="DE71" s="606"/>
      <c r="DF71" s="606"/>
      <c r="DG71" s="606"/>
      <c r="DH71" s="606"/>
      <c r="DI71" s="606"/>
      <c r="DJ71" s="606"/>
      <c r="DK71" s="606"/>
      <c r="DL71" s="606"/>
      <c r="DM71" s="606"/>
      <c r="DN71" s="603"/>
      <c r="DO71" s="604"/>
      <c r="DP71" s="604"/>
      <c r="DQ71" s="604"/>
      <c r="DR71" s="604"/>
      <c r="DS71" s="604"/>
      <c r="DT71" s="604"/>
      <c r="DU71" s="604"/>
      <c r="DV71" s="604"/>
      <c r="DW71" s="604"/>
      <c r="DX71" s="604"/>
      <c r="DY71" s="604"/>
      <c r="DZ71" s="604"/>
      <c r="EA71" s="604"/>
      <c r="EB71" s="604"/>
      <c r="EC71" s="605"/>
      <c r="ED71" s="603"/>
      <c r="EE71" s="604"/>
      <c r="EF71" s="604"/>
      <c r="EG71" s="604"/>
      <c r="EH71" s="604"/>
      <c r="EI71" s="604"/>
      <c r="EJ71" s="604"/>
      <c r="EK71" s="604"/>
      <c r="EL71" s="604"/>
      <c r="EM71" s="604"/>
      <c r="EN71" s="604"/>
      <c r="EO71" s="604"/>
      <c r="EP71" s="604"/>
      <c r="EQ71" s="604"/>
      <c r="ER71" s="604"/>
      <c r="ES71" s="605"/>
      <c r="ET71" s="603"/>
      <c r="EU71" s="604"/>
      <c r="EV71" s="604"/>
      <c r="EW71" s="604"/>
      <c r="EX71" s="604"/>
      <c r="EY71" s="604"/>
      <c r="EZ71" s="604"/>
      <c r="FA71" s="604"/>
      <c r="FB71" s="604"/>
      <c r="FC71" s="604"/>
      <c r="FD71" s="604"/>
      <c r="FE71" s="604"/>
      <c r="FF71" s="604"/>
      <c r="FG71" s="604"/>
      <c r="FH71" s="604"/>
      <c r="FI71" s="604"/>
      <c r="FJ71" s="605"/>
      <c r="FN71" s="178"/>
    </row>
    <row r="72" spans="1:170" s="15" customFormat="1" x14ac:dyDescent="0.3">
      <c r="A72" s="591">
        <v>1</v>
      </c>
      <c r="B72" s="591"/>
      <c r="C72" s="591"/>
      <c r="D72" s="591"/>
      <c r="E72" s="591"/>
      <c r="F72" s="591"/>
      <c r="G72" s="591">
        <v>2</v>
      </c>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v>3</v>
      </c>
      <c r="AE72" s="591"/>
      <c r="AF72" s="591"/>
      <c r="AG72" s="591"/>
      <c r="AH72" s="591"/>
      <c r="AI72" s="591"/>
      <c r="AJ72" s="591"/>
      <c r="AK72" s="591"/>
      <c r="AL72" s="591"/>
      <c r="AM72" s="591"/>
      <c r="AN72" s="591"/>
      <c r="AO72" s="591"/>
      <c r="AP72" s="591"/>
      <c r="AQ72" s="591"/>
      <c r="AR72" s="591"/>
      <c r="AS72" s="591"/>
      <c r="AT72" s="591">
        <v>4</v>
      </c>
      <c r="AU72" s="591"/>
      <c r="AV72" s="591"/>
      <c r="AW72" s="591"/>
      <c r="AX72" s="591"/>
      <c r="AY72" s="591"/>
      <c r="AZ72" s="591"/>
      <c r="BA72" s="591"/>
      <c r="BB72" s="591"/>
      <c r="BC72" s="591"/>
      <c r="BD72" s="591"/>
      <c r="BE72" s="591"/>
      <c r="BF72" s="591"/>
      <c r="BG72" s="591"/>
      <c r="BH72" s="591"/>
      <c r="BI72" s="591"/>
      <c r="BJ72" s="591"/>
      <c r="BK72" s="591">
        <v>5</v>
      </c>
      <c r="BL72" s="591"/>
      <c r="BM72" s="591"/>
      <c r="BN72" s="591"/>
      <c r="BO72" s="591"/>
      <c r="BP72" s="591"/>
      <c r="BQ72" s="591"/>
      <c r="BR72" s="591"/>
      <c r="BS72" s="591"/>
      <c r="BT72" s="591"/>
      <c r="BU72" s="591"/>
      <c r="BV72" s="591"/>
      <c r="BW72" s="591"/>
      <c r="BX72" s="591"/>
      <c r="BY72" s="591"/>
      <c r="BZ72" s="591"/>
      <c r="CA72" s="591"/>
      <c r="CB72" s="591"/>
      <c r="CC72" s="591">
        <v>6</v>
      </c>
      <c r="CD72" s="591"/>
      <c r="CE72" s="591"/>
      <c r="CF72" s="591"/>
      <c r="CG72" s="591"/>
      <c r="CH72" s="591"/>
      <c r="CI72" s="591"/>
      <c r="CJ72" s="591"/>
      <c r="CK72" s="591"/>
      <c r="CL72" s="591"/>
      <c r="CM72" s="591"/>
      <c r="CN72" s="591"/>
      <c r="CO72" s="591"/>
      <c r="CP72" s="591"/>
      <c r="CQ72" s="591"/>
      <c r="CR72" s="591"/>
      <c r="CS72" s="591"/>
      <c r="CT72" s="591"/>
      <c r="CU72" s="591"/>
      <c r="CV72" s="591">
        <v>7</v>
      </c>
      <c r="CW72" s="591"/>
      <c r="CX72" s="591"/>
      <c r="CY72" s="591"/>
      <c r="CZ72" s="591"/>
      <c r="DA72" s="591"/>
      <c r="DB72" s="591"/>
      <c r="DC72" s="591"/>
      <c r="DD72" s="591"/>
      <c r="DE72" s="591"/>
      <c r="DF72" s="591"/>
      <c r="DG72" s="591"/>
      <c r="DH72" s="591"/>
      <c r="DI72" s="591"/>
      <c r="DJ72" s="591"/>
      <c r="DK72" s="591"/>
      <c r="DL72" s="591"/>
      <c r="DM72" s="591"/>
      <c r="DN72" s="591">
        <v>8</v>
      </c>
      <c r="DO72" s="591"/>
      <c r="DP72" s="591"/>
      <c r="DQ72" s="591"/>
      <c r="DR72" s="591"/>
      <c r="DS72" s="591"/>
      <c r="DT72" s="591"/>
      <c r="DU72" s="591"/>
      <c r="DV72" s="591"/>
      <c r="DW72" s="591"/>
      <c r="DX72" s="591"/>
      <c r="DY72" s="591"/>
      <c r="DZ72" s="591"/>
      <c r="EA72" s="591"/>
      <c r="EB72" s="591"/>
      <c r="EC72" s="591"/>
      <c r="ED72" s="591">
        <v>9</v>
      </c>
      <c r="EE72" s="591"/>
      <c r="EF72" s="591"/>
      <c r="EG72" s="591"/>
      <c r="EH72" s="591"/>
      <c r="EI72" s="591"/>
      <c r="EJ72" s="591"/>
      <c r="EK72" s="591"/>
      <c r="EL72" s="591"/>
      <c r="EM72" s="591"/>
      <c r="EN72" s="591"/>
      <c r="EO72" s="591"/>
      <c r="EP72" s="591"/>
      <c r="EQ72" s="591"/>
      <c r="ER72" s="591"/>
      <c r="ES72" s="591"/>
      <c r="ET72" s="591">
        <v>10</v>
      </c>
      <c r="EU72" s="591"/>
      <c r="EV72" s="591"/>
      <c r="EW72" s="591"/>
      <c r="EX72" s="591"/>
      <c r="EY72" s="591"/>
      <c r="EZ72" s="591"/>
      <c r="FA72" s="591"/>
      <c r="FB72" s="591"/>
      <c r="FC72" s="591"/>
      <c r="FD72" s="591"/>
      <c r="FE72" s="591"/>
      <c r="FF72" s="591"/>
      <c r="FG72" s="591"/>
      <c r="FH72" s="591"/>
      <c r="FI72" s="591"/>
      <c r="FJ72" s="591"/>
      <c r="FK72" s="179"/>
      <c r="FN72" s="179"/>
    </row>
    <row r="73" spans="1:170" s="16" customFormat="1" ht="15" customHeight="1" x14ac:dyDescent="0.3">
      <c r="A73" s="475" t="s">
        <v>255</v>
      </c>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6"/>
      <c r="CS73" s="476"/>
      <c r="CT73" s="476"/>
      <c r="CU73" s="476"/>
      <c r="CV73" s="476"/>
      <c r="CW73" s="476"/>
      <c r="CX73" s="476"/>
      <c r="CY73" s="476"/>
      <c r="CZ73" s="476"/>
      <c r="DA73" s="476"/>
      <c r="DB73" s="476"/>
      <c r="DC73" s="476"/>
      <c r="DD73" s="476"/>
      <c r="DE73" s="476"/>
      <c r="DF73" s="476"/>
      <c r="DG73" s="476"/>
      <c r="DH73" s="476"/>
      <c r="DI73" s="476"/>
      <c r="DJ73" s="476"/>
      <c r="DK73" s="476"/>
      <c r="DL73" s="476"/>
      <c r="DM73" s="476"/>
      <c r="DN73" s="476"/>
      <c r="DO73" s="476"/>
      <c r="DP73" s="476"/>
      <c r="DQ73" s="476"/>
      <c r="DR73" s="476"/>
      <c r="DS73" s="476"/>
      <c r="DT73" s="476"/>
      <c r="DU73" s="476"/>
      <c r="DV73" s="476"/>
      <c r="DW73" s="476"/>
      <c r="DX73" s="476"/>
      <c r="DY73" s="476"/>
      <c r="DZ73" s="476"/>
      <c r="EA73" s="476"/>
      <c r="EB73" s="476"/>
      <c r="EC73" s="476"/>
      <c r="ED73" s="476"/>
      <c r="EE73" s="476"/>
      <c r="EF73" s="476"/>
      <c r="EG73" s="476"/>
      <c r="EH73" s="476"/>
      <c r="EI73" s="476"/>
      <c r="EJ73" s="476"/>
      <c r="EK73" s="476"/>
      <c r="EL73" s="476"/>
      <c r="EM73" s="476"/>
      <c r="EN73" s="476"/>
      <c r="EO73" s="476"/>
      <c r="EP73" s="476"/>
      <c r="EQ73" s="476"/>
      <c r="ER73" s="476"/>
      <c r="ES73" s="476"/>
      <c r="ET73" s="476"/>
      <c r="EU73" s="476"/>
      <c r="EV73" s="476"/>
      <c r="EW73" s="476"/>
      <c r="EX73" s="476"/>
      <c r="EY73" s="476"/>
      <c r="EZ73" s="476"/>
      <c r="FA73" s="476"/>
      <c r="FB73" s="476"/>
      <c r="FC73" s="476"/>
      <c r="FD73" s="476"/>
      <c r="FE73" s="476"/>
      <c r="FF73" s="476"/>
      <c r="FG73" s="476"/>
      <c r="FH73" s="476"/>
      <c r="FI73" s="476"/>
      <c r="FJ73" s="477"/>
      <c r="FK73" s="171"/>
      <c r="FN73" s="171"/>
    </row>
    <row r="74" spans="1:170" s="16" customFormat="1" ht="13.2" customHeight="1" x14ac:dyDescent="0.3">
      <c r="A74" s="581" t="s">
        <v>67</v>
      </c>
      <c r="B74" s="581"/>
      <c r="C74" s="581"/>
      <c r="D74" s="581"/>
      <c r="E74" s="581"/>
      <c r="F74" s="581"/>
      <c r="G74" s="577" t="s">
        <v>1053</v>
      </c>
      <c r="H74" s="577"/>
      <c r="I74" s="577"/>
      <c r="J74" s="577"/>
      <c r="K74" s="577"/>
      <c r="L74" s="577"/>
      <c r="M74" s="577"/>
      <c r="N74" s="577"/>
      <c r="O74" s="577"/>
      <c r="P74" s="577"/>
      <c r="Q74" s="577"/>
      <c r="R74" s="577"/>
      <c r="S74" s="577"/>
      <c r="T74" s="577"/>
      <c r="U74" s="577"/>
      <c r="V74" s="577"/>
      <c r="W74" s="577"/>
      <c r="X74" s="577"/>
      <c r="Y74" s="577"/>
      <c r="Z74" s="577"/>
      <c r="AA74" s="577"/>
      <c r="AB74" s="577"/>
      <c r="AC74" s="577"/>
      <c r="AD74" s="582">
        <v>1</v>
      </c>
      <c r="AE74" s="582"/>
      <c r="AF74" s="582"/>
      <c r="AG74" s="582"/>
      <c r="AH74" s="582"/>
      <c r="AI74" s="582"/>
      <c r="AJ74" s="582"/>
      <c r="AK74" s="582"/>
      <c r="AL74" s="582"/>
      <c r="AM74" s="582"/>
      <c r="AN74" s="582"/>
      <c r="AO74" s="582"/>
      <c r="AP74" s="582"/>
      <c r="AQ74" s="582"/>
      <c r="AR74" s="582"/>
      <c r="AS74" s="582"/>
      <c r="AT74" s="573">
        <f>BK74+CC74+CV74</f>
        <v>539.23900000000003</v>
      </c>
      <c r="AU74" s="573"/>
      <c r="AV74" s="573"/>
      <c r="AW74" s="573"/>
      <c r="AX74" s="573"/>
      <c r="AY74" s="573"/>
      <c r="AZ74" s="573"/>
      <c r="BA74" s="573"/>
      <c r="BB74" s="573"/>
      <c r="BC74" s="573"/>
      <c r="BD74" s="573"/>
      <c r="BE74" s="573"/>
      <c r="BF74" s="573"/>
      <c r="BG74" s="573"/>
      <c r="BH74" s="573"/>
      <c r="BI74" s="573"/>
      <c r="BJ74" s="573"/>
      <c r="BK74" s="582"/>
      <c r="BL74" s="582"/>
      <c r="BM74" s="582"/>
      <c r="BN74" s="582"/>
      <c r="BO74" s="582"/>
      <c r="BP74" s="582"/>
      <c r="BQ74" s="582"/>
      <c r="BR74" s="582"/>
      <c r="BS74" s="582"/>
      <c r="BT74" s="582"/>
      <c r="BU74" s="582"/>
      <c r="BV74" s="582"/>
      <c r="BW74" s="582"/>
      <c r="BX74" s="582"/>
      <c r="BY74" s="582"/>
      <c r="BZ74" s="582"/>
      <c r="CA74" s="582"/>
      <c r="CB74" s="582"/>
      <c r="CC74" s="573"/>
      <c r="CD74" s="573"/>
      <c r="CE74" s="573"/>
      <c r="CF74" s="573"/>
      <c r="CG74" s="573"/>
      <c r="CH74" s="573"/>
      <c r="CI74" s="573"/>
      <c r="CJ74" s="573"/>
      <c r="CK74" s="573"/>
      <c r="CL74" s="573"/>
      <c r="CM74" s="573"/>
      <c r="CN74" s="573"/>
      <c r="CO74" s="573"/>
      <c r="CP74" s="573"/>
      <c r="CQ74" s="573"/>
      <c r="CR74" s="573"/>
      <c r="CS74" s="573"/>
      <c r="CT74" s="573"/>
      <c r="CU74" s="573"/>
      <c r="CV74" s="573">
        <v>539.23900000000003</v>
      </c>
      <c r="CW74" s="573"/>
      <c r="CX74" s="573"/>
      <c r="CY74" s="573"/>
      <c r="CZ74" s="573"/>
      <c r="DA74" s="573"/>
      <c r="DB74" s="573"/>
      <c r="DC74" s="573"/>
      <c r="DD74" s="573"/>
      <c r="DE74" s="573"/>
      <c r="DF74" s="573"/>
      <c r="DG74" s="573"/>
      <c r="DH74" s="573"/>
      <c r="DI74" s="573"/>
      <c r="DJ74" s="573"/>
      <c r="DK74" s="573"/>
      <c r="DL74" s="573"/>
      <c r="DM74" s="573"/>
      <c r="DN74" s="573">
        <f t="shared" ref="DN74" si="12">AT74*80%</f>
        <v>431.39120000000003</v>
      </c>
      <c r="DO74" s="573"/>
      <c r="DP74" s="573"/>
      <c r="DQ74" s="573"/>
      <c r="DR74" s="573"/>
      <c r="DS74" s="573"/>
      <c r="DT74" s="573"/>
      <c r="DU74" s="573"/>
      <c r="DV74" s="573"/>
      <c r="DW74" s="573"/>
      <c r="DX74" s="573"/>
      <c r="DY74" s="573"/>
      <c r="DZ74" s="573"/>
      <c r="EA74" s="573"/>
      <c r="EB74" s="573"/>
      <c r="EC74" s="573"/>
      <c r="ED74" s="573">
        <f t="shared" ref="ED74" si="13">AT74*50%</f>
        <v>269.61950000000002</v>
      </c>
      <c r="EE74" s="573"/>
      <c r="EF74" s="573"/>
      <c r="EG74" s="573"/>
      <c r="EH74" s="573"/>
      <c r="EI74" s="573"/>
      <c r="EJ74" s="573"/>
      <c r="EK74" s="573"/>
      <c r="EL74" s="573"/>
      <c r="EM74" s="573"/>
      <c r="EN74" s="573"/>
      <c r="EO74" s="573"/>
      <c r="EP74" s="573"/>
      <c r="EQ74" s="573"/>
      <c r="ER74" s="573"/>
      <c r="ES74" s="573"/>
      <c r="ET74" s="573">
        <f>(AT74+DN74+ED74)*12*AD74</f>
        <v>14882.9964</v>
      </c>
      <c r="EU74" s="573"/>
      <c r="EV74" s="573"/>
      <c r="EW74" s="573"/>
      <c r="EX74" s="573"/>
      <c r="EY74" s="573"/>
      <c r="EZ74" s="573"/>
      <c r="FA74" s="573"/>
      <c r="FB74" s="573"/>
      <c r="FC74" s="573"/>
      <c r="FD74" s="573"/>
      <c r="FE74" s="573"/>
      <c r="FF74" s="573"/>
      <c r="FG74" s="573"/>
      <c r="FH74" s="573"/>
      <c r="FI74" s="573"/>
      <c r="FJ74" s="573"/>
      <c r="FK74" s="171"/>
      <c r="FN74" s="171"/>
    </row>
    <row r="75" spans="1:170" s="16" customFormat="1" ht="15" customHeight="1" x14ac:dyDescent="0.3">
      <c r="A75" s="557" t="s">
        <v>252</v>
      </c>
      <c r="B75" s="558"/>
      <c r="C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9"/>
      <c r="AD75" s="560">
        <v>0</v>
      </c>
      <c r="AE75" s="560"/>
      <c r="AF75" s="560"/>
      <c r="AG75" s="560"/>
      <c r="AH75" s="560"/>
      <c r="AI75" s="560"/>
      <c r="AJ75" s="560"/>
      <c r="AK75" s="560"/>
      <c r="AL75" s="560"/>
      <c r="AM75" s="560"/>
      <c r="AN75" s="560"/>
      <c r="AO75" s="560"/>
      <c r="AP75" s="560"/>
      <c r="AQ75" s="560"/>
      <c r="AR75" s="560"/>
      <c r="AS75" s="560"/>
      <c r="AT75" s="561"/>
      <c r="AU75" s="561"/>
      <c r="AV75" s="561"/>
      <c r="AW75" s="561"/>
      <c r="AX75" s="561"/>
      <c r="AY75" s="561"/>
      <c r="AZ75" s="561"/>
      <c r="BA75" s="561"/>
      <c r="BB75" s="561"/>
      <c r="BC75" s="561"/>
      <c r="BD75" s="561"/>
      <c r="BE75" s="561"/>
      <c r="BF75" s="561"/>
      <c r="BG75" s="561"/>
      <c r="BH75" s="561"/>
      <c r="BI75" s="561"/>
      <c r="BJ75" s="561"/>
      <c r="BK75" s="560"/>
      <c r="BL75" s="560"/>
      <c r="BM75" s="560"/>
      <c r="BN75" s="560"/>
      <c r="BO75" s="560"/>
      <c r="BP75" s="560"/>
      <c r="BQ75" s="560"/>
      <c r="BR75" s="560"/>
      <c r="BS75" s="560"/>
      <c r="BT75" s="560"/>
      <c r="BU75" s="560"/>
      <c r="BV75" s="560"/>
      <c r="BW75" s="560"/>
      <c r="BX75" s="560"/>
      <c r="BY75" s="560"/>
      <c r="BZ75" s="560"/>
      <c r="CA75" s="560"/>
      <c r="CB75" s="560"/>
      <c r="CC75" s="561"/>
      <c r="CD75" s="561"/>
      <c r="CE75" s="561"/>
      <c r="CF75" s="561"/>
      <c r="CG75" s="561"/>
      <c r="CH75" s="561"/>
      <c r="CI75" s="561"/>
      <c r="CJ75" s="561"/>
      <c r="CK75" s="561"/>
      <c r="CL75" s="561"/>
      <c r="CM75" s="561"/>
      <c r="CN75" s="561"/>
      <c r="CO75" s="561"/>
      <c r="CP75" s="561"/>
      <c r="CQ75" s="561"/>
      <c r="CR75" s="561"/>
      <c r="CS75" s="561"/>
      <c r="CT75" s="561"/>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1"/>
      <c r="EI75" s="561"/>
      <c r="EJ75" s="561"/>
      <c r="EK75" s="561"/>
      <c r="EL75" s="561"/>
      <c r="EM75" s="561"/>
      <c r="EN75" s="561"/>
      <c r="EO75" s="561"/>
      <c r="EP75" s="561"/>
      <c r="EQ75" s="561"/>
      <c r="ER75" s="561"/>
      <c r="ES75" s="561"/>
      <c r="ET75" s="561">
        <f>SUM(ET74:ET74)</f>
        <v>14882.9964</v>
      </c>
      <c r="EU75" s="561"/>
      <c r="EV75" s="561"/>
      <c r="EW75" s="561"/>
      <c r="EX75" s="561"/>
      <c r="EY75" s="561"/>
      <c r="EZ75" s="561"/>
      <c r="FA75" s="561"/>
      <c r="FB75" s="561"/>
      <c r="FC75" s="561"/>
      <c r="FD75" s="561"/>
      <c r="FE75" s="561"/>
      <c r="FF75" s="561"/>
      <c r="FG75" s="561"/>
      <c r="FH75" s="561"/>
      <c r="FI75" s="561"/>
      <c r="FJ75" s="561"/>
      <c r="FK75" s="171"/>
      <c r="FN75" s="171"/>
    </row>
    <row r="76" spans="1:170" s="16" customFormat="1" ht="14.25" customHeight="1" x14ac:dyDescent="0.3">
      <c r="A76" s="541" t="s">
        <v>253</v>
      </c>
      <c r="B76" s="542"/>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42"/>
      <c r="BG76" s="542"/>
      <c r="BH76" s="542"/>
      <c r="BI76" s="542"/>
      <c r="BJ76" s="542"/>
      <c r="BK76" s="542"/>
      <c r="BL76" s="542"/>
      <c r="BM76" s="542"/>
      <c r="BN76" s="542"/>
      <c r="BO76" s="542"/>
      <c r="BP76" s="542"/>
      <c r="BQ76" s="542"/>
      <c r="BR76" s="542"/>
      <c r="BS76" s="542"/>
      <c r="BT76" s="542"/>
      <c r="BU76" s="542"/>
      <c r="BV76" s="542"/>
      <c r="BW76" s="542"/>
      <c r="BX76" s="542"/>
      <c r="BY76" s="542"/>
      <c r="BZ76" s="542"/>
      <c r="CA76" s="542"/>
      <c r="CB76" s="542"/>
      <c r="CC76" s="542"/>
      <c r="CD76" s="542"/>
      <c r="CE76" s="542"/>
      <c r="CF76" s="542"/>
      <c r="CG76" s="542"/>
      <c r="CH76" s="542"/>
      <c r="CI76" s="542"/>
      <c r="CJ76" s="542"/>
      <c r="CK76" s="542"/>
      <c r="CL76" s="542"/>
      <c r="CM76" s="542"/>
      <c r="CN76" s="542"/>
      <c r="CO76" s="542"/>
      <c r="CP76" s="542"/>
      <c r="CQ76" s="542"/>
      <c r="CR76" s="542"/>
      <c r="CS76" s="542"/>
      <c r="CT76" s="542"/>
      <c r="CU76" s="542"/>
      <c r="CV76" s="542"/>
      <c r="CW76" s="542"/>
      <c r="CX76" s="542"/>
      <c r="CY76" s="542"/>
      <c r="CZ76" s="542"/>
      <c r="DA76" s="542"/>
      <c r="DB76" s="542"/>
      <c r="DC76" s="542"/>
      <c r="DD76" s="542"/>
      <c r="DE76" s="542"/>
      <c r="DF76" s="542"/>
      <c r="DG76" s="542"/>
      <c r="DH76" s="542"/>
      <c r="DI76" s="542"/>
      <c r="DJ76" s="542"/>
      <c r="DK76" s="542"/>
      <c r="DL76" s="542"/>
      <c r="DM76" s="542"/>
      <c r="DN76" s="542"/>
      <c r="DO76" s="542"/>
      <c r="DP76" s="542"/>
      <c r="DQ76" s="542"/>
      <c r="DR76" s="542"/>
      <c r="DS76" s="542"/>
      <c r="DT76" s="542"/>
      <c r="DU76" s="542"/>
      <c r="DV76" s="542"/>
      <c r="DW76" s="542"/>
      <c r="DX76" s="542"/>
      <c r="DY76" s="542"/>
      <c r="DZ76" s="542"/>
      <c r="EA76" s="542"/>
      <c r="EB76" s="542"/>
      <c r="EC76" s="542"/>
      <c r="ED76" s="542"/>
      <c r="EE76" s="542"/>
      <c r="EF76" s="542"/>
      <c r="EG76" s="542"/>
      <c r="EH76" s="542"/>
      <c r="EI76" s="542"/>
      <c r="EJ76" s="542"/>
      <c r="EK76" s="542"/>
      <c r="EL76" s="542"/>
      <c r="EM76" s="542"/>
      <c r="EN76" s="542"/>
      <c r="EO76" s="542"/>
      <c r="EP76" s="542"/>
      <c r="EQ76" s="542"/>
      <c r="ER76" s="542"/>
      <c r="ES76" s="542"/>
      <c r="ET76" s="542"/>
      <c r="EU76" s="542"/>
      <c r="EV76" s="542"/>
      <c r="EW76" s="542"/>
      <c r="EX76" s="542"/>
      <c r="EY76" s="542"/>
      <c r="EZ76" s="542"/>
      <c r="FA76" s="542"/>
      <c r="FB76" s="542"/>
      <c r="FC76" s="542"/>
      <c r="FD76" s="542"/>
      <c r="FE76" s="542"/>
      <c r="FF76" s="542"/>
      <c r="FG76" s="542"/>
      <c r="FH76" s="542"/>
      <c r="FI76" s="542"/>
      <c r="FJ76" s="543"/>
      <c r="FK76" s="171"/>
      <c r="FN76" s="171"/>
    </row>
    <row r="77" spans="1:170" s="16" customFormat="1" x14ac:dyDescent="0.3">
      <c r="A77" s="553"/>
      <c r="B77" s="554"/>
      <c r="C77" s="554"/>
      <c r="D77" s="554"/>
      <c r="E77" s="554"/>
      <c r="F77" s="555"/>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44"/>
      <c r="AE77" s="545"/>
      <c r="AF77" s="545"/>
      <c r="AG77" s="545"/>
      <c r="AH77" s="545"/>
      <c r="AI77" s="545"/>
      <c r="AJ77" s="545"/>
      <c r="AK77" s="545"/>
      <c r="AL77" s="545"/>
      <c r="AM77" s="545"/>
      <c r="AN77" s="545"/>
      <c r="AO77" s="545"/>
      <c r="AP77" s="545"/>
      <c r="AQ77" s="545"/>
      <c r="AR77" s="545"/>
      <c r="AS77" s="546"/>
      <c r="AT77" s="547">
        <f t="shared" ref="AT77" si="14">BK77+CC77+CV77</f>
        <v>0</v>
      </c>
      <c r="AU77" s="548"/>
      <c r="AV77" s="548"/>
      <c r="AW77" s="548"/>
      <c r="AX77" s="548"/>
      <c r="AY77" s="548"/>
      <c r="AZ77" s="548"/>
      <c r="BA77" s="548"/>
      <c r="BB77" s="548"/>
      <c r="BC77" s="548"/>
      <c r="BD77" s="548"/>
      <c r="BE77" s="548"/>
      <c r="BF77" s="548"/>
      <c r="BG77" s="548"/>
      <c r="BH77" s="548"/>
      <c r="BI77" s="548"/>
      <c r="BJ77" s="549"/>
      <c r="BK77" s="550"/>
      <c r="BL77" s="551"/>
      <c r="BM77" s="551"/>
      <c r="BN77" s="551"/>
      <c r="BO77" s="551"/>
      <c r="BP77" s="551"/>
      <c r="BQ77" s="551"/>
      <c r="BR77" s="551"/>
      <c r="BS77" s="551"/>
      <c r="BT77" s="551"/>
      <c r="BU77" s="551"/>
      <c r="BV77" s="551"/>
      <c r="BW77" s="551"/>
      <c r="BX77" s="551"/>
      <c r="BY77" s="551"/>
      <c r="BZ77" s="551"/>
      <c r="CA77" s="551"/>
      <c r="CB77" s="552"/>
      <c r="CC77" s="547"/>
      <c r="CD77" s="548"/>
      <c r="CE77" s="548"/>
      <c r="CF77" s="548"/>
      <c r="CG77" s="548"/>
      <c r="CH77" s="548"/>
      <c r="CI77" s="548"/>
      <c r="CJ77" s="548"/>
      <c r="CK77" s="548"/>
      <c r="CL77" s="548"/>
      <c r="CM77" s="548"/>
      <c r="CN77" s="548"/>
      <c r="CO77" s="548"/>
      <c r="CP77" s="548"/>
      <c r="CQ77" s="548"/>
      <c r="CR77" s="548"/>
      <c r="CS77" s="548"/>
      <c r="CT77" s="548"/>
      <c r="CU77" s="549"/>
      <c r="CV77" s="547"/>
      <c r="CW77" s="548"/>
      <c r="CX77" s="548"/>
      <c r="CY77" s="548"/>
      <c r="CZ77" s="548"/>
      <c r="DA77" s="548"/>
      <c r="DB77" s="548"/>
      <c r="DC77" s="548"/>
      <c r="DD77" s="548"/>
      <c r="DE77" s="548"/>
      <c r="DF77" s="548"/>
      <c r="DG77" s="548"/>
      <c r="DH77" s="548"/>
      <c r="DI77" s="548"/>
      <c r="DJ77" s="548"/>
      <c r="DK77" s="548"/>
      <c r="DL77" s="548"/>
      <c r="DM77" s="549"/>
      <c r="DN77" s="547">
        <f t="shared" ref="DN77" si="15">AT77*80%</f>
        <v>0</v>
      </c>
      <c r="DO77" s="548"/>
      <c r="DP77" s="548"/>
      <c r="DQ77" s="548"/>
      <c r="DR77" s="548"/>
      <c r="DS77" s="548"/>
      <c r="DT77" s="548"/>
      <c r="DU77" s="548"/>
      <c r="DV77" s="548"/>
      <c r="DW77" s="548"/>
      <c r="DX77" s="548"/>
      <c r="DY77" s="548"/>
      <c r="DZ77" s="548"/>
      <c r="EA77" s="548"/>
      <c r="EB77" s="548"/>
      <c r="EC77" s="549"/>
      <c r="ED77" s="547">
        <f t="shared" ref="ED77" si="16">AT77*50%</f>
        <v>0</v>
      </c>
      <c r="EE77" s="548"/>
      <c r="EF77" s="548"/>
      <c r="EG77" s="548"/>
      <c r="EH77" s="548"/>
      <c r="EI77" s="548"/>
      <c r="EJ77" s="548"/>
      <c r="EK77" s="548"/>
      <c r="EL77" s="548"/>
      <c r="EM77" s="548"/>
      <c r="EN77" s="548"/>
      <c r="EO77" s="548"/>
      <c r="EP77" s="548"/>
      <c r="EQ77" s="548"/>
      <c r="ER77" s="548"/>
      <c r="ES77" s="549"/>
      <c r="ET77" s="547">
        <f t="shared" ref="ET77" si="17">(AT77+DN77+ED77)*12*AD77</f>
        <v>0</v>
      </c>
      <c r="EU77" s="548"/>
      <c r="EV77" s="548"/>
      <c r="EW77" s="548"/>
      <c r="EX77" s="548"/>
      <c r="EY77" s="548"/>
      <c r="EZ77" s="548"/>
      <c r="FA77" s="548"/>
      <c r="FB77" s="548"/>
      <c r="FC77" s="548"/>
      <c r="FD77" s="548"/>
      <c r="FE77" s="548"/>
      <c r="FF77" s="548"/>
      <c r="FG77" s="548"/>
      <c r="FH77" s="548"/>
      <c r="FI77" s="548"/>
      <c r="FJ77" s="549"/>
      <c r="FK77" s="171"/>
      <c r="FN77" s="171"/>
    </row>
    <row r="78" spans="1:170" s="16" customFormat="1" ht="27.75" customHeight="1" x14ac:dyDescent="0.3">
      <c r="A78" s="557" t="s">
        <v>254</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9"/>
      <c r="AD78" s="560">
        <v>0</v>
      </c>
      <c r="AE78" s="560"/>
      <c r="AF78" s="560"/>
      <c r="AG78" s="560"/>
      <c r="AH78" s="560"/>
      <c r="AI78" s="560"/>
      <c r="AJ78" s="560"/>
      <c r="AK78" s="560"/>
      <c r="AL78" s="560"/>
      <c r="AM78" s="560"/>
      <c r="AN78" s="560"/>
      <c r="AO78" s="560"/>
      <c r="AP78" s="560"/>
      <c r="AQ78" s="560"/>
      <c r="AR78" s="560"/>
      <c r="AS78" s="560"/>
      <c r="AT78" s="561"/>
      <c r="AU78" s="561"/>
      <c r="AV78" s="561"/>
      <c r="AW78" s="561"/>
      <c r="AX78" s="561"/>
      <c r="AY78" s="561"/>
      <c r="AZ78" s="561"/>
      <c r="BA78" s="561"/>
      <c r="BB78" s="561"/>
      <c r="BC78" s="561"/>
      <c r="BD78" s="561"/>
      <c r="BE78" s="561"/>
      <c r="BF78" s="561"/>
      <c r="BG78" s="561"/>
      <c r="BH78" s="561"/>
      <c r="BI78" s="561"/>
      <c r="BJ78" s="561"/>
      <c r="BK78" s="560"/>
      <c r="BL78" s="560"/>
      <c r="BM78" s="560"/>
      <c r="BN78" s="560"/>
      <c r="BO78" s="560"/>
      <c r="BP78" s="560"/>
      <c r="BQ78" s="560"/>
      <c r="BR78" s="560"/>
      <c r="BS78" s="560"/>
      <c r="BT78" s="560"/>
      <c r="BU78" s="560"/>
      <c r="BV78" s="560"/>
      <c r="BW78" s="560"/>
      <c r="BX78" s="560"/>
      <c r="BY78" s="560"/>
      <c r="BZ78" s="560"/>
      <c r="CA78" s="560"/>
      <c r="CB78" s="560"/>
      <c r="CC78" s="560"/>
      <c r="CD78" s="560"/>
      <c r="CE78" s="560"/>
      <c r="CF78" s="560"/>
      <c r="CG78" s="560"/>
      <c r="CH78" s="560"/>
      <c r="CI78" s="560"/>
      <c r="CJ78" s="560"/>
      <c r="CK78" s="560"/>
      <c r="CL78" s="560"/>
      <c r="CM78" s="560"/>
      <c r="CN78" s="560"/>
      <c r="CO78" s="560"/>
      <c r="CP78" s="560"/>
      <c r="CQ78" s="560"/>
      <c r="CR78" s="560"/>
      <c r="CS78" s="560"/>
      <c r="CT78" s="560"/>
      <c r="CU78" s="560"/>
      <c r="CV78" s="560"/>
      <c r="CW78" s="560"/>
      <c r="CX78" s="560"/>
      <c r="CY78" s="560"/>
      <c r="CZ78" s="560"/>
      <c r="DA78" s="560"/>
      <c r="DB78" s="560"/>
      <c r="DC78" s="560"/>
      <c r="DD78" s="560"/>
      <c r="DE78" s="560"/>
      <c r="DF78" s="560"/>
      <c r="DG78" s="560"/>
      <c r="DH78" s="560"/>
      <c r="DI78" s="560"/>
      <c r="DJ78" s="560"/>
      <c r="DK78" s="560"/>
      <c r="DL78" s="560"/>
      <c r="DM78" s="560"/>
      <c r="DN78" s="560"/>
      <c r="DO78" s="560"/>
      <c r="DP78" s="560"/>
      <c r="DQ78" s="560"/>
      <c r="DR78" s="560"/>
      <c r="DS78" s="560"/>
      <c r="DT78" s="560"/>
      <c r="DU78" s="560"/>
      <c r="DV78" s="560"/>
      <c r="DW78" s="560"/>
      <c r="DX78" s="560"/>
      <c r="DY78" s="560"/>
      <c r="DZ78" s="560"/>
      <c r="EA78" s="560"/>
      <c r="EB78" s="560"/>
      <c r="EC78" s="560"/>
      <c r="ED78" s="561"/>
      <c r="EE78" s="561"/>
      <c r="EF78" s="561"/>
      <c r="EG78" s="561"/>
      <c r="EH78" s="561"/>
      <c r="EI78" s="561"/>
      <c r="EJ78" s="561"/>
      <c r="EK78" s="561"/>
      <c r="EL78" s="561"/>
      <c r="EM78" s="561"/>
      <c r="EN78" s="561"/>
      <c r="EO78" s="561"/>
      <c r="EP78" s="561"/>
      <c r="EQ78" s="561"/>
      <c r="ER78" s="561"/>
      <c r="ES78" s="561"/>
      <c r="ET78" s="561">
        <f>ET77</f>
        <v>0</v>
      </c>
      <c r="EU78" s="561"/>
      <c r="EV78" s="561"/>
      <c r="EW78" s="561"/>
      <c r="EX78" s="561"/>
      <c r="EY78" s="561"/>
      <c r="EZ78" s="561"/>
      <c r="FA78" s="561"/>
      <c r="FB78" s="561"/>
      <c r="FC78" s="561"/>
      <c r="FD78" s="561"/>
      <c r="FE78" s="561"/>
      <c r="FF78" s="561"/>
      <c r="FG78" s="561"/>
      <c r="FH78" s="561"/>
      <c r="FI78" s="561"/>
      <c r="FJ78" s="561"/>
      <c r="FK78" s="171"/>
      <c r="FN78" s="327"/>
    </row>
    <row r="79" spans="1:170" s="16" customFormat="1" ht="14.25" customHeight="1" x14ac:dyDescent="0.3">
      <c r="A79" s="541" t="s">
        <v>256</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2"/>
      <c r="AW79" s="542"/>
      <c r="AX79" s="542"/>
      <c r="AY79" s="542"/>
      <c r="AZ79" s="542"/>
      <c r="BA79" s="542"/>
      <c r="BB79" s="542"/>
      <c r="BC79" s="542"/>
      <c r="BD79" s="542"/>
      <c r="BE79" s="542"/>
      <c r="BF79" s="542"/>
      <c r="BG79" s="542"/>
      <c r="BH79" s="542"/>
      <c r="BI79" s="542"/>
      <c r="BJ79" s="542"/>
      <c r="BK79" s="542"/>
      <c r="BL79" s="542"/>
      <c r="BM79" s="542"/>
      <c r="BN79" s="542"/>
      <c r="BO79" s="542"/>
      <c r="BP79" s="542"/>
      <c r="BQ79" s="542"/>
      <c r="BR79" s="542"/>
      <c r="BS79" s="542"/>
      <c r="BT79" s="542"/>
      <c r="BU79" s="542"/>
      <c r="BV79" s="542"/>
      <c r="BW79" s="542"/>
      <c r="BX79" s="542"/>
      <c r="BY79" s="542"/>
      <c r="BZ79" s="542"/>
      <c r="CA79" s="542"/>
      <c r="CB79" s="542"/>
      <c r="CC79" s="542"/>
      <c r="CD79" s="542"/>
      <c r="CE79" s="542"/>
      <c r="CF79" s="542"/>
      <c r="CG79" s="542"/>
      <c r="CH79" s="542"/>
      <c r="CI79" s="542"/>
      <c r="CJ79" s="542"/>
      <c r="CK79" s="542"/>
      <c r="CL79" s="542"/>
      <c r="CM79" s="542"/>
      <c r="CN79" s="542"/>
      <c r="CO79" s="542"/>
      <c r="CP79" s="542"/>
      <c r="CQ79" s="542"/>
      <c r="CR79" s="542"/>
      <c r="CS79" s="542"/>
      <c r="CT79" s="542"/>
      <c r="CU79" s="542"/>
      <c r="CV79" s="542"/>
      <c r="CW79" s="542"/>
      <c r="CX79" s="542"/>
      <c r="CY79" s="542"/>
      <c r="CZ79" s="542"/>
      <c r="DA79" s="542"/>
      <c r="DB79" s="542"/>
      <c r="DC79" s="542"/>
      <c r="DD79" s="542"/>
      <c r="DE79" s="542"/>
      <c r="DF79" s="542"/>
      <c r="DG79" s="542"/>
      <c r="DH79" s="542"/>
      <c r="DI79" s="542"/>
      <c r="DJ79" s="542"/>
      <c r="DK79" s="542"/>
      <c r="DL79" s="542"/>
      <c r="DM79" s="542"/>
      <c r="DN79" s="542"/>
      <c r="DO79" s="542"/>
      <c r="DP79" s="542"/>
      <c r="DQ79" s="542"/>
      <c r="DR79" s="542"/>
      <c r="DS79" s="542"/>
      <c r="DT79" s="542"/>
      <c r="DU79" s="542"/>
      <c r="DV79" s="542"/>
      <c r="DW79" s="542"/>
      <c r="DX79" s="542"/>
      <c r="DY79" s="542"/>
      <c r="DZ79" s="542"/>
      <c r="EA79" s="542"/>
      <c r="EB79" s="542"/>
      <c r="EC79" s="542"/>
      <c r="ED79" s="542"/>
      <c r="EE79" s="542"/>
      <c r="EF79" s="542"/>
      <c r="EG79" s="542"/>
      <c r="EH79" s="542"/>
      <c r="EI79" s="542"/>
      <c r="EJ79" s="542"/>
      <c r="EK79" s="542"/>
      <c r="EL79" s="542"/>
      <c r="EM79" s="542"/>
      <c r="EN79" s="542"/>
      <c r="EO79" s="542"/>
      <c r="EP79" s="542"/>
      <c r="EQ79" s="542"/>
      <c r="ER79" s="542"/>
      <c r="ES79" s="542"/>
      <c r="ET79" s="542"/>
      <c r="EU79" s="542"/>
      <c r="EV79" s="542"/>
      <c r="EW79" s="542"/>
      <c r="EX79" s="542"/>
      <c r="EY79" s="542"/>
      <c r="EZ79" s="542"/>
      <c r="FA79" s="542"/>
      <c r="FB79" s="542"/>
      <c r="FC79" s="542"/>
      <c r="FD79" s="542"/>
      <c r="FE79" s="542"/>
      <c r="FF79" s="542"/>
      <c r="FG79" s="542"/>
      <c r="FH79" s="542"/>
      <c r="FI79" s="542"/>
      <c r="FJ79" s="543"/>
      <c r="FK79" s="171"/>
      <c r="FN79" s="171"/>
    </row>
    <row r="80" spans="1:170" s="16" customFormat="1" ht="24.75" customHeight="1" x14ac:dyDescent="0.3">
      <c r="A80" s="581" t="s">
        <v>67</v>
      </c>
      <c r="B80" s="581"/>
      <c r="C80" s="581"/>
      <c r="D80" s="581"/>
      <c r="E80" s="581"/>
      <c r="F80" s="581"/>
      <c r="G80" s="577" t="s">
        <v>513</v>
      </c>
      <c r="H80" s="577"/>
      <c r="I80" s="577"/>
      <c r="J80" s="577"/>
      <c r="K80" s="577"/>
      <c r="L80" s="577"/>
      <c r="M80" s="577"/>
      <c r="N80" s="577"/>
      <c r="O80" s="577"/>
      <c r="P80" s="577"/>
      <c r="Q80" s="577"/>
      <c r="R80" s="577"/>
      <c r="S80" s="577"/>
      <c r="T80" s="577"/>
      <c r="U80" s="577"/>
      <c r="V80" s="577"/>
      <c r="W80" s="577"/>
      <c r="X80" s="577"/>
      <c r="Y80" s="577"/>
      <c r="Z80" s="577"/>
      <c r="AA80" s="577"/>
      <c r="AB80" s="577"/>
      <c r="AC80" s="577"/>
      <c r="AD80" s="582">
        <v>1</v>
      </c>
      <c r="AE80" s="582"/>
      <c r="AF80" s="582"/>
      <c r="AG80" s="582"/>
      <c r="AH80" s="582"/>
      <c r="AI80" s="582"/>
      <c r="AJ80" s="582"/>
      <c r="AK80" s="582"/>
      <c r="AL80" s="582"/>
      <c r="AM80" s="582"/>
      <c r="AN80" s="582"/>
      <c r="AO80" s="582"/>
      <c r="AP80" s="582"/>
      <c r="AQ80" s="582"/>
      <c r="AR80" s="582"/>
      <c r="AS80" s="582"/>
      <c r="AT80" s="573">
        <f>BK80+CC80+CV80</f>
        <v>60.761000000000003</v>
      </c>
      <c r="AU80" s="573"/>
      <c r="AV80" s="573"/>
      <c r="AW80" s="573"/>
      <c r="AX80" s="573"/>
      <c r="AY80" s="573"/>
      <c r="AZ80" s="573"/>
      <c r="BA80" s="573"/>
      <c r="BB80" s="573"/>
      <c r="BC80" s="573"/>
      <c r="BD80" s="573"/>
      <c r="BE80" s="573"/>
      <c r="BF80" s="573"/>
      <c r="BG80" s="573"/>
      <c r="BH80" s="573"/>
      <c r="BI80" s="573"/>
      <c r="BJ80" s="573"/>
      <c r="BK80" s="582"/>
      <c r="BL80" s="582"/>
      <c r="BM80" s="582"/>
      <c r="BN80" s="582"/>
      <c r="BO80" s="582"/>
      <c r="BP80" s="582"/>
      <c r="BQ80" s="582"/>
      <c r="BR80" s="582"/>
      <c r="BS80" s="582"/>
      <c r="BT80" s="582"/>
      <c r="BU80" s="582"/>
      <c r="BV80" s="582"/>
      <c r="BW80" s="582"/>
      <c r="BX80" s="582"/>
      <c r="BY80" s="582"/>
      <c r="BZ80" s="582"/>
      <c r="CA80" s="582"/>
      <c r="CB80" s="582"/>
      <c r="CC80" s="573"/>
      <c r="CD80" s="573"/>
      <c r="CE80" s="573"/>
      <c r="CF80" s="573"/>
      <c r="CG80" s="573"/>
      <c r="CH80" s="573"/>
      <c r="CI80" s="573"/>
      <c r="CJ80" s="573"/>
      <c r="CK80" s="573"/>
      <c r="CL80" s="573"/>
      <c r="CM80" s="573"/>
      <c r="CN80" s="573"/>
      <c r="CO80" s="573"/>
      <c r="CP80" s="573"/>
      <c r="CQ80" s="573"/>
      <c r="CR80" s="573"/>
      <c r="CS80" s="573"/>
      <c r="CT80" s="573"/>
      <c r="CU80" s="573"/>
      <c r="CV80" s="573">
        <v>60.761000000000003</v>
      </c>
      <c r="CW80" s="573"/>
      <c r="CX80" s="573"/>
      <c r="CY80" s="573"/>
      <c r="CZ80" s="573"/>
      <c r="DA80" s="573"/>
      <c r="DB80" s="573"/>
      <c r="DC80" s="573"/>
      <c r="DD80" s="573"/>
      <c r="DE80" s="573"/>
      <c r="DF80" s="573"/>
      <c r="DG80" s="573"/>
      <c r="DH80" s="573"/>
      <c r="DI80" s="573"/>
      <c r="DJ80" s="573"/>
      <c r="DK80" s="573"/>
      <c r="DL80" s="573"/>
      <c r="DM80" s="573"/>
      <c r="DN80" s="573">
        <f t="shared" ref="DN80" si="18">AT80*80%</f>
        <v>48.608800000000002</v>
      </c>
      <c r="DO80" s="573"/>
      <c r="DP80" s="573"/>
      <c r="DQ80" s="573"/>
      <c r="DR80" s="573"/>
      <c r="DS80" s="573"/>
      <c r="DT80" s="573"/>
      <c r="DU80" s="573"/>
      <c r="DV80" s="573"/>
      <c r="DW80" s="573"/>
      <c r="DX80" s="573"/>
      <c r="DY80" s="573"/>
      <c r="DZ80" s="573"/>
      <c r="EA80" s="573"/>
      <c r="EB80" s="573"/>
      <c r="EC80" s="573"/>
      <c r="ED80" s="573">
        <f t="shared" ref="ED80" si="19">AT80*50%</f>
        <v>30.380500000000001</v>
      </c>
      <c r="EE80" s="573"/>
      <c r="EF80" s="573"/>
      <c r="EG80" s="573"/>
      <c r="EH80" s="573"/>
      <c r="EI80" s="573"/>
      <c r="EJ80" s="573"/>
      <c r="EK80" s="573"/>
      <c r="EL80" s="573"/>
      <c r="EM80" s="573"/>
      <c r="EN80" s="573"/>
      <c r="EO80" s="573"/>
      <c r="EP80" s="573"/>
      <c r="EQ80" s="573"/>
      <c r="ER80" s="573"/>
      <c r="ES80" s="573"/>
      <c r="ET80" s="573">
        <f>(AT80+DN80+ED80)*12*AD80</f>
        <v>1677.0036</v>
      </c>
      <c r="EU80" s="573"/>
      <c r="EV80" s="573"/>
      <c r="EW80" s="573"/>
      <c r="EX80" s="573"/>
      <c r="EY80" s="573"/>
      <c r="EZ80" s="573"/>
      <c r="FA80" s="573"/>
      <c r="FB80" s="573"/>
      <c r="FC80" s="573"/>
      <c r="FD80" s="573"/>
      <c r="FE80" s="573"/>
      <c r="FF80" s="573"/>
      <c r="FG80" s="573"/>
      <c r="FH80" s="573"/>
      <c r="FI80" s="573"/>
      <c r="FJ80" s="573"/>
      <c r="FK80" s="171"/>
      <c r="FN80" s="171"/>
    </row>
    <row r="81" spans="1:170" s="16" customFormat="1" ht="13.2" customHeight="1" x14ac:dyDescent="0.3">
      <c r="A81" s="616" t="s">
        <v>71</v>
      </c>
      <c r="B81" s="617"/>
      <c r="C81" s="617"/>
      <c r="D81" s="617"/>
      <c r="E81" s="617"/>
      <c r="F81" s="618"/>
      <c r="G81" s="587" t="s">
        <v>527</v>
      </c>
      <c r="H81" s="588"/>
      <c r="I81" s="588"/>
      <c r="J81" s="588"/>
      <c r="K81" s="588"/>
      <c r="L81" s="588"/>
      <c r="M81" s="588"/>
      <c r="N81" s="588"/>
      <c r="O81" s="588"/>
      <c r="P81" s="588"/>
      <c r="Q81" s="588"/>
      <c r="R81" s="588"/>
      <c r="S81" s="588"/>
      <c r="T81" s="588"/>
      <c r="U81" s="588"/>
      <c r="V81" s="588"/>
      <c r="W81" s="588"/>
      <c r="X81" s="588"/>
      <c r="Y81" s="588"/>
      <c r="Z81" s="588"/>
      <c r="AA81" s="588"/>
      <c r="AB81" s="588"/>
      <c r="AC81" s="589"/>
      <c r="AD81" s="619">
        <v>0.5</v>
      </c>
      <c r="AE81" s="620"/>
      <c r="AF81" s="620"/>
      <c r="AG81" s="620"/>
      <c r="AH81" s="620"/>
      <c r="AI81" s="620"/>
      <c r="AJ81" s="620"/>
      <c r="AK81" s="620"/>
      <c r="AL81" s="620"/>
      <c r="AM81" s="620"/>
      <c r="AN81" s="620"/>
      <c r="AO81" s="620"/>
      <c r="AP81" s="620"/>
      <c r="AQ81" s="620"/>
      <c r="AR81" s="620"/>
      <c r="AS81" s="621"/>
      <c r="AT81" s="562">
        <f t="shared" ref="AT81" si="20">BK81+CC81+CV81</f>
        <v>18913.983</v>
      </c>
      <c r="AU81" s="563"/>
      <c r="AV81" s="563"/>
      <c r="AW81" s="563"/>
      <c r="AX81" s="563"/>
      <c r="AY81" s="563"/>
      <c r="AZ81" s="563"/>
      <c r="BA81" s="563"/>
      <c r="BB81" s="563"/>
      <c r="BC81" s="563"/>
      <c r="BD81" s="563"/>
      <c r="BE81" s="563"/>
      <c r="BF81" s="563"/>
      <c r="BG81" s="563"/>
      <c r="BH81" s="563"/>
      <c r="BI81" s="563"/>
      <c r="BJ81" s="564"/>
      <c r="BK81" s="570">
        <v>7498</v>
      </c>
      <c r="BL81" s="570"/>
      <c r="BM81" s="570"/>
      <c r="BN81" s="570"/>
      <c r="BO81" s="570"/>
      <c r="BP81" s="570"/>
      <c r="BQ81" s="570"/>
      <c r="BR81" s="570"/>
      <c r="BS81" s="570"/>
      <c r="BT81" s="570"/>
      <c r="BU81" s="570"/>
      <c r="BV81" s="570"/>
      <c r="BW81" s="570"/>
      <c r="BX81" s="570"/>
      <c r="BY81" s="570"/>
      <c r="BZ81" s="570"/>
      <c r="CA81" s="570"/>
      <c r="CB81" s="570"/>
      <c r="CC81" s="562"/>
      <c r="CD81" s="563"/>
      <c r="CE81" s="563"/>
      <c r="CF81" s="563"/>
      <c r="CG81" s="563"/>
      <c r="CH81" s="563"/>
      <c r="CI81" s="563"/>
      <c r="CJ81" s="563"/>
      <c r="CK81" s="563"/>
      <c r="CL81" s="563"/>
      <c r="CM81" s="563"/>
      <c r="CN81" s="563"/>
      <c r="CO81" s="563"/>
      <c r="CP81" s="563"/>
      <c r="CQ81" s="563"/>
      <c r="CR81" s="563"/>
      <c r="CS81" s="563"/>
      <c r="CT81" s="563"/>
      <c r="CU81" s="564"/>
      <c r="CV81" s="562">
        <v>11415.983</v>
      </c>
      <c r="CW81" s="563"/>
      <c r="CX81" s="563"/>
      <c r="CY81" s="563"/>
      <c r="CZ81" s="563"/>
      <c r="DA81" s="563"/>
      <c r="DB81" s="563"/>
      <c r="DC81" s="563"/>
      <c r="DD81" s="563"/>
      <c r="DE81" s="563"/>
      <c r="DF81" s="563"/>
      <c r="DG81" s="563"/>
      <c r="DH81" s="563"/>
      <c r="DI81" s="563"/>
      <c r="DJ81" s="563"/>
      <c r="DK81" s="563"/>
      <c r="DL81" s="563"/>
      <c r="DM81" s="564"/>
      <c r="DN81" s="562">
        <f t="shared" ref="DN81" si="21">AT81*80%</f>
        <v>15131.186400000001</v>
      </c>
      <c r="DO81" s="563"/>
      <c r="DP81" s="563"/>
      <c r="DQ81" s="563"/>
      <c r="DR81" s="563"/>
      <c r="DS81" s="563"/>
      <c r="DT81" s="563"/>
      <c r="DU81" s="563"/>
      <c r="DV81" s="563"/>
      <c r="DW81" s="563"/>
      <c r="DX81" s="563"/>
      <c r="DY81" s="563"/>
      <c r="DZ81" s="563"/>
      <c r="EA81" s="563"/>
      <c r="EB81" s="563"/>
      <c r="EC81" s="564"/>
      <c r="ED81" s="562">
        <f t="shared" ref="ED81" si="22">AT81*50%</f>
        <v>9456.9915000000001</v>
      </c>
      <c r="EE81" s="563"/>
      <c r="EF81" s="563"/>
      <c r="EG81" s="563"/>
      <c r="EH81" s="563"/>
      <c r="EI81" s="563"/>
      <c r="EJ81" s="563"/>
      <c r="EK81" s="563"/>
      <c r="EL81" s="563"/>
      <c r="EM81" s="563"/>
      <c r="EN81" s="563"/>
      <c r="EO81" s="563"/>
      <c r="EP81" s="563"/>
      <c r="EQ81" s="563"/>
      <c r="ER81" s="563"/>
      <c r="ES81" s="564"/>
      <c r="ET81" s="562">
        <f t="shared" ref="ET81" si="23">(AT81+DN81+ED81)*12*AD81</f>
        <v>261012.96540000002</v>
      </c>
      <c r="EU81" s="563"/>
      <c r="EV81" s="563"/>
      <c r="EW81" s="563"/>
      <c r="EX81" s="563"/>
      <c r="EY81" s="563"/>
      <c r="EZ81" s="563"/>
      <c r="FA81" s="563"/>
      <c r="FB81" s="563"/>
      <c r="FC81" s="563"/>
      <c r="FD81" s="563"/>
      <c r="FE81" s="563"/>
      <c r="FF81" s="563"/>
      <c r="FG81" s="563"/>
      <c r="FH81" s="563"/>
      <c r="FI81" s="563"/>
      <c r="FJ81" s="564"/>
      <c r="FK81" s="180">
        <v>662561.23153200001</v>
      </c>
      <c r="FN81" s="326"/>
    </row>
    <row r="82" spans="1:170" s="16" customFormat="1" x14ac:dyDescent="0.3">
      <c r="A82" s="612" t="s">
        <v>257</v>
      </c>
      <c r="B82" s="613"/>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4"/>
      <c r="AD82" s="537">
        <f>AD81</f>
        <v>0.5</v>
      </c>
      <c r="AE82" s="537"/>
      <c r="AF82" s="537"/>
      <c r="AG82" s="537"/>
      <c r="AH82" s="537"/>
      <c r="AI82" s="537"/>
      <c r="AJ82" s="537"/>
      <c r="AK82" s="537"/>
      <c r="AL82" s="537"/>
      <c r="AM82" s="537"/>
      <c r="AN82" s="537"/>
      <c r="AO82" s="537"/>
      <c r="AP82" s="537"/>
      <c r="AQ82" s="537"/>
      <c r="AR82" s="537"/>
      <c r="AS82" s="537"/>
      <c r="AT82" s="538"/>
      <c r="AU82" s="538"/>
      <c r="AV82" s="538"/>
      <c r="AW82" s="538"/>
      <c r="AX82" s="538"/>
      <c r="AY82" s="538"/>
      <c r="AZ82" s="538"/>
      <c r="BA82" s="538"/>
      <c r="BB82" s="538"/>
      <c r="BC82" s="538"/>
      <c r="BD82" s="538"/>
      <c r="BE82" s="538"/>
      <c r="BF82" s="538"/>
      <c r="BG82" s="538"/>
      <c r="BH82" s="538"/>
      <c r="BI82" s="538"/>
      <c r="BJ82" s="538"/>
      <c r="BK82" s="537"/>
      <c r="BL82" s="537"/>
      <c r="BM82" s="537"/>
      <c r="BN82" s="537"/>
      <c r="BO82" s="537"/>
      <c r="BP82" s="537"/>
      <c r="BQ82" s="537"/>
      <c r="BR82" s="537"/>
      <c r="BS82" s="537"/>
      <c r="BT82" s="537"/>
      <c r="BU82" s="537"/>
      <c r="BV82" s="537"/>
      <c r="BW82" s="537"/>
      <c r="BX82" s="537"/>
      <c r="BY82" s="537"/>
      <c r="BZ82" s="537"/>
      <c r="CA82" s="537"/>
      <c r="CB82" s="537"/>
      <c r="CC82" s="536"/>
      <c r="CD82" s="536"/>
      <c r="CE82" s="536"/>
      <c r="CF82" s="536"/>
      <c r="CG82" s="536"/>
      <c r="CH82" s="536"/>
      <c r="CI82" s="536"/>
      <c r="CJ82" s="536"/>
      <c r="CK82" s="536"/>
      <c r="CL82" s="536"/>
      <c r="CM82" s="536"/>
      <c r="CN82" s="536"/>
      <c r="CO82" s="536"/>
      <c r="CP82" s="536"/>
      <c r="CQ82" s="536"/>
      <c r="CR82" s="536"/>
      <c r="CS82" s="536"/>
      <c r="CT82" s="536"/>
      <c r="CU82" s="536"/>
      <c r="CV82" s="536"/>
      <c r="CW82" s="536"/>
      <c r="CX82" s="536"/>
      <c r="CY82" s="536"/>
      <c r="CZ82" s="536"/>
      <c r="DA82" s="536"/>
      <c r="DB82" s="536"/>
      <c r="DC82" s="536"/>
      <c r="DD82" s="536"/>
      <c r="DE82" s="536"/>
      <c r="DF82" s="536"/>
      <c r="DG82" s="536"/>
      <c r="DH82" s="536"/>
      <c r="DI82" s="536"/>
      <c r="DJ82" s="536"/>
      <c r="DK82" s="536"/>
      <c r="DL82" s="536"/>
      <c r="DM82" s="536"/>
      <c r="DN82" s="538"/>
      <c r="DO82" s="538"/>
      <c r="DP82" s="538"/>
      <c r="DQ82" s="538"/>
      <c r="DR82" s="538"/>
      <c r="DS82" s="538"/>
      <c r="DT82" s="538"/>
      <c r="DU82" s="538"/>
      <c r="DV82" s="538"/>
      <c r="DW82" s="538"/>
      <c r="DX82" s="538"/>
      <c r="DY82" s="538"/>
      <c r="DZ82" s="538"/>
      <c r="EA82" s="538"/>
      <c r="EB82" s="538"/>
      <c r="EC82" s="538"/>
      <c r="ED82" s="538"/>
      <c r="EE82" s="538"/>
      <c r="EF82" s="538"/>
      <c r="EG82" s="538"/>
      <c r="EH82" s="538"/>
      <c r="EI82" s="538"/>
      <c r="EJ82" s="538"/>
      <c r="EK82" s="538"/>
      <c r="EL82" s="538"/>
      <c r="EM82" s="538"/>
      <c r="EN82" s="538"/>
      <c r="EO82" s="538"/>
      <c r="EP82" s="538"/>
      <c r="EQ82" s="538"/>
      <c r="ER82" s="538"/>
      <c r="ES82" s="538"/>
      <c r="ET82" s="536">
        <f>ET80+ET81</f>
        <v>262689.96900000004</v>
      </c>
      <c r="EU82" s="536"/>
      <c r="EV82" s="536"/>
      <c r="EW82" s="536"/>
      <c r="EX82" s="536"/>
      <c r="EY82" s="536"/>
      <c r="EZ82" s="536"/>
      <c r="FA82" s="536"/>
      <c r="FB82" s="536"/>
      <c r="FC82" s="536"/>
      <c r="FD82" s="536"/>
      <c r="FE82" s="536"/>
      <c r="FF82" s="536"/>
      <c r="FG82" s="536"/>
      <c r="FH82" s="536"/>
      <c r="FI82" s="536"/>
      <c r="FJ82" s="536"/>
      <c r="FK82" s="171"/>
      <c r="FN82" s="171"/>
    </row>
    <row r="83" spans="1:170" s="16" customFormat="1" x14ac:dyDescent="0.3">
      <c r="A83" s="622" t="s">
        <v>56</v>
      </c>
      <c r="B83" s="623"/>
      <c r="C83" s="623"/>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4"/>
      <c r="AD83" s="539">
        <f>AD78+AD82</f>
        <v>0.5</v>
      </c>
      <c r="AE83" s="539"/>
      <c r="AF83" s="539"/>
      <c r="AG83" s="539"/>
      <c r="AH83" s="539"/>
      <c r="AI83" s="539"/>
      <c r="AJ83" s="539"/>
      <c r="AK83" s="539"/>
      <c r="AL83" s="539"/>
      <c r="AM83" s="539"/>
      <c r="AN83" s="539"/>
      <c r="AO83" s="539"/>
      <c r="AP83" s="539"/>
      <c r="AQ83" s="539"/>
      <c r="AR83" s="539"/>
      <c r="AS83" s="539"/>
      <c r="AT83" s="539"/>
      <c r="AU83" s="539"/>
      <c r="AV83" s="539"/>
      <c r="AW83" s="539"/>
      <c r="AX83" s="539"/>
      <c r="AY83" s="539"/>
      <c r="AZ83" s="539"/>
      <c r="BA83" s="539"/>
      <c r="BB83" s="539"/>
      <c r="BC83" s="539"/>
      <c r="BD83" s="539"/>
      <c r="BE83" s="539"/>
      <c r="BF83" s="539"/>
      <c r="BG83" s="539"/>
      <c r="BH83" s="539"/>
      <c r="BI83" s="539"/>
      <c r="BJ83" s="539"/>
      <c r="BK83" s="539"/>
      <c r="BL83" s="539"/>
      <c r="BM83" s="539"/>
      <c r="BN83" s="539"/>
      <c r="BO83" s="539"/>
      <c r="BP83" s="539"/>
      <c r="BQ83" s="539"/>
      <c r="BR83" s="539"/>
      <c r="BS83" s="539"/>
      <c r="BT83" s="539"/>
      <c r="BU83" s="539"/>
      <c r="BV83" s="539"/>
      <c r="BW83" s="539"/>
      <c r="BX83" s="539"/>
      <c r="BY83" s="539"/>
      <c r="BZ83" s="539"/>
      <c r="CA83" s="539"/>
      <c r="CB83" s="539"/>
      <c r="CC83" s="540"/>
      <c r="CD83" s="540"/>
      <c r="CE83" s="540"/>
      <c r="CF83" s="540"/>
      <c r="CG83" s="540"/>
      <c r="CH83" s="540"/>
      <c r="CI83" s="540"/>
      <c r="CJ83" s="540"/>
      <c r="CK83" s="540"/>
      <c r="CL83" s="540"/>
      <c r="CM83" s="540"/>
      <c r="CN83" s="540"/>
      <c r="CO83" s="540"/>
      <c r="CP83" s="540"/>
      <c r="CQ83" s="540"/>
      <c r="CR83" s="540"/>
      <c r="CS83" s="540"/>
      <c r="CT83" s="540"/>
      <c r="CU83" s="540"/>
      <c r="CV83" s="540"/>
      <c r="CW83" s="540"/>
      <c r="CX83" s="540"/>
      <c r="CY83" s="540"/>
      <c r="CZ83" s="540"/>
      <c r="DA83" s="540"/>
      <c r="DB83" s="540"/>
      <c r="DC83" s="540"/>
      <c r="DD83" s="540"/>
      <c r="DE83" s="540"/>
      <c r="DF83" s="540"/>
      <c r="DG83" s="540"/>
      <c r="DH83" s="540"/>
      <c r="DI83" s="540"/>
      <c r="DJ83" s="540"/>
      <c r="DK83" s="540"/>
      <c r="DL83" s="540"/>
      <c r="DM83" s="540"/>
      <c r="DN83" s="540"/>
      <c r="DO83" s="540"/>
      <c r="DP83" s="540"/>
      <c r="DQ83" s="540"/>
      <c r="DR83" s="540"/>
      <c r="DS83" s="540"/>
      <c r="DT83" s="540"/>
      <c r="DU83" s="540"/>
      <c r="DV83" s="540"/>
      <c r="DW83" s="540"/>
      <c r="DX83" s="540"/>
      <c r="DY83" s="540"/>
      <c r="DZ83" s="540"/>
      <c r="EA83" s="540"/>
      <c r="EB83" s="540"/>
      <c r="EC83" s="540"/>
      <c r="ED83" s="540"/>
      <c r="EE83" s="540"/>
      <c r="EF83" s="540"/>
      <c r="EG83" s="540"/>
      <c r="EH83" s="540"/>
      <c r="EI83" s="540"/>
      <c r="EJ83" s="540"/>
      <c r="EK83" s="540"/>
      <c r="EL83" s="540"/>
      <c r="EM83" s="540"/>
      <c r="EN83" s="540"/>
      <c r="EO83" s="540"/>
      <c r="EP83" s="540"/>
      <c r="EQ83" s="540"/>
      <c r="ER83" s="540"/>
      <c r="ES83" s="540"/>
      <c r="ET83" s="540">
        <f>ET75+ET78+ET82</f>
        <v>277572.96540000004</v>
      </c>
      <c r="EU83" s="540"/>
      <c r="EV83" s="540"/>
      <c r="EW83" s="540"/>
      <c r="EX83" s="540"/>
      <c r="EY83" s="540"/>
      <c r="EZ83" s="540"/>
      <c r="FA83" s="540"/>
      <c r="FB83" s="540"/>
      <c r="FC83" s="540"/>
      <c r="FD83" s="540"/>
      <c r="FE83" s="540"/>
      <c r="FF83" s="540"/>
      <c r="FG83" s="540"/>
      <c r="FH83" s="540"/>
      <c r="FI83" s="540"/>
      <c r="FJ83" s="540"/>
      <c r="FK83" s="171">
        <f>662561.23+47474.34+1730094.42</f>
        <v>2440129.9899999998</v>
      </c>
      <c r="FN83" s="171"/>
    </row>
    <row r="84" spans="1:170" s="16" customForma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181"/>
      <c r="CD84" s="181"/>
      <c r="CE84" s="181"/>
      <c r="CF84" s="181"/>
      <c r="CG84" s="181"/>
      <c r="CH84" s="181"/>
      <c r="CI84" s="181"/>
      <c r="CJ84" s="181"/>
      <c r="CK84" s="181"/>
      <c r="CL84" s="181"/>
      <c r="CM84" s="181"/>
      <c r="CN84" s="181"/>
      <c r="CO84" s="181"/>
      <c r="CP84" s="181"/>
      <c r="CQ84" s="181"/>
      <c r="CR84" s="181"/>
      <c r="CS84" s="181"/>
      <c r="CT84" s="181"/>
      <c r="CU84" s="181"/>
      <c r="CV84" s="181"/>
      <c r="CW84" s="181"/>
      <c r="CX84" s="181"/>
      <c r="CY84" s="181"/>
      <c r="CZ84" s="181"/>
      <c r="DA84" s="181"/>
      <c r="DB84" s="181"/>
      <c r="DC84" s="181"/>
      <c r="DD84" s="181"/>
      <c r="DE84" s="181"/>
      <c r="DF84" s="181"/>
      <c r="DG84" s="181"/>
      <c r="DH84" s="181"/>
      <c r="DI84" s="181"/>
      <c r="DJ84" s="181"/>
      <c r="DK84" s="181"/>
      <c r="DL84" s="181"/>
      <c r="DM84" s="181"/>
      <c r="DN84" s="181"/>
      <c r="DO84" s="181"/>
      <c r="DP84" s="181"/>
      <c r="DQ84" s="181"/>
      <c r="DR84" s="181"/>
      <c r="DS84" s="181"/>
      <c r="DT84" s="181"/>
      <c r="DU84" s="181"/>
      <c r="DV84" s="181"/>
      <c r="DW84" s="181"/>
      <c r="DX84" s="181"/>
      <c r="DY84" s="181"/>
      <c r="DZ84" s="181"/>
      <c r="EA84" s="181"/>
      <c r="EB84" s="181"/>
      <c r="EC84" s="181"/>
      <c r="ED84" s="181"/>
      <c r="EE84" s="181"/>
      <c r="EF84" s="181"/>
      <c r="EG84" s="181"/>
      <c r="EH84" s="181"/>
      <c r="EI84" s="181"/>
      <c r="EJ84" s="181"/>
      <c r="EK84" s="181"/>
      <c r="EL84" s="181"/>
      <c r="EM84" s="181"/>
      <c r="EN84" s="181"/>
      <c r="EO84" s="181"/>
      <c r="EP84" s="181"/>
      <c r="EQ84" s="181"/>
      <c r="ER84" s="181"/>
      <c r="ES84" s="181"/>
      <c r="ET84" s="534"/>
      <c r="EU84" s="534"/>
      <c r="EV84" s="534"/>
      <c r="EW84" s="534"/>
      <c r="EX84" s="534"/>
      <c r="EY84" s="534"/>
      <c r="EZ84" s="534"/>
      <c r="FA84" s="534"/>
      <c r="FB84" s="534"/>
      <c r="FC84" s="534"/>
      <c r="FD84" s="534"/>
      <c r="FE84" s="534"/>
      <c r="FF84" s="534"/>
      <c r="FG84" s="534"/>
      <c r="FH84" s="534"/>
      <c r="FI84" s="534"/>
      <c r="FJ84" s="534"/>
      <c r="FN84" s="171"/>
    </row>
    <row r="86" spans="1:170" x14ac:dyDescent="0.25">
      <c r="ET86" s="615"/>
      <c r="EU86" s="615"/>
      <c r="EV86" s="615"/>
      <c r="EW86" s="615"/>
      <c r="EX86" s="615"/>
      <c r="EY86" s="615"/>
      <c r="EZ86" s="615"/>
      <c r="FA86" s="615"/>
      <c r="FB86" s="615"/>
      <c r="FC86" s="615"/>
      <c r="FD86" s="615"/>
      <c r="FE86" s="615"/>
      <c r="FF86" s="615"/>
      <c r="FG86" s="615"/>
      <c r="FH86" s="615"/>
      <c r="FI86" s="615"/>
      <c r="FJ86" s="615"/>
      <c r="FK86" s="152"/>
      <c r="FL86" s="152"/>
    </row>
    <row r="87" spans="1:170" ht="14.4" x14ac:dyDescent="0.3">
      <c r="AD87" s="526"/>
      <c r="AE87" s="527"/>
      <c r="AF87" s="527"/>
      <c r="AG87" s="527"/>
      <c r="AH87" s="527"/>
      <c r="AI87" s="527"/>
      <c r="AJ87" s="527"/>
      <c r="AK87" s="527"/>
      <c r="AL87" s="527"/>
      <c r="AM87" s="527"/>
      <c r="AN87" s="527"/>
      <c r="AO87" s="527"/>
      <c r="AP87" s="527"/>
      <c r="AQ87" s="527"/>
      <c r="AR87" s="527"/>
      <c r="AS87" s="527"/>
      <c r="DN87" s="528"/>
      <c r="DO87" s="529"/>
      <c r="DP87" s="529"/>
      <c r="DQ87" s="529"/>
      <c r="DR87" s="529"/>
      <c r="DS87" s="529"/>
      <c r="DT87" s="529"/>
      <c r="DU87" s="529"/>
      <c r="DV87" s="529"/>
      <c r="DW87" s="529"/>
      <c r="DX87" s="529"/>
      <c r="DY87" s="529"/>
      <c r="DZ87" s="529"/>
      <c r="EA87" s="529"/>
      <c r="EB87" s="529"/>
      <c r="EC87" s="529"/>
      <c r="ED87" s="529"/>
      <c r="EE87" s="529"/>
      <c r="EF87" s="529"/>
      <c r="EG87" s="529"/>
      <c r="EH87" s="529"/>
      <c r="EI87" s="529"/>
      <c r="EJ87" s="529"/>
      <c r="EK87" s="529"/>
      <c r="EL87" s="529"/>
      <c r="EM87" s="529"/>
      <c r="EN87" s="529"/>
      <c r="EO87" s="529"/>
      <c r="EP87" s="529"/>
      <c r="EQ87" s="529"/>
      <c r="ER87" s="529"/>
      <c r="ES87" s="529"/>
      <c r="ET87" s="533">
        <f>ET83+ET63</f>
        <v>86184860.215399995</v>
      </c>
      <c r="EU87" s="529"/>
      <c r="EV87" s="529"/>
      <c r="EW87" s="529"/>
      <c r="EX87" s="529"/>
      <c r="EY87" s="529"/>
      <c r="EZ87" s="529"/>
      <c r="FA87" s="529"/>
      <c r="FB87" s="529"/>
      <c r="FC87" s="529"/>
      <c r="FD87" s="529"/>
      <c r="FE87" s="529"/>
      <c r="FF87" s="529"/>
      <c r="FG87" s="529"/>
      <c r="FH87" s="529"/>
      <c r="FI87" s="529"/>
      <c r="FJ87" s="529"/>
      <c r="FN87" s="182"/>
    </row>
    <row r="88" spans="1:170" ht="14.4" x14ac:dyDescent="0.3">
      <c r="DN88" s="530"/>
      <c r="DO88" s="531"/>
      <c r="DP88" s="531"/>
      <c r="DQ88" s="531"/>
      <c r="DR88" s="531"/>
      <c r="DS88" s="531"/>
      <c r="DT88" s="531"/>
      <c r="DU88" s="531"/>
      <c r="DV88" s="531"/>
      <c r="DW88" s="531"/>
      <c r="DX88" s="531"/>
      <c r="DY88" s="531"/>
      <c r="DZ88" s="531"/>
      <c r="EA88" s="531"/>
      <c r="EB88" s="531"/>
      <c r="EC88" s="531"/>
      <c r="ED88" s="531"/>
      <c r="EE88" s="531"/>
      <c r="EF88" s="531"/>
      <c r="EG88" s="531"/>
      <c r="EH88" s="531"/>
      <c r="EI88" s="531"/>
      <c r="EJ88" s="531"/>
      <c r="EK88" s="531"/>
      <c r="EL88" s="531"/>
      <c r="EM88" s="531"/>
      <c r="EN88" s="531"/>
      <c r="EO88" s="531"/>
      <c r="EP88" s="531"/>
      <c r="EQ88" s="531"/>
      <c r="ER88" s="531"/>
      <c r="ES88" s="532"/>
      <c r="ET88" s="533">
        <f>ET83+ET61</f>
        <v>64764249.656257197</v>
      </c>
      <c r="EU88" s="529"/>
      <c r="EV88" s="529"/>
      <c r="EW88" s="529"/>
      <c r="EX88" s="529"/>
      <c r="EY88" s="529"/>
      <c r="EZ88" s="529"/>
      <c r="FA88" s="529"/>
      <c r="FB88" s="529"/>
      <c r="FC88" s="529"/>
      <c r="FD88" s="529"/>
      <c r="FE88" s="529"/>
      <c r="FF88" s="529"/>
      <c r="FG88" s="529"/>
      <c r="FH88" s="529"/>
      <c r="FI88" s="529"/>
      <c r="FJ88" s="529"/>
      <c r="FK88" s="183"/>
    </row>
    <row r="89" spans="1:170" ht="14.4" x14ac:dyDescent="0.3">
      <c r="DN89" s="530"/>
      <c r="DO89" s="531"/>
      <c r="DP89" s="531"/>
      <c r="DQ89" s="531"/>
      <c r="DR89" s="531"/>
      <c r="DS89" s="531"/>
      <c r="DT89" s="531"/>
      <c r="DU89" s="531"/>
      <c r="DV89" s="531"/>
      <c r="DW89" s="531"/>
      <c r="DX89" s="531"/>
      <c r="DY89" s="531"/>
      <c r="DZ89" s="531"/>
      <c r="EA89" s="531"/>
      <c r="EB89" s="531"/>
      <c r="EC89" s="531"/>
      <c r="ED89" s="531"/>
      <c r="EE89" s="531"/>
      <c r="EF89" s="531"/>
      <c r="EG89" s="531"/>
      <c r="EH89" s="531"/>
      <c r="EI89" s="531"/>
      <c r="EJ89" s="531"/>
      <c r="EK89" s="531"/>
      <c r="EL89" s="531"/>
      <c r="EM89" s="531"/>
      <c r="EN89" s="531"/>
      <c r="EO89" s="531"/>
      <c r="EP89" s="531"/>
      <c r="EQ89" s="531"/>
      <c r="ER89" s="531"/>
      <c r="ES89" s="532"/>
      <c r="ET89" s="533">
        <f>ET88/ET87</f>
        <v>0.75145738467746281</v>
      </c>
      <c r="EU89" s="529"/>
      <c r="EV89" s="529"/>
      <c r="EW89" s="529"/>
      <c r="EX89" s="529"/>
      <c r="EY89" s="529"/>
      <c r="EZ89" s="529"/>
      <c r="FA89" s="529"/>
      <c r="FB89" s="529"/>
      <c r="FC89" s="529"/>
      <c r="FD89" s="529"/>
      <c r="FE89" s="529"/>
      <c r="FF89" s="529"/>
      <c r="FG89" s="529"/>
      <c r="FH89" s="529"/>
      <c r="FI89" s="529"/>
      <c r="FJ89" s="529"/>
      <c r="FK89" s="183"/>
    </row>
    <row r="92" spans="1:170" x14ac:dyDescent="0.25">
      <c r="EW92" s="184"/>
      <c r="EX92" s="185"/>
      <c r="EY92" s="185"/>
      <c r="EZ92" s="185"/>
      <c r="FA92" s="185"/>
      <c r="FB92" s="185"/>
      <c r="FC92" s="185"/>
    </row>
    <row r="93" spans="1:170" x14ac:dyDescent="0.25">
      <c r="EW93" s="535"/>
      <c r="EX93" s="535"/>
      <c r="EY93" s="535"/>
      <c r="EZ93" s="535"/>
      <c r="FA93" s="535"/>
      <c r="FB93" s="535"/>
      <c r="FC93" s="535"/>
    </row>
    <row r="94" spans="1:170" x14ac:dyDescent="0.25">
      <c r="FK94" s="186"/>
    </row>
    <row r="95" spans="1:170" x14ac:dyDescent="0.25">
      <c r="FK95" s="187"/>
    </row>
    <row r="96" spans="1:170" x14ac:dyDescent="0.25">
      <c r="FK96" s="186"/>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8" spans="170:170" x14ac:dyDescent="0.25">
      <c r="FN108" s="17"/>
    </row>
    <row r="110" spans="170:170" x14ac:dyDescent="0.25">
      <c r="FN110" s="17"/>
    </row>
    <row r="111" spans="170:170" x14ac:dyDescent="0.25">
      <c r="FN111" s="17"/>
    </row>
    <row r="112" spans="170:170" x14ac:dyDescent="0.25">
      <c r="FN112" s="17"/>
    </row>
    <row r="113" spans="170:170" x14ac:dyDescent="0.25">
      <c r="FN113" s="17"/>
    </row>
    <row r="114" spans="170:170" x14ac:dyDescent="0.25">
      <c r="FN114" s="17"/>
    </row>
    <row r="115" spans="170:170" x14ac:dyDescent="0.25">
      <c r="FN115" s="17"/>
    </row>
  </sheetData>
  <mergeCells count="572">
    <mergeCell ref="ET80:FJ80"/>
    <mergeCell ref="A80:F80"/>
    <mergeCell ref="G80:AC80"/>
    <mergeCell ref="AD80:AS80"/>
    <mergeCell ref="AT80:BJ80"/>
    <mergeCell ref="BK80:CB80"/>
    <mergeCell ref="CC80:CU80"/>
    <mergeCell ref="CV80:DM80"/>
    <mergeCell ref="DN80:EC80"/>
    <mergeCell ref="ED80:ES80"/>
    <mergeCell ref="BK78:CB78"/>
    <mergeCell ref="CC78:CU78"/>
    <mergeCell ref="CV78:DM78"/>
    <mergeCell ref="DN78:EC78"/>
    <mergeCell ref="ED78:ES78"/>
    <mergeCell ref="ET78:FJ78"/>
    <mergeCell ref="A79:FJ79"/>
    <mergeCell ref="A82:AC82"/>
    <mergeCell ref="ET86:FJ86"/>
    <mergeCell ref="CC81:CU81"/>
    <mergeCell ref="CV81:DM81"/>
    <mergeCell ref="DN81:EC81"/>
    <mergeCell ref="ED81:ES81"/>
    <mergeCell ref="ET81:FJ81"/>
    <mergeCell ref="A81:F81"/>
    <mergeCell ref="G81:AC81"/>
    <mergeCell ref="AD81:AS81"/>
    <mergeCell ref="AT81:BJ81"/>
    <mergeCell ref="BK81:CB81"/>
    <mergeCell ref="A78:AC78"/>
    <mergeCell ref="AD78:AS78"/>
    <mergeCell ref="AT78:BJ78"/>
    <mergeCell ref="A83:AC83"/>
    <mergeCell ref="AD83:AS83"/>
    <mergeCell ref="AT72:BJ72"/>
    <mergeCell ref="BK72:CB72"/>
    <mergeCell ref="CC72:CU72"/>
    <mergeCell ref="CV72:DM72"/>
    <mergeCell ref="DN72:EC72"/>
    <mergeCell ref="ED72:ES72"/>
    <mergeCell ref="ET72:FJ72"/>
    <mergeCell ref="A73:FJ73"/>
    <mergeCell ref="A74:F74"/>
    <mergeCell ref="G74:AC74"/>
    <mergeCell ref="A72:F72"/>
    <mergeCell ref="G72:AC72"/>
    <mergeCell ref="AD72:AS72"/>
    <mergeCell ref="AD74:AS74"/>
    <mergeCell ref="AT74:BJ74"/>
    <mergeCell ref="BK74:CB74"/>
    <mergeCell ref="CC74:CU74"/>
    <mergeCell ref="CV74:DM74"/>
    <mergeCell ref="DN74:EC74"/>
    <mergeCell ref="ED74:ES74"/>
    <mergeCell ref="ET74:FJ74"/>
    <mergeCell ref="AC64:FJ64"/>
    <mergeCell ref="A66:AT66"/>
    <mergeCell ref="AU66:FJ66"/>
    <mergeCell ref="A69:F71"/>
    <mergeCell ref="G69:AC71"/>
    <mergeCell ref="AD69:AS71"/>
    <mergeCell ref="AT69:DM69"/>
    <mergeCell ref="DN69:EC71"/>
    <mergeCell ref="ED69:ES71"/>
    <mergeCell ref="ET69:FJ71"/>
    <mergeCell ref="AT70:BJ71"/>
    <mergeCell ref="BK70:DM70"/>
    <mergeCell ref="CV71:DM71"/>
    <mergeCell ref="BK71:CB71"/>
    <mergeCell ref="CC71:CU71"/>
    <mergeCell ref="A62:AC62"/>
    <mergeCell ref="AD62:AS62"/>
    <mergeCell ref="AT62:BJ62"/>
    <mergeCell ref="BK62:CB62"/>
    <mergeCell ref="CC62:CU62"/>
    <mergeCell ref="CV62:DM62"/>
    <mergeCell ref="DN62:EC62"/>
    <mergeCell ref="ED62:ES62"/>
    <mergeCell ref="ET63:FJ63"/>
    <mergeCell ref="ET62:FJ62"/>
    <mergeCell ref="ET55:FJ55"/>
    <mergeCell ref="A55:F55"/>
    <mergeCell ref="G55:AC55"/>
    <mergeCell ref="AD55:AS55"/>
    <mergeCell ref="AT55:BJ55"/>
    <mergeCell ref="BK55:CB55"/>
    <mergeCell ref="CC55:CU55"/>
    <mergeCell ref="CV55:DM55"/>
    <mergeCell ref="DN55:EC55"/>
    <mergeCell ref="ED55:ES55"/>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6:FJ56"/>
    <mergeCell ref="A57:F57"/>
    <mergeCell ref="G57:AC57"/>
    <mergeCell ref="AD57:AS57"/>
    <mergeCell ref="AT57:BJ57"/>
    <mergeCell ref="BK57:CB57"/>
    <mergeCell ref="CC57:CU57"/>
    <mergeCell ref="CV57:DM57"/>
    <mergeCell ref="DN57:EC57"/>
    <mergeCell ref="ED57:ES57"/>
    <mergeCell ref="ET57:FJ57"/>
    <mergeCell ref="A56:F56"/>
    <mergeCell ref="G56:AC56"/>
    <mergeCell ref="AD56:AS56"/>
    <mergeCell ref="AT56:BJ56"/>
    <mergeCell ref="BK56:CB56"/>
    <mergeCell ref="CC56:CU56"/>
    <mergeCell ref="CV56:DM56"/>
    <mergeCell ref="DN56:EC56"/>
    <mergeCell ref="ED56:ES56"/>
    <mergeCell ref="ET58:FJ58"/>
    <mergeCell ref="A59:F59"/>
    <mergeCell ref="G59:AC59"/>
    <mergeCell ref="AD59:AS59"/>
    <mergeCell ref="AT59:BJ59"/>
    <mergeCell ref="BK59:CB59"/>
    <mergeCell ref="CC59:CU59"/>
    <mergeCell ref="CV59:DM59"/>
    <mergeCell ref="DN59:EC59"/>
    <mergeCell ref="ED59:ES59"/>
    <mergeCell ref="ET59:FJ59"/>
    <mergeCell ref="A58:F58"/>
    <mergeCell ref="G58:AC58"/>
    <mergeCell ref="AD58:AS58"/>
    <mergeCell ref="AT58:BJ58"/>
    <mergeCell ref="BK58:CB58"/>
    <mergeCell ref="CC58:CU58"/>
    <mergeCell ref="CV58:DM58"/>
    <mergeCell ref="DN58:EC58"/>
    <mergeCell ref="ED58:ES58"/>
    <mergeCell ref="CV60:DM60"/>
    <mergeCell ref="DN60:EC60"/>
    <mergeCell ref="ED60:ES60"/>
    <mergeCell ref="ET60:FJ60"/>
    <mergeCell ref="A61:AC61"/>
    <mergeCell ref="AD61:AS61"/>
    <mergeCell ref="AT61:BJ61"/>
    <mergeCell ref="BK61:CB61"/>
    <mergeCell ref="CC61:CU61"/>
    <mergeCell ref="CV61:DM61"/>
    <mergeCell ref="AD60:AS60"/>
    <mergeCell ref="AT60:BJ60"/>
    <mergeCell ref="BK60:CB60"/>
    <mergeCell ref="CC60:CU60"/>
    <mergeCell ref="DN61:EC61"/>
    <mergeCell ref="ED61:ES61"/>
    <mergeCell ref="ET61:FJ61"/>
    <mergeCell ref="A60:F60"/>
    <mergeCell ref="G60:AC60"/>
    <mergeCell ref="A75:AC75"/>
    <mergeCell ref="AD75:AS75"/>
    <mergeCell ref="AT75:BJ75"/>
    <mergeCell ref="BK75:CB75"/>
    <mergeCell ref="CC75:CU75"/>
    <mergeCell ref="CV75:DM75"/>
    <mergeCell ref="DN75:EC75"/>
    <mergeCell ref="ED75:ES75"/>
    <mergeCell ref="ET75:FJ75"/>
    <mergeCell ref="A76:FJ76"/>
    <mergeCell ref="AD77:AS77"/>
    <mergeCell ref="AT77:BJ77"/>
    <mergeCell ref="BK77:CB77"/>
    <mergeCell ref="CC77:CU77"/>
    <mergeCell ref="CV77:DM77"/>
    <mergeCell ref="DN77:EC77"/>
    <mergeCell ref="ED77:ES77"/>
    <mergeCell ref="ET77:FJ77"/>
    <mergeCell ref="A77:F77"/>
    <mergeCell ref="G77:AC77"/>
    <mergeCell ref="AD87:AS87"/>
    <mergeCell ref="DN87:ES87"/>
    <mergeCell ref="DN89:ES89"/>
    <mergeCell ref="ET89:FJ89"/>
    <mergeCell ref="ET84:FJ84"/>
    <mergeCell ref="ET87:FJ87"/>
    <mergeCell ref="EW93:FC93"/>
    <mergeCell ref="ET82:FJ82"/>
    <mergeCell ref="AD82:AS82"/>
    <mergeCell ref="AT82:BJ82"/>
    <mergeCell ref="BK82:CB82"/>
    <mergeCell ref="CC82:CU82"/>
    <mergeCell ref="CV82:DM82"/>
    <mergeCell ref="DN82:EC82"/>
    <mergeCell ref="ED82:ES82"/>
    <mergeCell ref="AT83:BJ83"/>
    <mergeCell ref="BK83:CB83"/>
    <mergeCell ref="CC83:CU83"/>
    <mergeCell ref="DN88:ES88"/>
    <mergeCell ref="ET88:FJ88"/>
    <mergeCell ref="CV83:DM83"/>
    <mergeCell ref="DN83:EC83"/>
    <mergeCell ref="ED83:ES83"/>
    <mergeCell ref="ET83:FJ83"/>
  </mergeCells>
  <pageMargins left="0.70866141732283472" right="0.70866141732283472" top="0.35433070866141736" bottom="0.15748031496062992" header="0.31496062992125984" footer="0"/>
  <pageSetup paperSize="9" scale="79" fitToHeight="0" orientation="landscape" r:id="rId1"/>
  <rowBreaks count="2" manualBreakCount="2">
    <brk id="36" max="166" man="1"/>
    <brk id="62" max="1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V114"/>
  <sheetViews>
    <sheetView view="pageBreakPreview" zoomScaleNormal="100" zoomScaleSheetLayoutView="100" workbookViewId="0">
      <selection activeCell="CV15" sqref="CV15:DM15"/>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2"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172" s="13" customFormat="1" ht="13.8" x14ac:dyDescent="0.25">
      <c r="A2" s="593" t="s">
        <v>535</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c r="DK2" s="593"/>
      <c r="DL2" s="593"/>
      <c r="DM2" s="593"/>
      <c r="DN2" s="593"/>
      <c r="DO2" s="593"/>
      <c r="DP2" s="593"/>
      <c r="DQ2" s="593"/>
      <c r="DR2" s="593"/>
      <c r="DS2" s="593"/>
      <c r="DT2" s="593"/>
      <c r="DU2" s="593"/>
      <c r="DV2" s="593"/>
      <c r="DW2" s="593"/>
      <c r="DX2" s="593"/>
      <c r="DY2" s="593"/>
      <c r="DZ2" s="593"/>
      <c r="EA2" s="593"/>
      <c r="EB2" s="593"/>
      <c r="EC2" s="593"/>
      <c r="ED2" s="593"/>
      <c r="EE2" s="593"/>
      <c r="EF2" s="593"/>
      <c r="EG2" s="593"/>
      <c r="EH2" s="593"/>
      <c r="EI2" s="593"/>
      <c r="EJ2" s="593"/>
      <c r="EK2" s="593"/>
      <c r="EL2" s="593"/>
      <c r="EM2" s="593"/>
      <c r="EN2" s="593"/>
      <c r="EO2" s="593"/>
      <c r="EP2" s="593"/>
      <c r="EQ2" s="593"/>
      <c r="ER2" s="593"/>
      <c r="ES2" s="593"/>
      <c r="ET2" s="593"/>
      <c r="EU2" s="593"/>
      <c r="EV2" s="593"/>
      <c r="EW2" s="593"/>
      <c r="EX2" s="593"/>
      <c r="EY2" s="593"/>
      <c r="EZ2" s="593"/>
      <c r="FA2" s="593"/>
      <c r="FB2" s="593"/>
      <c r="FC2" s="593"/>
      <c r="FD2" s="593"/>
      <c r="FE2" s="593"/>
      <c r="FF2" s="593"/>
      <c r="FG2" s="593"/>
      <c r="FH2" s="593"/>
      <c r="FI2" s="593"/>
      <c r="FJ2" s="593"/>
      <c r="FN2" s="153"/>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3"/>
    </row>
    <row r="4" spans="1:172" s="13" customFormat="1" ht="13.8" x14ac:dyDescent="0.25">
      <c r="A4" s="594" t="s">
        <v>273</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4"/>
      <c r="ED4" s="594"/>
      <c r="EE4" s="594"/>
      <c r="EF4" s="594"/>
      <c r="EG4" s="594"/>
      <c r="EH4" s="594"/>
      <c r="EI4" s="594"/>
      <c r="EJ4" s="594"/>
      <c r="EK4" s="594"/>
      <c r="EL4" s="594"/>
      <c r="EM4" s="594"/>
      <c r="EN4" s="594"/>
      <c r="EO4" s="594"/>
      <c r="EP4" s="594"/>
      <c r="EQ4" s="594"/>
      <c r="ER4" s="594"/>
      <c r="ES4" s="594"/>
      <c r="ET4" s="594"/>
      <c r="EU4" s="594"/>
      <c r="EV4" s="594"/>
      <c r="EW4" s="594"/>
      <c r="EX4" s="594"/>
      <c r="EY4" s="594"/>
      <c r="EZ4" s="594"/>
      <c r="FA4" s="594"/>
      <c r="FB4" s="594"/>
      <c r="FC4" s="594"/>
      <c r="FD4" s="594"/>
      <c r="FE4" s="594"/>
      <c r="FF4" s="594"/>
      <c r="FG4" s="594"/>
      <c r="FH4" s="594"/>
      <c r="FI4" s="594"/>
      <c r="FJ4" s="594"/>
      <c r="FK4" s="594"/>
      <c r="FL4" s="594"/>
      <c r="FM4" s="594"/>
      <c r="FN4" s="594"/>
      <c r="FO4" s="594"/>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4"/>
      <c r="FO5" s="20"/>
    </row>
    <row r="6" spans="1:172" s="13" customFormat="1" ht="13.8" x14ac:dyDescent="0.25">
      <c r="A6" s="594" t="s">
        <v>274</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4"/>
      <c r="DF6" s="594"/>
      <c r="DG6" s="594"/>
      <c r="DH6" s="594"/>
      <c r="DI6" s="594"/>
      <c r="DJ6" s="594"/>
      <c r="DK6" s="594"/>
      <c r="DL6" s="594"/>
      <c r="DM6" s="594"/>
      <c r="DN6" s="594"/>
      <c r="DO6" s="594"/>
      <c r="DP6" s="594"/>
      <c r="DQ6" s="594"/>
      <c r="DR6" s="594"/>
      <c r="DS6" s="594"/>
      <c r="DT6" s="594"/>
      <c r="DU6" s="594"/>
      <c r="DV6" s="594"/>
      <c r="DW6" s="594"/>
      <c r="DX6" s="594"/>
      <c r="DY6" s="594"/>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c r="FH6" s="594"/>
      <c r="FI6" s="594"/>
      <c r="FJ6" s="594"/>
      <c r="FK6" s="594"/>
      <c r="FL6" s="594"/>
      <c r="FM6" s="594"/>
      <c r="FN6" s="594"/>
      <c r="FO6" s="594"/>
    </row>
    <row r="7" spans="1:172" ht="7.2" customHeight="1" x14ac:dyDescent="0.25"/>
    <row r="8" spans="1:172" s="20" customFormat="1" ht="13.8" x14ac:dyDescent="0.25">
      <c r="A8" s="20" t="s">
        <v>47</v>
      </c>
      <c r="AC8" s="595" t="s">
        <v>466</v>
      </c>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c r="CP8" s="595"/>
      <c r="CQ8" s="595"/>
      <c r="CR8" s="595"/>
      <c r="CS8" s="595"/>
      <c r="CT8" s="595"/>
      <c r="CU8" s="595"/>
      <c r="CV8" s="595"/>
      <c r="CW8" s="595"/>
      <c r="CX8" s="595"/>
      <c r="CY8" s="595"/>
      <c r="CZ8" s="595"/>
      <c r="DA8" s="595"/>
      <c r="DB8" s="595"/>
      <c r="DC8" s="595"/>
      <c r="DD8" s="595"/>
      <c r="DE8" s="595"/>
      <c r="DF8" s="595"/>
      <c r="DG8" s="595"/>
      <c r="DH8" s="595"/>
      <c r="DI8" s="595"/>
      <c r="DJ8" s="595"/>
      <c r="DK8" s="595"/>
      <c r="DL8" s="595"/>
      <c r="DM8" s="595"/>
      <c r="DN8" s="595"/>
      <c r="DO8" s="595"/>
      <c r="DP8" s="595"/>
      <c r="DQ8" s="595"/>
      <c r="DR8" s="595"/>
      <c r="DS8" s="595"/>
      <c r="DT8" s="595"/>
      <c r="DU8" s="595"/>
      <c r="DV8" s="595"/>
      <c r="DW8" s="595"/>
      <c r="DX8" s="595"/>
      <c r="DY8" s="595"/>
      <c r="DZ8" s="595"/>
      <c r="EA8" s="595"/>
      <c r="EB8" s="595"/>
      <c r="EC8" s="595"/>
      <c r="ED8" s="595"/>
      <c r="EE8" s="595"/>
      <c r="EF8" s="595"/>
      <c r="EG8" s="595"/>
      <c r="EH8" s="595"/>
      <c r="EI8" s="595"/>
      <c r="EJ8" s="595"/>
      <c r="EK8" s="595"/>
      <c r="EL8" s="595"/>
      <c r="EM8" s="595"/>
      <c r="EN8" s="595"/>
      <c r="EO8" s="595"/>
      <c r="EP8" s="595"/>
      <c r="EQ8" s="595"/>
      <c r="ER8" s="595"/>
      <c r="ES8" s="595"/>
      <c r="ET8" s="595"/>
      <c r="EU8" s="595"/>
      <c r="EV8" s="595"/>
      <c r="EW8" s="595"/>
      <c r="EX8" s="595"/>
      <c r="EY8" s="595"/>
      <c r="EZ8" s="595"/>
      <c r="FA8" s="595"/>
      <c r="FB8" s="595"/>
      <c r="FC8" s="595"/>
      <c r="FD8" s="595"/>
      <c r="FE8" s="595"/>
      <c r="FF8" s="595"/>
      <c r="FG8" s="595"/>
      <c r="FH8" s="595"/>
      <c r="FI8" s="595"/>
      <c r="FJ8" s="595"/>
      <c r="FN8" s="154"/>
    </row>
    <row r="9" spans="1:172" customFormat="1" ht="6" customHeight="1" x14ac:dyDescent="0.3">
      <c r="FN9" s="155"/>
    </row>
    <row r="10" spans="1:172" s="20" customFormat="1" ht="13.8" x14ac:dyDescent="0.25">
      <c r="A10" s="594" t="s">
        <v>48</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6" t="s">
        <v>467</v>
      </c>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596"/>
      <c r="DG10" s="596"/>
      <c r="DH10" s="596"/>
      <c r="DI10" s="596"/>
      <c r="DJ10" s="596"/>
      <c r="DK10" s="596"/>
      <c r="DL10" s="596"/>
      <c r="DM10" s="596"/>
      <c r="DN10" s="596"/>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596"/>
      <c r="ES10" s="596"/>
      <c r="ET10" s="596"/>
      <c r="EU10" s="596"/>
      <c r="EV10" s="596"/>
      <c r="EW10" s="596"/>
      <c r="EX10" s="596"/>
      <c r="EY10" s="596"/>
      <c r="EZ10" s="596"/>
      <c r="FA10" s="596"/>
      <c r="FB10" s="596"/>
      <c r="FC10" s="596"/>
      <c r="FD10" s="596"/>
      <c r="FE10" s="596"/>
      <c r="FF10" s="596"/>
      <c r="FG10" s="596"/>
      <c r="FH10" s="596"/>
      <c r="FI10" s="596"/>
      <c r="FJ10" s="596"/>
      <c r="FN10" s="154"/>
    </row>
    <row r="11" spans="1:172" ht="6" customHeight="1" x14ac:dyDescent="0.25"/>
    <row r="12" spans="1:172" ht="5.4" customHeight="1" x14ac:dyDescent="0.25">
      <c r="FK12" s="156" t="s">
        <v>468</v>
      </c>
      <c r="FL12" s="156" t="s">
        <v>469</v>
      </c>
      <c r="FM12" s="156"/>
      <c r="FN12" s="157"/>
      <c r="FO12" s="156"/>
    </row>
    <row r="13" spans="1:172" s="18" customFormat="1" ht="12.75" customHeight="1" x14ac:dyDescent="0.3">
      <c r="A13" s="597" t="s">
        <v>49</v>
      </c>
      <c r="B13" s="598"/>
      <c r="C13" s="598"/>
      <c r="D13" s="598"/>
      <c r="E13" s="598"/>
      <c r="F13" s="599"/>
      <c r="G13" s="597" t="s">
        <v>251</v>
      </c>
      <c r="H13" s="598"/>
      <c r="I13" s="598"/>
      <c r="J13" s="598"/>
      <c r="K13" s="598"/>
      <c r="L13" s="598"/>
      <c r="M13" s="598"/>
      <c r="N13" s="598"/>
      <c r="O13" s="598"/>
      <c r="P13" s="598"/>
      <c r="Q13" s="598"/>
      <c r="R13" s="598"/>
      <c r="S13" s="598"/>
      <c r="T13" s="598"/>
      <c r="U13" s="598"/>
      <c r="V13" s="598"/>
      <c r="W13" s="598"/>
      <c r="X13" s="598"/>
      <c r="Y13" s="598"/>
      <c r="Z13" s="598"/>
      <c r="AA13" s="598"/>
      <c r="AB13" s="598"/>
      <c r="AC13" s="599"/>
      <c r="AD13" s="597" t="s">
        <v>50</v>
      </c>
      <c r="AE13" s="598"/>
      <c r="AF13" s="598"/>
      <c r="AG13" s="598"/>
      <c r="AH13" s="598"/>
      <c r="AI13" s="598"/>
      <c r="AJ13" s="598"/>
      <c r="AK13" s="598"/>
      <c r="AL13" s="598"/>
      <c r="AM13" s="598"/>
      <c r="AN13" s="598"/>
      <c r="AO13" s="598"/>
      <c r="AP13" s="598"/>
      <c r="AQ13" s="598"/>
      <c r="AR13" s="598"/>
      <c r="AS13" s="599"/>
      <c r="AT13" s="475" t="s">
        <v>51</v>
      </c>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7"/>
      <c r="DN13" s="597" t="s">
        <v>52</v>
      </c>
      <c r="DO13" s="598"/>
      <c r="DP13" s="598"/>
      <c r="DQ13" s="598"/>
      <c r="DR13" s="598"/>
      <c r="DS13" s="598"/>
      <c r="DT13" s="598"/>
      <c r="DU13" s="598"/>
      <c r="DV13" s="598"/>
      <c r="DW13" s="598"/>
      <c r="DX13" s="598"/>
      <c r="DY13" s="598"/>
      <c r="DZ13" s="598"/>
      <c r="EA13" s="598"/>
      <c r="EB13" s="598"/>
      <c r="EC13" s="599"/>
      <c r="ED13" s="597" t="s">
        <v>100</v>
      </c>
      <c r="EE13" s="598"/>
      <c r="EF13" s="598"/>
      <c r="EG13" s="598"/>
      <c r="EH13" s="598"/>
      <c r="EI13" s="598"/>
      <c r="EJ13" s="598"/>
      <c r="EK13" s="598"/>
      <c r="EL13" s="598"/>
      <c r="EM13" s="598"/>
      <c r="EN13" s="598"/>
      <c r="EO13" s="598"/>
      <c r="EP13" s="598"/>
      <c r="EQ13" s="598"/>
      <c r="ER13" s="598"/>
      <c r="ES13" s="599"/>
      <c r="ET13" s="597" t="s">
        <v>101</v>
      </c>
      <c r="EU13" s="598"/>
      <c r="EV13" s="598"/>
      <c r="EW13" s="598"/>
      <c r="EX13" s="598"/>
      <c r="EY13" s="598"/>
      <c r="EZ13" s="598"/>
      <c r="FA13" s="598"/>
      <c r="FB13" s="598"/>
      <c r="FC13" s="598"/>
      <c r="FD13" s="598"/>
      <c r="FE13" s="598"/>
      <c r="FF13" s="598"/>
      <c r="FG13" s="598"/>
      <c r="FH13" s="598"/>
      <c r="FI13" s="598"/>
      <c r="FJ13" s="599"/>
      <c r="FK13" s="158"/>
      <c r="FL13" s="158"/>
      <c r="FM13" s="158"/>
      <c r="FN13" s="159"/>
      <c r="FO13" s="158"/>
    </row>
    <row r="14" spans="1:172" s="18" customFormat="1" ht="24.9" customHeight="1" x14ac:dyDescent="0.3">
      <c r="A14" s="600"/>
      <c r="B14" s="601"/>
      <c r="C14" s="601"/>
      <c r="D14" s="601"/>
      <c r="E14" s="601"/>
      <c r="F14" s="602"/>
      <c r="G14" s="600"/>
      <c r="H14" s="601"/>
      <c r="I14" s="601"/>
      <c r="J14" s="601"/>
      <c r="K14" s="601"/>
      <c r="L14" s="601"/>
      <c r="M14" s="601"/>
      <c r="N14" s="601"/>
      <c r="O14" s="601"/>
      <c r="P14" s="601"/>
      <c r="Q14" s="601"/>
      <c r="R14" s="601"/>
      <c r="S14" s="601"/>
      <c r="T14" s="601"/>
      <c r="U14" s="601"/>
      <c r="V14" s="601"/>
      <c r="W14" s="601"/>
      <c r="X14" s="601"/>
      <c r="Y14" s="601"/>
      <c r="Z14" s="601"/>
      <c r="AA14" s="601"/>
      <c r="AB14" s="601"/>
      <c r="AC14" s="602"/>
      <c r="AD14" s="600"/>
      <c r="AE14" s="601"/>
      <c r="AF14" s="601"/>
      <c r="AG14" s="601"/>
      <c r="AH14" s="601"/>
      <c r="AI14" s="601"/>
      <c r="AJ14" s="601"/>
      <c r="AK14" s="601"/>
      <c r="AL14" s="601"/>
      <c r="AM14" s="601"/>
      <c r="AN14" s="601"/>
      <c r="AO14" s="601"/>
      <c r="AP14" s="601"/>
      <c r="AQ14" s="601"/>
      <c r="AR14" s="601"/>
      <c r="AS14" s="602"/>
      <c r="AT14" s="597" t="s">
        <v>2</v>
      </c>
      <c r="AU14" s="598"/>
      <c r="AV14" s="598"/>
      <c r="AW14" s="598"/>
      <c r="AX14" s="598"/>
      <c r="AY14" s="598"/>
      <c r="AZ14" s="598"/>
      <c r="BA14" s="598"/>
      <c r="BB14" s="598"/>
      <c r="BC14" s="598"/>
      <c r="BD14" s="598"/>
      <c r="BE14" s="598"/>
      <c r="BF14" s="598"/>
      <c r="BG14" s="598"/>
      <c r="BH14" s="598"/>
      <c r="BI14" s="598"/>
      <c r="BJ14" s="599"/>
      <c r="BK14" s="475" t="s">
        <v>3</v>
      </c>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7"/>
      <c r="DN14" s="600"/>
      <c r="DO14" s="601"/>
      <c r="DP14" s="601"/>
      <c r="DQ14" s="601"/>
      <c r="DR14" s="601"/>
      <c r="DS14" s="601"/>
      <c r="DT14" s="601"/>
      <c r="DU14" s="601"/>
      <c r="DV14" s="601"/>
      <c r="DW14" s="601"/>
      <c r="DX14" s="601"/>
      <c r="DY14" s="601"/>
      <c r="DZ14" s="601"/>
      <c r="EA14" s="601"/>
      <c r="EB14" s="601"/>
      <c r="EC14" s="602"/>
      <c r="ED14" s="600"/>
      <c r="EE14" s="601"/>
      <c r="EF14" s="601"/>
      <c r="EG14" s="601"/>
      <c r="EH14" s="601"/>
      <c r="EI14" s="601"/>
      <c r="EJ14" s="601"/>
      <c r="EK14" s="601"/>
      <c r="EL14" s="601"/>
      <c r="EM14" s="601"/>
      <c r="EN14" s="601"/>
      <c r="EO14" s="601"/>
      <c r="EP14" s="601"/>
      <c r="EQ14" s="601"/>
      <c r="ER14" s="601"/>
      <c r="ES14" s="602"/>
      <c r="ET14" s="600"/>
      <c r="EU14" s="601"/>
      <c r="EV14" s="601"/>
      <c r="EW14" s="601"/>
      <c r="EX14" s="601"/>
      <c r="EY14" s="601"/>
      <c r="EZ14" s="601"/>
      <c r="FA14" s="601"/>
      <c r="FB14" s="601"/>
      <c r="FC14" s="601"/>
      <c r="FD14" s="601"/>
      <c r="FE14" s="601"/>
      <c r="FF14" s="601"/>
      <c r="FG14" s="601"/>
      <c r="FH14" s="601"/>
      <c r="FI14" s="601"/>
      <c r="FJ14" s="602"/>
      <c r="FK14" s="160"/>
      <c r="FL14" s="158"/>
      <c r="FM14" s="158"/>
      <c r="FN14" s="161">
        <f>ET18+ET19+ET20</f>
        <v>5235674.5999999996</v>
      </c>
      <c r="FO14" s="158"/>
    </row>
    <row r="15" spans="1:172" s="18" customFormat="1" ht="45.75" customHeight="1" x14ac:dyDescent="0.3">
      <c r="A15" s="603"/>
      <c r="B15" s="604"/>
      <c r="C15" s="604"/>
      <c r="D15" s="604"/>
      <c r="E15" s="604"/>
      <c r="F15" s="605"/>
      <c r="G15" s="603"/>
      <c r="H15" s="604"/>
      <c r="I15" s="604"/>
      <c r="J15" s="604"/>
      <c r="K15" s="604"/>
      <c r="L15" s="604"/>
      <c r="M15" s="604"/>
      <c r="N15" s="604"/>
      <c r="O15" s="604"/>
      <c r="P15" s="604"/>
      <c r="Q15" s="604"/>
      <c r="R15" s="604"/>
      <c r="S15" s="604"/>
      <c r="T15" s="604"/>
      <c r="U15" s="604"/>
      <c r="V15" s="604"/>
      <c r="W15" s="604"/>
      <c r="X15" s="604"/>
      <c r="Y15" s="604"/>
      <c r="Z15" s="604"/>
      <c r="AA15" s="604"/>
      <c r="AB15" s="604"/>
      <c r="AC15" s="605"/>
      <c r="AD15" s="603"/>
      <c r="AE15" s="604"/>
      <c r="AF15" s="604"/>
      <c r="AG15" s="604"/>
      <c r="AH15" s="604"/>
      <c r="AI15" s="604"/>
      <c r="AJ15" s="604"/>
      <c r="AK15" s="604"/>
      <c r="AL15" s="604"/>
      <c r="AM15" s="604"/>
      <c r="AN15" s="604"/>
      <c r="AO15" s="604"/>
      <c r="AP15" s="604"/>
      <c r="AQ15" s="604"/>
      <c r="AR15" s="604"/>
      <c r="AS15" s="605"/>
      <c r="AT15" s="603"/>
      <c r="AU15" s="604"/>
      <c r="AV15" s="604"/>
      <c r="AW15" s="604"/>
      <c r="AX15" s="604"/>
      <c r="AY15" s="604"/>
      <c r="AZ15" s="604"/>
      <c r="BA15" s="604"/>
      <c r="BB15" s="604"/>
      <c r="BC15" s="604"/>
      <c r="BD15" s="604"/>
      <c r="BE15" s="604"/>
      <c r="BF15" s="604"/>
      <c r="BG15" s="604"/>
      <c r="BH15" s="604"/>
      <c r="BI15" s="604"/>
      <c r="BJ15" s="605"/>
      <c r="BK15" s="606" t="s">
        <v>53</v>
      </c>
      <c r="BL15" s="606"/>
      <c r="BM15" s="606"/>
      <c r="BN15" s="606"/>
      <c r="BO15" s="606"/>
      <c r="BP15" s="606"/>
      <c r="BQ15" s="606"/>
      <c r="BR15" s="606"/>
      <c r="BS15" s="606"/>
      <c r="BT15" s="606"/>
      <c r="BU15" s="606"/>
      <c r="BV15" s="606"/>
      <c r="BW15" s="606"/>
      <c r="BX15" s="606"/>
      <c r="BY15" s="606"/>
      <c r="BZ15" s="606"/>
      <c r="CA15" s="606"/>
      <c r="CB15" s="606"/>
      <c r="CC15" s="606" t="s">
        <v>54</v>
      </c>
      <c r="CD15" s="606"/>
      <c r="CE15" s="606"/>
      <c r="CF15" s="606"/>
      <c r="CG15" s="606"/>
      <c r="CH15" s="606"/>
      <c r="CI15" s="606"/>
      <c r="CJ15" s="606"/>
      <c r="CK15" s="606"/>
      <c r="CL15" s="606"/>
      <c r="CM15" s="606"/>
      <c r="CN15" s="606"/>
      <c r="CO15" s="606"/>
      <c r="CP15" s="606"/>
      <c r="CQ15" s="606"/>
      <c r="CR15" s="606"/>
      <c r="CS15" s="606"/>
      <c r="CT15" s="606"/>
      <c r="CU15" s="606"/>
      <c r="CV15" s="606" t="s">
        <v>55</v>
      </c>
      <c r="CW15" s="606"/>
      <c r="CX15" s="606"/>
      <c r="CY15" s="606"/>
      <c r="CZ15" s="606"/>
      <c r="DA15" s="606"/>
      <c r="DB15" s="606"/>
      <c r="DC15" s="606"/>
      <c r="DD15" s="606"/>
      <c r="DE15" s="606"/>
      <c r="DF15" s="606"/>
      <c r="DG15" s="606"/>
      <c r="DH15" s="606"/>
      <c r="DI15" s="606"/>
      <c r="DJ15" s="606"/>
      <c r="DK15" s="606"/>
      <c r="DL15" s="606"/>
      <c r="DM15" s="606"/>
      <c r="DN15" s="603"/>
      <c r="DO15" s="604"/>
      <c r="DP15" s="604"/>
      <c r="DQ15" s="604"/>
      <c r="DR15" s="604"/>
      <c r="DS15" s="604"/>
      <c r="DT15" s="604"/>
      <c r="DU15" s="604"/>
      <c r="DV15" s="604"/>
      <c r="DW15" s="604"/>
      <c r="DX15" s="604"/>
      <c r="DY15" s="604"/>
      <c r="DZ15" s="604"/>
      <c r="EA15" s="604"/>
      <c r="EB15" s="604"/>
      <c r="EC15" s="605"/>
      <c r="ED15" s="603"/>
      <c r="EE15" s="604"/>
      <c r="EF15" s="604"/>
      <c r="EG15" s="604"/>
      <c r="EH15" s="604"/>
      <c r="EI15" s="604"/>
      <c r="EJ15" s="604"/>
      <c r="EK15" s="604"/>
      <c r="EL15" s="604"/>
      <c r="EM15" s="604"/>
      <c r="EN15" s="604"/>
      <c r="EO15" s="604"/>
      <c r="EP15" s="604"/>
      <c r="EQ15" s="604"/>
      <c r="ER15" s="604"/>
      <c r="ES15" s="605"/>
      <c r="ET15" s="603"/>
      <c r="EU15" s="604"/>
      <c r="EV15" s="604"/>
      <c r="EW15" s="604"/>
      <c r="EX15" s="604"/>
      <c r="EY15" s="604"/>
      <c r="EZ15" s="604"/>
      <c r="FA15" s="604"/>
      <c r="FB15" s="604"/>
      <c r="FC15" s="604"/>
      <c r="FD15" s="604"/>
      <c r="FE15" s="604"/>
      <c r="FF15" s="604"/>
      <c r="FG15" s="604"/>
      <c r="FH15" s="604"/>
      <c r="FI15" s="604"/>
      <c r="FJ15" s="605"/>
      <c r="FK15" s="162">
        <f>ET18+ET19+ET20</f>
        <v>5235674.5999999996</v>
      </c>
      <c r="FL15" s="163">
        <f>CV18+CV19+CV20</f>
        <v>82727.355072463775</v>
      </c>
      <c r="FM15" s="158"/>
      <c r="FN15" s="164">
        <f>(CV18+CV19+CV20)*12</f>
        <v>992728.2608695653</v>
      </c>
      <c r="FO15" s="158"/>
    </row>
    <row r="16" spans="1:172" s="15" customFormat="1" x14ac:dyDescent="0.2">
      <c r="A16" s="591">
        <v>1</v>
      </c>
      <c r="B16" s="591"/>
      <c r="C16" s="591"/>
      <c r="D16" s="591"/>
      <c r="E16" s="591"/>
      <c r="F16" s="591"/>
      <c r="G16" s="591">
        <v>2</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v>3</v>
      </c>
      <c r="AE16" s="591"/>
      <c r="AF16" s="591"/>
      <c r="AG16" s="591"/>
      <c r="AH16" s="591"/>
      <c r="AI16" s="591"/>
      <c r="AJ16" s="591"/>
      <c r="AK16" s="591"/>
      <c r="AL16" s="591"/>
      <c r="AM16" s="591"/>
      <c r="AN16" s="591"/>
      <c r="AO16" s="591"/>
      <c r="AP16" s="591"/>
      <c r="AQ16" s="591"/>
      <c r="AR16" s="591"/>
      <c r="AS16" s="591"/>
      <c r="AT16" s="591">
        <v>4</v>
      </c>
      <c r="AU16" s="591"/>
      <c r="AV16" s="591"/>
      <c r="AW16" s="591"/>
      <c r="AX16" s="591"/>
      <c r="AY16" s="591"/>
      <c r="AZ16" s="591"/>
      <c r="BA16" s="591"/>
      <c r="BB16" s="591"/>
      <c r="BC16" s="591"/>
      <c r="BD16" s="591"/>
      <c r="BE16" s="591"/>
      <c r="BF16" s="591"/>
      <c r="BG16" s="591"/>
      <c r="BH16" s="591"/>
      <c r="BI16" s="591"/>
      <c r="BJ16" s="591"/>
      <c r="BK16" s="591">
        <v>5</v>
      </c>
      <c r="BL16" s="591"/>
      <c r="BM16" s="591"/>
      <c r="BN16" s="591"/>
      <c r="BO16" s="591"/>
      <c r="BP16" s="591"/>
      <c r="BQ16" s="591"/>
      <c r="BR16" s="591"/>
      <c r="BS16" s="591"/>
      <c r="BT16" s="591"/>
      <c r="BU16" s="591"/>
      <c r="BV16" s="591"/>
      <c r="BW16" s="591"/>
      <c r="BX16" s="591"/>
      <c r="BY16" s="591"/>
      <c r="BZ16" s="591"/>
      <c r="CA16" s="591"/>
      <c r="CB16" s="591"/>
      <c r="CC16" s="591">
        <v>6</v>
      </c>
      <c r="CD16" s="591"/>
      <c r="CE16" s="591"/>
      <c r="CF16" s="591"/>
      <c r="CG16" s="591"/>
      <c r="CH16" s="591"/>
      <c r="CI16" s="591"/>
      <c r="CJ16" s="591"/>
      <c r="CK16" s="591"/>
      <c r="CL16" s="591"/>
      <c r="CM16" s="591"/>
      <c r="CN16" s="591"/>
      <c r="CO16" s="591"/>
      <c r="CP16" s="591"/>
      <c r="CQ16" s="591"/>
      <c r="CR16" s="591"/>
      <c r="CS16" s="591"/>
      <c r="CT16" s="591"/>
      <c r="CU16" s="591"/>
      <c r="CV16" s="591">
        <v>7</v>
      </c>
      <c r="CW16" s="591"/>
      <c r="CX16" s="591"/>
      <c r="CY16" s="591"/>
      <c r="CZ16" s="591"/>
      <c r="DA16" s="591"/>
      <c r="DB16" s="591"/>
      <c r="DC16" s="591"/>
      <c r="DD16" s="591"/>
      <c r="DE16" s="591"/>
      <c r="DF16" s="591"/>
      <c r="DG16" s="591"/>
      <c r="DH16" s="591"/>
      <c r="DI16" s="591"/>
      <c r="DJ16" s="591"/>
      <c r="DK16" s="591"/>
      <c r="DL16" s="591"/>
      <c r="DM16" s="591"/>
      <c r="DN16" s="591">
        <v>8</v>
      </c>
      <c r="DO16" s="591"/>
      <c r="DP16" s="591"/>
      <c r="DQ16" s="591"/>
      <c r="DR16" s="591"/>
      <c r="DS16" s="591"/>
      <c r="DT16" s="591"/>
      <c r="DU16" s="591"/>
      <c r="DV16" s="591"/>
      <c r="DW16" s="591"/>
      <c r="DX16" s="591"/>
      <c r="DY16" s="591"/>
      <c r="DZ16" s="591"/>
      <c r="EA16" s="591"/>
      <c r="EB16" s="591"/>
      <c r="EC16" s="591"/>
      <c r="ED16" s="591">
        <v>9</v>
      </c>
      <c r="EE16" s="591"/>
      <c r="EF16" s="591"/>
      <c r="EG16" s="591"/>
      <c r="EH16" s="591"/>
      <c r="EI16" s="591"/>
      <c r="EJ16" s="591"/>
      <c r="EK16" s="591"/>
      <c r="EL16" s="591"/>
      <c r="EM16" s="591"/>
      <c r="EN16" s="591"/>
      <c r="EO16" s="591"/>
      <c r="EP16" s="591"/>
      <c r="EQ16" s="591"/>
      <c r="ER16" s="591"/>
      <c r="ES16" s="591"/>
      <c r="ET16" s="591">
        <v>10</v>
      </c>
      <c r="EU16" s="591"/>
      <c r="EV16" s="591"/>
      <c r="EW16" s="591"/>
      <c r="EX16" s="591"/>
      <c r="EY16" s="591"/>
      <c r="EZ16" s="591"/>
      <c r="FA16" s="591"/>
      <c r="FB16" s="591"/>
      <c r="FC16" s="591"/>
      <c r="FD16" s="591"/>
      <c r="FE16" s="591"/>
      <c r="FF16" s="591"/>
      <c r="FG16" s="591"/>
      <c r="FH16" s="591"/>
      <c r="FI16" s="591"/>
      <c r="FJ16" s="591"/>
      <c r="FK16" s="165" t="s">
        <v>470</v>
      </c>
      <c r="FL16" s="165" t="s">
        <v>471</v>
      </c>
      <c r="FM16" s="165"/>
      <c r="FN16" s="166"/>
      <c r="FO16" s="156" t="s">
        <v>468</v>
      </c>
      <c r="FP16" s="156" t="s">
        <v>469</v>
      </c>
    </row>
    <row r="17" spans="1:172" s="16" customFormat="1" ht="15" customHeight="1" x14ac:dyDescent="0.3">
      <c r="A17" s="541" t="s">
        <v>255</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3"/>
      <c r="FK17" s="167">
        <v>1292000</v>
      </c>
      <c r="FL17" s="167">
        <f>(ET18-FK17)+(ET19-FK17)</f>
        <v>955930.60000000009</v>
      </c>
      <c r="FM17" s="168"/>
      <c r="FN17" s="169"/>
      <c r="FO17" s="170">
        <f>ET18+ET19+ET20</f>
        <v>5235674.5999999996</v>
      </c>
      <c r="FP17" s="170">
        <f>CV18+CV19+CV20</f>
        <v>82727.355072463775</v>
      </c>
    </row>
    <row r="18" spans="1:172" s="16" customFormat="1" ht="13.2" customHeight="1" x14ac:dyDescent="0.3">
      <c r="A18" s="571" t="s">
        <v>67</v>
      </c>
      <c r="B18" s="571"/>
      <c r="C18" s="571"/>
      <c r="D18" s="571"/>
      <c r="E18" s="571"/>
      <c r="F18" s="571"/>
      <c r="G18" s="577" t="s">
        <v>472</v>
      </c>
      <c r="H18" s="577"/>
      <c r="I18" s="577"/>
      <c r="J18" s="577"/>
      <c r="K18" s="577"/>
      <c r="L18" s="577"/>
      <c r="M18" s="577"/>
      <c r="N18" s="577"/>
      <c r="O18" s="577"/>
      <c r="P18" s="577"/>
      <c r="Q18" s="577"/>
      <c r="R18" s="577"/>
      <c r="S18" s="577"/>
      <c r="T18" s="577"/>
      <c r="U18" s="577"/>
      <c r="V18" s="577"/>
      <c r="W18" s="577"/>
      <c r="X18" s="577"/>
      <c r="Y18" s="577"/>
      <c r="Z18" s="577"/>
      <c r="AA18" s="577"/>
      <c r="AB18" s="577"/>
      <c r="AC18" s="577"/>
      <c r="AD18" s="569">
        <v>1</v>
      </c>
      <c r="AE18" s="569"/>
      <c r="AF18" s="569"/>
      <c r="AG18" s="569"/>
      <c r="AH18" s="569"/>
      <c r="AI18" s="569"/>
      <c r="AJ18" s="569"/>
      <c r="AK18" s="569"/>
      <c r="AL18" s="569"/>
      <c r="AM18" s="569"/>
      <c r="AN18" s="569"/>
      <c r="AO18" s="569"/>
      <c r="AP18" s="569"/>
      <c r="AQ18" s="569"/>
      <c r="AR18" s="569"/>
      <c r="AS18" s="569"/>
      <c r="AT18" s="538">
        <f>BK18+CC18+CV18</f>
        <v>66818.355072463775</v>
      </c>
      <c r="AU18" s="538"/>
      <c r="AV18" s="538"/>
      <c r="AW18" s="538"/>
      <c r="AX18" s="538"/>
      <c r="AY18" s="538"/>
      <c r="AZ18" s="538"/>
      <c r="BA18" s="538"/>
      <c r="BB18" s="538"/>
      <c r="BC18" s="538"/>
      <c r="BD18" s="538"/>
      <c r="BE18" s="538"/>
      <c r="BF18" s="538"/>
      <c r="BG18" s="538"/>
      <c r="BH18" s="538"/>
      <c r="BI18" s="538"/>
      <c r="BJ18" s="538"/>
      <c r="BK18" s="583">
        <v>40091</v>
      </c>
      <c r="BL18" s="583"/>
      <c r="BM18" s="583"/>
      <c r="BN18" s="583"/>
      <c r="BO18" s="583"/>
      <c r="BP18" s="583"/>
      <c r="BQ18" s="583"/>
      <c r="BR18" s="583"/>
      <c r="BS18" s="583"/>
      <c r="BT18" s="583"/>
      <c r="BU18" s="583"/>
      <c r="BV18" s="583"/>
      <c r="BW18" s="583"/>
      <c r="BX18" s="583"/>
      <c r="BY18" s="583"/>
      <c r="BZ18" s="583"/>
      <c r="CA18" s="583"/>
      <c r="CB18" s="583"/>
      <c r="CC18" s="538"/>
      <c r="CD18" s="538"/>
      <c r="CE18" s="538"/>
      <c r="CF18" s="538"/>
      <c r="CG18" s="538"/>
      <c r="CH18" s="538"/>
      <c r="CI18" s="538"/>
      <c r="CJ18" s="538"/>
      <c r="CK18" s="538"/>
      <c r="CL18" s="538"/>
      <c r="CM18" s="538"/>
      <c r="CN18" s="538"/>
      <c r="CO18" s="538"/>
      <c r="CP18" s="538"/>
      <c r="CQ18" s="538"/>
      <c r="CR18" s="538"/>
      <c r="CS18" s="538"/>
      <c r="CT18" s="538"/>
      <c r="CU18" s="538"/>
      <c r="CV18" s="592">
        <f>737675/12/2.3</f>
        <v>26727.355072463768</v>
      </c>
      <c r="CW18" s="592"/>
      <c r="CX18" s="592"/>
      <c r="CY18" s="592"/>
      <c r="CZ18" s="592"/>
      <c r="DA18" s="592"/>
      <c r="DB18" s="592"/>
      <c r="DC18" s="592"/>
      <c r="DD18" s="592"/>
      <c r="DE18" s="592"/>
      <c r="DF18" s="592"/>
      <c r="DG18" s="592"/>
      <c r="DH18" s="592"/>
      <c r="DI18" s="592"/>
      <c r="DJ18" s="592"/>
      <c r="DK18" s="592"/>
      <c r="DL18" s="592"/>
      <c r="DM18" s="592"/>
      <c r="DN18" s="538">
        <f>AT18*80%</f>
        <v>53454.684057971026</v>
      </c>
      <c r="DO18" s="538"/>
      <c r="DP18" s="538"/>
      <c r="DQ18" s="538"/>
      <c r="DR18" s="538"/>
      <c r="DS18" s="538"/>
      <c r="DT18" s="538"/>
      <c r="DU18" s="538"/>
      <c r="DV18" s="538"/>
      <c r="DW18" s="538"/>
      <c r="DX18" s="538"/>
      <c r="DY18" s="538"/>
      <c r="DZ18" s="538"/>
      <c r="EA18" s="538"/>
      <c r="EB18" s="538"/>
      <c r="EC18" s="538"/>
      <c r="ED18" s="538">
        <f>AT18*50%</f>
        <v>33409.177536231888</v>
      </c>
      <c r="EE18" s="538"/>
      <c r="EF18" s="538"/>
      <c r="EG18" s="538"/>
      <c r="EH18" s="538"/>
      <c r="EI18" s="538"/>
      <c r="EJ18" s="538"/>
      <c r="EK18" s="538"/>
      <c r="EL18" s="538"/>
      <c r="EM18" s="538"/>
      <c r="EN18" s="538"/>
      <c r="EO18" s="538"/>
      <c r="EP18" s="538"/>
      <c r="EQ18" s="538"/>
      <c r="ER18" s="538"/>
      <c r="ES18" s="538"/>
      <c r="ET18" s="573">
        <f>(AT18+DN18+ED18)*12*AD18</f>
        <v>1844186.6</v>
      </c>
      <c r="EU18" s="573"/>
      <c r="EV18" s="573"/>
      <c r="EW18" s="573"/>
      <c r="EX18" s="573"/>
      <c r="EY18" s="573"/>
      <c r="EZ18" s="573"/>
      <c r="FA18" s="573"/>
      <c r="FB18" s="573"/>
      <c r="FC18" s="573"/>
      <c r="FD18" s="573"/>
      <c r="FE18" s="573"/>
      <c r="FF18" s="573"/>
      <c r="FG18" s="573"/>
      <c r="FH18" s="573"/>
      <c r="FI18" s="573"/>
      <c r="FJ18" s="573"/>
      <c r="FK18" s="165"/>
      <c r="FL18" s="165"/>
      <c r="FM18" s="168"/>
      <c r="FN18" s="171"/>
      <c r="FO18" s="159"/>
      <c r="FP18" s="170"/>
    </row>
    <row r="19" spans="1:172" s="16" customFormat="1" ht="13.2" customHeight="1" x14ac:dyDescent="0.3">
      <c r="A19" s="571" t="s">
        <v>71</v>
      </c>
      <c r="B19" s="571"/>
      <c r="C19" s="571"/>
      <c r="D19" s="571"/>
      <c r="E19" s="571"/>
      <c r="F19" s="571"/>
      <c r="G19" s="577" t="s">
        <v>473</v>
      </c>
      <c r="H19" s="577"/>
      <c r="I19" s="577"/>
      <c r="J19" s="577"/>
      <c r="K19" s="577"/>
      <c r="L19" s="577"/>
      <c r="M19" s="577"/>
      <c r="N19" s="577"/>
      <c r="O19" s="577"/>
      <c r="P19" s="577"/>
      <c r="Q19" s="577"/>
      <c r="R19" s="577"/>
      <c r="S19" s="577"/>
      <c r="T19" s="577"/>
      <c r="U19" s="577"/>
      <c r="V19" s="577"/>
      <c r="W19" s="577"/>
      <c r="X19" s="577"/>
      <c r="Y19" s="577"/>
      <c r="Z19" s="577"/>
      <c r="AA19" s="577"/>
      <c r="AB19" s="577"/>
      <c r="AC19" s="577"/>
      <c r="AD19" s="569">
        <v>1</v>
      </c>
      <c r="AE19" s="569"/>
      <c r="AF19" s="569"/>
      <c r="AG19" s="569"/>
      <c r="AH19" s="569"/>
      <c r="AI19" s="569"/>
      <c r="AJ19" s="569"/>
      <c r="AK19" s="569"/>
      <c r="AL19" s="569"/>
      <c r="AM19" s="569"/>
      <c r="AN19" s="569"/>
      <c r="AO19" s="569"/>
      <c r="AP19" s="569"/>
      <c r="AQ19" s="569"/>
      <c r="AR19" s="569"/>
      <c r="AS19" s="569"/>
      <c r="AT19" s="538">
        <f t="shared" ref="AT19:AT29" si="0">BK19+CC19+CV19</f>
        <v>61440</v>
      </c>
      <c r="AU19" s="538"/>
      <c r="AV19" s="538"/>
      <c r="AW19" s="538"/>
      <c r="AX19" s="538"/>
      <c r="AY19" s="538"/>
      <c r="AZ19" s="538"/>
      <c r="BA19" s="538"/>
      <c r="BB19" s="538"/>
      <c r="BC19" s="538"/>
      <c r="BD19" s="538"/>
      <c r="BE19" s="538"/>
      <c r="BF19" s="538"/>
      <c r="BG19" s="538"/>
      <c r="BH19" s="538"/>
      <c r="BI19" s="538"/>
      <c r="BJ19" s="538"/>
      <c r="BK19" s="570">
        <v>33440</v>
      </c>
      <c r="BL19" s="570"/>
      <c r="BM19" s="570"/>
      <c r="BN19" s="570"/>
      <c r="BO19" s="570"/>
      <c r="BP19" s="570"/>
      <c r="BQ19" s="570"/>
      <c r="BR19" s="570"/>
      <c r="BS19" s="570"/>
      <c r="BT19" s="570"/>
      <c r="BU19" s="570"/>
      <c r="BV19" s="570"/>
      <c r="BW19" s="570"/>
      <c r="BX19" s="570"/>
      <c r="BY19" s="570"/>
      <c r="BZ19" s="570"/>
      <c r="CA19" s="570"/>
      <c r="CB19" s="570"/>
      <c r="CC19" s="538"/>
      <c r="CD19" s="538"/>
      <c r="CE19" s="538"/>
      <c r="CF19" s="538"/>
      <c r="CG19" s="538"/>
      <c r="CH19" s="538"/>
      <c r="CI19" s="538"/>
      <c r="CJ19" s="538"/>
      <c r="CK19" s="538"/>
      <c r="CL19" s="538"/>
      <c r="CM19" s="538"/>
      <c r="CN19" s="538"/>
      <c r="CO19" s="538"/>
      <c r="CP19" s="538"/>
      <c r="CQ19" s="538"/>
      <c r="CR19" s="538"/>
      <c r="CS19" s="538"/>
      <c r="CT19" s="538"/>
      <c r="CU19" s="538"/>
      <c r="CV19" s="562">
        <v>28000</v>
      </c>
      <c r="CW19" s="563"/>
      <c r="CX19" s="563"/>
      <c r="CY19" s="563"/>
      <c r="CZ19" s="563"/>
      <c r="DA19" s="563"/>
      <c r="DB19" s="563"/>
      <c r="DC19" s="563"/>
      <c r="DD19" s="563"/>
      <c r="DE19" s="563"/>
      <c r="DF19" s="563"/>
      <c r="DG19" s="563"/>
      <c r="DH19" s="563"/>
      <c r="DI19" s="563"/>
      <c r="DJ19" s="563"/>
      <c r="DK19" s="563"/>
      <c r="DL19" s="563"/>
      <c r="DM19" s="564"/>
      <c r="DN19" s="538">
        <f t="shared" ref="DN19:DN29" si="1">AT19*80%</f>
        <v>49152</v>
      </c>
      <c r="DO19" s="538"/>
      <c r="DP19" s="538"/>
      <c r="DQ19" s="538"/>
      <c r="DR19" s="538"/>
      <c r="DS19" s="538"/>
      <c r="DT19" s="538"/>
      <c r="DU19" s="538"/>
      <c r="DV19" s="538"/>
      <c r="DW19" s="538"/>
      <c r="DX19" s="538"/>
      <c r="DY19" s="538"/>
      <c r="DZ19" s="538"/>
      <c r="EA19" s="538"/>
      <c r="EB19" s="538"/>
      <c r="EC19" s="538"/>
      <c r="ED19" s="538">
        <f t="shared" ref="ED19:ED29" si="2">AT19*50%</f>
        <v>30720</v>
      </c>
      <c r="EE19" s="538"/>
      <c r="EF19" s="538"/>
      <c r="EG19" s="538"/>
      <c r="EH19" s="538"/>
      <c r="EI19" s="538"/>
      <c r="EJ19" s="538"/>
      <c r="EK19" s="538"/>
      <c r="EL19" s="538"/>
      <c r="EM19" s="538"/>
      <c r="EN19" s="538"/>
      <c r="EO19" s="538"/>
      <c r="EP19" s="538"/>
      <c r="EQ19" s="538"/>
      <c r="ER19" s="538"/>
      <c r="ES19" s="538"/>
      <c r="ET19" s="573">
        <f t="shared" ref="ET19:ET29" si="3">(AT19+DN19+ED19)*12*AD19</f>
        <v>1695744</v>
      </c>
      <c r="EU19" s="573"/>
      <c r="EV19" s="573"/>
      <c r="EW19" s="573"/>
      <c r="EX19" s="573"/>
      <c r="EY19" s="573"/>
      <c r="EZ19" s="573"/>
      <c r="FA19" s="573"/>
      <c r="FB19" s="573"/>
      <c r="FC19" s="573"/>
      <c r="FD19" s="573"/>
      <c r="FE19" s="573"/>
      <c r="FF19" s="573"/>
      <c r="FG19" s="573"/>
      <c r="FH19" s="573"/>
      <c r="FI19" s="573"/>
      <c r="FJ19" s="573"/>
      <c r="FK19" s="165" t="s">
        <v>474</v>
      </c>
      <c r="FL19" s="165" t="s">
        <v>475</v>
      </c>
      <c r="FM19" s="168"/>
      <c r="FN19" s="171"/>
      <c r="FO19" s="172"/>
      <c r="FP19" s="172"/>
    </row>
    <row r="20" spans="1:172" s="16" customFormat="1" ht="13.2" customHeight="1" x14ac:dyDescent="0.3">
      <c r="A20" s="571" t="s">
        <v>462</v>
      </c>
      <c r="B20" s="571"/>
      <c r="C20" s="571"/>
      <c r="D20" s="571"/>
      <c r="E20" s="571"/>
      <c r="F20" s="571"/>
      <c r="G20" s="577" t="s">
        <v>476</v>
      </c>
      <c r="H20" s="577"/>
      <c r="I20" s="577"/>
      <c r="J20" s="577"/>
      <c r="K20" s="577"/>
      <c r="L20" s="577"/>
      <c r="M20" s="577"/>
      <c r="N20" s="577"/>
      <c r="O20" s="577"/>
      <c r="P20" s="577"/>
      <c r="Q20" s="577"/>
      <c r="R20" s="577"/>
      <c r="S20" s="577"/>
      <c r="T20" s="577"/>
      <c r="U20" s="577"/>
      <c r="V20" s="577"/>
      <c r="W20" s="577"/>
      <c r="X20" s="577"/>
      <c r="Y20" s="577"/>
      <c r="Z20" s="577"/>
      <c r="AA20" s="577"/>
      <c r="AB20" s="577"/>
      <c r="AC20" s="577"/>
      <c r="AD20" s="569">
        <v>1</v>
      </c>
      <c r="AE20" s="569"/>
      <c r="AF20" s="569"/>
      <c r="AG20" s="569"/>
      <c r="AH20" s="569"/>
      <c r="AI20" s="569"/>
      <c r="AJ20" s="569"/>
      <c r="AK20" s="569"/>
      <c r="AL20" s="569"/>
      <c r="AM20" s="569"/>
      <c r="AN20" s="569"/>
      <c r="AO20" s="569"/>
      <c r="AP20" s="569"/>
      <c r="AQ20" s="569"/>
      <c r="AR20" s="569"/>
      <c r="AS20" s="569"/>
      <c r="AT20" s="538">
        <f t="shared" si="0"/>
        <v>61440</v>
      </c>
      <c r="AU20" s="538"/>
      <c r="AV20" s="538"/>
      <c r="AW20" s="538"/>
      <c r="AX20" s="538"/>
      <c r="AY20" s="538"/>
      <c r="AZ20" s="538"/>
      <c r="BA20" s="538"/>
      <c r="BB20" s="538"/>
      <c r="BC20" s="538"/>
      <c r="BD20" s="538"/>
      <c r="BE20" s="538"/>
      <c r="BF20" s="538"/>
      <c r="BG20" s="538"/>
      <c r="BH20" s="538"/>
      <c r="BI20" s="538"/>
      <c r="BJ20" s="538"/>
      <c r="BK20" s="570">
        <v>33440</v>
      </c>
      <c r="BL20" s="570"/>
      <c r="BM20" s="570"/>
      <c r="BN20" s="570"/>
      <c r="BO20" s="570"/>
      <c r="BP20" s="570"/>
      <c r="BQ20" s="570"/>
      <c r="BR20" s="570"/>
      <c r="BS20" s="570"/>
      <c r="BT20" s="570"/>
      <c r="BU20" s="570"/>
      <c r="BV20" s="570"/>
      <c r="BW20" s="570"/>
      <c r="BX20" s="570"/>
      <c r="BY20" s="570"/>
      <c r="BZ20" s="570"/>
      <c r="CA20" s="570"/>
      <c r="CB20" s="570"/>
      <c r="CC20" s="538"/>
      <c r="CD20" s="538"/>
      <c r="CE20" s="538"/>
      <c r="CF20" s="538"/>
      <c r="CG20" s="538"/>
      <c r="CH20" s="538"/>
      <c r="CI20" s="538"/>
      <c r="CJ20" s="538"/>
      <c r="CK20" s="538"/>
      <c r="CL20" s="538"/>
      <c r="CM20" s="538"/>
      <c r="CN20" s="538"/>
      <c r="CO20" s="538"/>
      <c r="CP20" s="538"/>
      <c r="CQ20" s="538"/>
      <c r="CR20" s="538"/>
      <c r="CS20" s="538"/>
      <c r="CT20" s="538"/>
      <c r="CU20" s="538"/>
      <c r="CV20" s="562">
        <v>28000</v>
      </c>
      <c r="CW20" s="563"/>
      <c r="CX20" s="563"/>
      <c r="CY20" s="563"/>
      <c r="CZ20" s="563"/>
      <c r="DA20" s="563"/>
      <c r="DB20" s="563"/>
      <c r="DC20" s="563"/>
      <c r="DD20" s="563"/>
      <c r="DE20" s="563"/>
      <c r="DF20" s="563"/>
      <c r="DG20" s="563"/>
      <c r="DH20" s="563"/>
      <c r="DI20" s="563"/>
      <c r="DJ20" s="563"/>
      <c r="DK20" s="563"/>
      <c r="DL20" s="563"/>
      <c r="DM20" s="564"/>
      <c r="DN20" s="538">
        <f t="shared" si="1"/>
        <v>49152</v>
      </c>
      <c r="DO20" s="538"/>
      <c r="DP20" s="538"/>
      <c r="DQ20" s="538"/>
      <c r="DR20" s="538"/>
      <c r="DS20" s="538"/>
      <c r="DT20" s="538"/>
      <c r="DU20" s="538"/>
      <c r="DV20" s="538"/>
      <c r="DW20" s="538"/>
      <c r="DX20" s="538"/>
      <c r="DY20" s="538"/>
      <c r="DZ20" s="538"/>
      <c r="EA20" s="538"/>
      <c r="EB20" s="538"/>
      <c r="EC20" s="538"/>
      <c r="ED20" s="538">
        <f t="shared" si="2"/>
        <v>30720</v>
      </c>
      <c r="EE20" s="538"/>
      <c r="EF20" s="538"/>
      <c r="EG20" s="538"/>
      <c r="EH20" s="538"/>
      <c r="EI20" s="538"/>
      <c r="EJ20" s="538"/>
      <c r="EK20" s="538"/>
      <c r="EL20" s="538"/>
      <c r="EM20" s="538"/>
      <c r="EN20" s="538"/>
      <c r="EO20" s="538"/>
      <c r="EP20" s="538"/>
      <c r="EQ20" s="538"/>
      <c r="ER20" s="538"/>
      <c r="ES20" s="538"/>
      <c r="ET20" s="573">
        <f t="shared" si="3"/>
        <v>1695744</v>
      </c>
      <c r="EU20" s="573"/>
      <c r="EV20" s="573"/>
      <c r="EW20" s="573"/>
      <c r="EX20" s="573"/>
      <c r="EY20" s="573"/>
      <c r="EZ20" s="573"/>
      <c r="FA20" s="573"/>
      <c r="FB20" s="573"/>
      <c r="FC20" s="573"/>
      <c r="FD20" s="573"/>
      <c r="FE20" s="573"/>
      <c r="FF20" s="573"/>
      <c r="FG20" s="573"/>
      <c r="FH20" s="573"/>
      <c r="FI20" s="573"/>
      <c r="FJ20" s="573"/>
      <c r="FK20" s="167">
        <v>912000</v>
      </c>
      <c r="FL20" s="167">
        <f>(ET18-FK20)+(ET19-FK20)+(ET20-FK20)</f>
        <v>2499674.6</v>
      </c>
      <c r="FM20" s="168"/>
      <c r="FN20" s="171"/>
      <c r="FO20" s="172"/>
      <c r="FP20" s="172"/>
    </row>
    <row r="21" spans="1:172" s="16" customFormat="1" ht="13.2" customHeight="1" x14ac:dyDescent="0.3">
      <c r="A21" s="571" t="s">
        <v>477</v>
      </c>
      <c r="B21" s="571"/>
      <c r="C21" s="571"/>
      <c r="D21" s="571"/>
      <c r="E21" s="571"/>
      <c r="F21" s="571"/>
      <c r="G21" s="587" t="s">
        <v>478</v>
      </c>
      <c r="H21" s="588"/>
      <c r="I21" s="588"/>
      <c r="J21" s="588"/>
      <c r="K21" s="588"/>
      <c r="L21" s="588"/>
      <c r="M21" s="588"/>
      <c r="N21" s="588"/>
      <c r="O21" s="588"/>
      <c r="P21" s="588"/>
      <c r="Q21" s="588"/>
      <c r="R21" s="588"/>
      <c r="S21" s="588"/>
      <c r="T21" s="588"/>
      <c r="U21" s="588"/>
      <c r="V21" s="588"/>
      <c r="W21" s="588"/>
      <c r="X21" s="588"/>
      <c r="Y21" s="588"/>
      <c r="Z21" s="588"/>
      <c r="AA21" s="588"/>
      <c r="AB21" s="588"/>
      <c r="AC21" s="589"/>
      <c r="AD21" s="569">
        <v>1</v>
      </c>
      <c r="AE21" s="569"/>
      <c r="AF21" s="569"/>
      <c r="AG21" s="569"/>
      <c r="AH21" s="569"/>
      <c r="AI21" s="569"/>
      <c r="AJ21" s="569"/>
      <c r="AK21" s="569"/>
      <c r="AL21" s="569"/>
      <c r="AM21" s="569"/>
      <c r="AN21" s="569"/>
      <c r="AO21" s="569"/>
      <c r="AP21" s="569"/>
      <c r="AQ21" s="569"/>
      <c r="AR21" s="569"/>
      <c r="AS21" s="569"/>
      <c r="AT21" s="538">
        <f t="shared" si="0"/>
        <v>28457.181400000001</v>
      </c>
      <c r="AU21" s="538"/>
      <c r="AV21" s="538"/>
      <c r="AW21" s="538"/>
      <c r="AX21" s="538"/>
      <c r="AY21" s="538"/>
      <c r="AZ21" s="538"/>
      <c r="BA21" s="538"/>
      <c r="BB21" s="538"/>
      <c r="BC21" s="538"/>
      <c r="BD21" s="538"/>
      <c r="BE21" s="538"/>
      <c r="BF21" s="538"/>
      <c r="BG21" s="538"/>
      <c r="BH21" s="538"/>
      <c r="BI21" s="538"/>
      <c r="BJ21" s="538"/>
      <c r="BK21" s="570">
        <v>8250</v>
      </c>
      <c r="BL21" s="570"/>
      <c r="BM21" s="570"/>
      <c r="BN21" s="570"/>
      <c r="BO21" s="570"/>
      <c r="BP21" s="570"/>
      <c r="BQ21" s="570"/>
      <c r="BR21" s="570"/>
      <c r="BS21" s="570"/>
      <c r="BT21" s="570"/>
      <c r="BU21" s="570"/>
      <c r="BV21" s="570"/>
      <c r="BW21" s="570"/>
      <c r="BX21" s="570"/>
      <c r="BY21" s="570"/>
      <c r="BZ21" s="570"/>
      <c r="CA21" s="570"/>
      <c r="CB21" s="570"/>
      <c r="CC21" s="538">
        <v>725</v>
      </c>
      <c r="CD21" s="538"/>
      <c r="CE21" s="538"/>
      <c r="CF21" s="538"/>
      <c r="CG21" s="538"/>
      <c r="CH21" s="538"/>
      <c r="CI21" s="538"/>
      <c r="CJ21" s="538"/>
      <c r="CK21" s="538"/>
      <c r="CL21" s="538"/>
      <c r="CM21" s="538"/>
      <c r="CN21" s="538"/>
      <c r="CO21" s="538"/>
      <c r="CP21" s="538"/>
      <c r="CQ21" s="538"/>
      <c r="CR21" s="538"/>
      <c r="CS21" s="538"/>
      <c r="CT21" s="538"/>
      <c r="CU21" s="538"/>
      <c r="CV21" s="538">
        <v>19482.181400000001</v>
      </c>
      <c r="CW21" s="538"/>
      <c r="CX21" s="538"/>
      <c r="CY21" s="538"/>
      <c r="CZ21" s="538"/>
      <c r="DA21" s="538"/>
      <c r="DB21" s="538"/>
      <c r="DC21" s="538"/>
      <c r="DD21" s="538"/>
      <c r="DE21" s="538"/>
      <c r="DF21" s="538"/>
      <c r="DG21" s="538"/>
      <c r="DH21" s="538"/>
      <c r="DI21" s="538"/>
      <c r="DJ21" s="538"/>
      <c r="DK21" s="538"/>
      <c r="DL21" s="538"/>
      <c r="DM21" s="538"/>
      <c r="DN21" s="538">
        <f t="shared" si="1"/>
        <v>22765.745120000003</v>
      </c>
      <c r="DO21" s="538"/>
      <c r="DP21" s="538"/>
      <c r="DQ21" s="538"/>
      <c r="DR21" s="538"/>
      <c r="DS21" s="538"/>
      <c r="DT21" s="538"/>
      <c r="DU21" s="538"/>
      <c r="DV21" s="538"/>
      <c r="DW21" s="538"/>
      <c r="DX21" s="538"/>
      <c r="DY21" s="538"/>
      <c r="DZ21" s="538"/>
      <c r="EA21" s="538"/>
      <c r="EB21" s="538"/>
      <c r="EC21" s="538"/>
      <c r="ED21" s="538">
        <f t="shared" si="2"/>
        <v>14228.590700000001</v>
      </c>
      <c r="EE21" s="538"/>
      <c r="EF21" s="538"/>
      <c r="EG21" s="538"/>
      <c r="EH21" s="538"/>
      <c r="EI21" s="538"/>
      <c r="EJ21" s="538"/>
      <c r="EK21" s="538"/>
      <c r="EL21" s="538"/>
      <c r="EM21" s="538"/>
      <c r="EN21" s="538"/>
      <c r="EO21" s="538"/>
      <c r="EP21" s="538"/>
      <c r="EQ21" s="538"/>
      <c r="ER21" s="538"/>
      <c r="ES21" s="538"/>
      <c r="ET21" s="573">
        <f t="shared" si="3"/>
        <v>785418.20664000011</v>
      </c>
      <c r="EU21" s="573"/>
      <c r="EV21" s="573"/>
      <c r="EW21" s="573"/>
      <c r="EX21" s="573"/>
      <c r="EY21" s="573"/>
      <c r="EZ21" s="573"/>
      <c r="FA21" s="573"/>
      <c r="FB21" s="573"/>
      <c r="FC21" s="573"/>
      <c r="FD21" s="573"/>
      <c r="FE21" s="573"/>
      <c r="FF21" s="573"/>
      <c r="FG21" s="573"/>
      <c r="FH21" s="573"/>
      <c r="FI21" s="573"/>
      <c r="FJ21" s="573"/>
      <c r="FK21" s="171"/>
      <c r="FN21" s="171"/>
      <c r="FO21" s="172"/>
      <c r="FP21" s="172"/>
    </row>
    <row r="22" spans="1:172" s="16" customFormat="1" ht="13.2" customHeight="1" x14ac:dyDescent="0.3">
      <c r="A22" s="571" t="s">
        <v>479</v>
      </c>
      <c r="B22" s="571"/>
      <c r="C22" s="571"/>
      <c r="D22" s="571"/>
      <c r="E22" s="571"/>
      <c r="F22" s="571"/>
      <c r="G22" s="587" t="s">
        <v>480</v>
      </c>
      <c r="H22" s="588"/>
      <c r="I22" s="588"/>
      <c r="J22" s="588"/>
      <c r="K22" s="588"/>
      <c r="L22" s="588"/>
      <c r="M22" s="588"/>
      <c r="N22" s="588"/>
      <c r="O22" s="588"/>
      <c r="P22" s="588"/>
      <c r="Q22" s="588"/>
      <c r="R22" s="588"/>
      <c r="S22" s="588"/>
      <c r="T22" s="588"/>
      <c r="U22" s="588"/>
      <c r="V22" s="588"/>
      <c r="W22" s="588"/>
      <c r="X22" s="588"/>
      <c r="Y22" s="588"/>
      <c r="Z22" s="588"/>
      <c r="AA22" s="588"/>
      <c r="AB22" s="588"/>
      <c r="AC22" s="589"/>
      <c r="AD22" s="569">
        <v>1</v>
      </c>
      <c r="AE22" s="569"/>
      <c r="AF22" s="569"/>
      <c r="AG22" s="569"/>
      <c r="AH22" s="569"/>
      <c r="AI22" s="569"/>
      <c r="AJ22" s="569"/>
      <c r="AK22" s="569"/>
      <c r="AL22" s="569"/>
      <c r="AM22" s="569"/>
      <c r="AN22" s="569"/>
      <c r="AO22" s="569"/>
      <c r="AP22" s="569"/>
      <c r="AQ22" s="569"/>
      <c r="AR22" s="569"/>
      <c r="AS22" s="569"/>
      <c r="AT22" s="538">
        <f t="shared" si="0"/>
        <v>28788</v>
      </c>
      <c r="AU22" s="538"/>
      <c r="AV22" s="538"/>
      <c r="AW22" s="538"/>
      <c r="AX22" s="538"/>
      <c r="AY22" s="538"/>
      <c r="AZ22" s="538"/>
      <c r="BA22" s="538"/>
      <c r="BB22" s="538"/>
      <c r="BC22" s="538"/>
      <c r="BD22" s="538"/>
      <c r="BE22" s="538"/>
      <c r="BF22" s="538"/>
      <c r="BG22" s="538"/>
      <c r="BH22" s="538"/>
      <c r="BI22" s="538"/>
      <c r="BJ22" s="538"/>
      <c r="BK22" s="570">
        <v>7063</v>
      </c>
      <c r="BL22" s="570"/>
      <c r="BM22" s="570"/>
      <c r="BN22" s="570"/>
      <c r="BO22" s="570"/>
      <c r="BP22" s="570"/>
      <c r="BQ22" s="570"/>
      <c r="BR22" s="570"/>
      <c r="BS22" s="570"/>
      <c r="BT22" s="570"/>
      <c r="BU22" s="570"/>
      <c r="BV22" s="570"/>
      <c r="BW22" s="570"/>
      <c r="BX22" s="570"/>
      <c r="BY22" s="570"/>
      <c r="BZ22" s="570"/>
      <c r="CA22" s="570"/>
      <c r="CB22" s="570"/>
      <c r="CC22" s="590">
        <v>725</v>
      </c>
      <c r="CD22" s="590"/>
      <c r="CE22" s="590"/>
      <c r="CF22" s="590"/>
      <c r="CG22" s="590"/>
      <c r="CH22" s="590"/>
      <c r="CI22" s="590"/>
      <c r="CJ22" s="590"/>
      <c r="CK22" s="590"/>
      <c r="CL22" s="590"/>
      <c r="CM22" s="590"/>
      <c r="CN22" s="590"/>
      <c r="CO22" s="590"/>
      <c r="CP22" s="590"/>
      <c r="CQ22" s="590"/>
      <c r="CR22" s="590"/>
      <c r="CS22" s="590"/>
      <c r="CT22" s="590"/>
      <c r="CU22" s="590"/>
      <c r="CV22" s="538">
        <v>21000</v>
      </c>
      <c r="CW22" s="538"/>
      <c r="CX22" s="538"/>
      <c r="CY22" s="538"/>
      <c r="CZ22" s="538"/>
      <c r="DA22" s="538"/>
      <c r="DB22" s="538"/>
      <c r="DC22" s="538"/>
      <c r="DD22" s="538"/>
      <c r="DE22" s="538"/>
      <c r="DF22" s="538"/>
      <c r="DG22" s="538"/>
      <c r="DH22" s="538"/>
      <c r="DI22" s="538"/>
      <c r="DJ22" s="538"/>
      <c r="DK22" s="538"/>
      <c r="DL22" s="538"/>
      <c r="DM22" s="538"/>
      <c r="DN22" s="538">
        <f t="shared" si="1"/>
        <v>23030.400000000001</v>
      </c>
      <c r="DO22" s="538"/>
      <c r="DP22" s="538"/>
      <c r="DQ22" s="538"/>
      <c r="DR22" s="538"/>
      <c r="DS22" s="538"/>
      <c r="DT22" s="538"/>
      <c r="DU22" s="538"/>
      <c r="DV22" s="538"/>
      <c r="DW22" s="538"/>
      <c r="DX22" s="538"/>
      <c r="DY22" s="538"/>
      <c r="DZ22" s="538"/>
      <c r="EA22" s="538"/>
      <c r="EB22" s="538"/>
      <c r="EC22" s="538"/>
      <c r="ED22" s="538">
        <f t="shared" si="2"/>
        <v>14394</v>
      </c>
      <c r="EE22" s="538"/>
      <c r="EF22" s="538"/>
      <c r="EG22" s="538"/>
      <c r="EH22" s="538"/>
      <c r="EI22" s="538"/>
      <c r="EJ22" s="538"/>
      <c r="EK22" s="538"/>
      <c r="EL22" s="538"/>
      <c r="EM22" s="538"/>
      <c r="EN22" s="538"/>
      <c r="EO22" s="538"/>
      <c r="EP22" s="538"/>
      <c r="EQ22" s="538"/>
      <c r="ER22" s="538"/>
      <c r="ES22" s="538"/>
      <c r="ET22" s="573">
        <f t="shared" si="3"/>
        <v>794548.79999999993</v>
      </c>
      <c r="EU22" s="573"/>
      <c r="EV22" s="573"/>
      <c r="EW22" s="573"/>
      <c r="EX22" s="573"/>
      <c r="EY22" s="573"/>
      <c r="EZ22" s="573"/>
      <c r="FA22" s="573"/>
      <c r="FB22" s="573"/>
      <c r="FC22" s="573"/>
      <c r="FD22" s="573"/>
      <c r="FE22" s="573"/>
      <c r="FF22" s="573"/>
      <c r="FG22" s="573"/>
      <c r="FH22" s="573"/>
      <c r="FI22" s="573"/>
      <c r="FJ22" s="573"/>
      <c r="FK22" s="171"/>
      <c r="FN22" s="171"/>
      <c r="FO22" s="165"/>
      <c r="FP22" s="165"/>
    </row>
    <row r="23" spans="1:172" s="16" customFormat="1" ht="13.2" customHeight="1" x14ac:dyDescent="0.3">
      <c r="A23" s="581" t="s">
        <v>481</v>
      </c>
      <c r="B23" s="581"/>
      <c r="C23" s="581"/>
      <c r="D23" s="581"/>
      <c r="E23" s="581"/>
      <c r="F23" s="581"/>
      <c r="G23" s="584" t="s">
        <v>482</v>
      </c>
      <c r="H23" s="585"/>
      <c r="I23" s="585"/>
      <c r="J23" s="585"/>
      <c r="K23" s="585"/>
      <c r="L23" s="585"/>
      <c r="M23" s="585"/>
      <c r="N23" s="585"/>
      <c r="O23" s="585"/>
      <c r="P23" s="585"/>
      <c r="Q23" s="585"/>
      <c r="R23" s="585"/>
      <c r="S23" s="585"/>
      <c r="T23" s="585"/>
      <c r="U23" s="585"/>
      <c r="V23" s="585"/>
      <c r="W23" s="585"/>
      <c r="X23" s="585"/>
      <c r="Y23" s="585"/>
      <c r="Z23" s="585"/>
      <c r="AA23" s="585"/>
      <c r="AB23" s="585"/>
      <c r="AC23" s="586"/>
      <c r="AD23" s="582">
        <v>1</v>
      </c>
      <c r="AE23" s="582"/>
      <c r="AF23" s="582"/>
      <c r="AG23" s="582"/>
      <c r="AH23" s="582"/>
      <c r="AI23" s="582"/>
      <c r="AJ23" s="582"/>
      <c r="AK23" s="582"/>
      <c r="AL23" s="582"/>
      <c r="AM23" s="582"/>
      <c r="AN23" s="582"/>
      <c r="AO23" s="582"/>
      <c r="AP23" s="582"/>
      <c r="AQ23" s="582"/>
      <c r="AR23" s="582"/>
      <c r="AS23" s="582"/>
      <c r="AT23" s="573">
        <f t="shared" si="0"/>
        <v>29975</v>
      </c>
      <c r="AU23" s="573"/>
      <c r="AV23" s="573"/>
      <c r="AW23" s="573"/>
      <c r="AX23" s="573"/>
      <c r="AY23" s="573"/>
      <c r="AZ23" s="573"/>
      <c r="BA23" s="573"/>
      <c r="BB23" s="573"/>
      <c r="BC23" s="573"/>
      <c r="BD23" s="573"/>
      <c r="BE23" s="573"/>
      <c r="BF23" s="573"/>
      <c r="BG23" s="573"/>
      <c r="BH23" s="573"/>
      <c r="BI23" s="573"/>
      <c r="BJ23" s="573"/>
      <c r="BK23" s="583">
        <v>8250</v>
      </c>
      <c r="BL23" s="583"/>
      <c r="BM23" s="583"/>
      <c r="BN23" s="583"/>
      <c r="BO23" s="583"/>
      <c r="BP23" s="583"/>
      <c r="BQ23" s="583"/>
      <c r="BR23" s="583"/>
      <c r="BS23" s="583"/>
      <c r="BT23" s="583"/>
      <c r="BU23" s="583"/>
      <c r="BV23" s="583"/>
      <c r="BW23" s="583"/>
      <c r="BX23" s="583"/>
      <c r="BY23" s="583"/>
      <c r="BZ23" s="583"/>
      <c r="CA23" s="583"/>
      <c r="CB23" s="583"/>
      <c r="CC23" s="573">
        <v>725</v>
      </c>
      <c r="CD23" s="573"/>
      <c r="CE23" s="573"/>
      <c r="CF23" s="573"/>
      <c r="CG23" s="573"/>
      <c r="CH23" s="573"/>
      <c r="CI23" s="573"/>
      <c r="CJ23" s="573"/>
      <c r="CK23" s="573"/>
      <c r="CL23" s="573"/>
      <c r="CM23" s="573"/>
      <c r="CN23" s="573"/>
      <c r="CO23" s="573"/>
      <c r="CP23" s="573"/>
      <c r="CQ23" s="573"/>
      <c r="CR23" s="573"/>
      <c r="CS23" s="573"/>
      <c r="CT23" s="573"/>
      <c r="CU23" s="573"/>
      <c r="CV23" s="573">
        <v>21000</v>
      </c>
      <c r="CW23" s="573"/>
      <c r="CX23" s="573"/>
      <c r="CY23" s="573"/>
      <c r="CZ23" s="573"/>
      <c r="DA23" s="573"/>
      <c r="DB23" s="573"/>
      <c r="DC23" s="573"/>
      <c r="DD23" s="573"/>
      <c r="DE23" s="573"/>
      <c r="DF23" s="573"/>
      <c r="DG23" s="573"/>
      <c r="DH23" s="573"/>
      <c r="DI23" s="573"/>
      <c r="DJ23" s="573"/>
      <c r="DK23" s="573"/>
      <c r="DL23" s="573"/>
      <c r="DM23" s="573"/>
      <c r="DN23" s="573">
        <f t="shared" si="1"/>
        <v>23980</v>
      </c>
      <c r="DO23" s="573"/>
      <c r="DP23" s="573"/>
      <c r="DQ23" s="573"/>
      <c r="DR23" s="573"/>
      <c r="DS23" s="573"/>
      <c r="DT23" s="573"/>
      <c r="DU23" s="573"/>
      <c r="DV23" s="573"/>
      <c r="DW23" s="573"/>
      <c r="DX23" s="573"/>
      <c r="DY23" s="573"/>
      <c r="DZ23" s="573"/>
      <c r="EA23" s="573"/>
      <c r="EB23" s="573"/>
      <c r="EC23" s="573"/>
      <c r="ED23" s="573">
        <f t="shared" si="2"/>
        <v>14987.5</v>
      </c>
      <c r="EE23" s="573"/>
      <c r="EF23" s="573"/>
      <c r="EG23" s="573"/>
      <c r="EH23" s="573"/>
      <c r="EI23" s="573"/>
      <c r="EJ23" s="573"/>
      <c r="EK23" s="573"/>
      <c r="EL23" s="573"/>
      <c r="EM23" s="573"/>
      <c r="EN23" s="573"/>
      <c r="EO23" s="573"/>
      <c r="EP23" s="573"/>
      <c r="EQ23" s="573"/>
      <c r="ER23" s="573"/>
      <c r="ES23" s="573"/>
      <c r="ET23" s="573">
        <f t="shared" si="3"/>
        <v>827310</v>
      </c>
      <c r="EU23" s="573"/>
      <c r="EV23" s="573"/>
      <c r="EW23" s="573"/>
      <c r="EX23" s="573"/>
      <c r="EY23" s="573"/>
      <c r="EZ23" s="573"/>
      <c r="FA23" s="573"/>
      <c r="FB23" s="573"/>
      <c r="FC23" s="573"/>
      <c r="FD23" s="573"/>
      <c r="FE23" s="573"/>
      <c r="FF23" s="573"/>
      <c r="FG23" s="573"/>
      <c r="FH23" s="573"/>
      <c r="FI23" s="573"/>
      <c r="FJ23" s="573"/>
      <c r="FK23" s="171"/>
      <c r="FN23" s="171"/>
      <c r="FO23" s="167"/>
      <c r="FP23" s="173"/>
    </row>
    <row r="24" spans="1:172" s="16" customFormat="1" ht="13.2" customHeight="1" x14ac:dyDescent="0.3">
      <c r="A24" s="581" t="s">
        <v>483</v>
      </c>
      <c r="B24" s="581"/>
      <c r="C24" s="581"/>
      <c r="D24" s="581"/>
      <c r="E24" s="581"/>
      <c r="F24" s="581"/>
      <c r="G24" s="584" t="s">
        <v>484</v>
      </c>
      <c r="H24" s="585"/>
      <c r="I24" s="585"/>
      <c r="J24" s="585"/>
      <c r="K24" s="585"/>
      <c r="L24" s="585"/>
      <c r="M24" s="585"/>
      <c r="N24" s="585"/>
      <c r="O24" s="585"/>
      <c r="P24" s="585"/>
      <c r="Q24" s="585"/>
      <c r="R24" s="585"/>
      <c r="S24" s="585"/>
      <c r="T24" s="585"/>
      <c r="U24" s="585"/>
      <c r="V24" s="585"/>
      <c r="W24" s="585"/>
      <c r="X24" s="585"/>
      <c r="Y24" s="585"/>
      <c r="Z24" s="585"/>
      <c r="AA24" s="585"/>
      <c r="AB24" s="585"/>
      <c r="AC24" s="586"/>
      <c r="AD24" s="582">
        <v>3</v>
      </c>
      <c r="AE24" s="582"/>
      <c r="AF24" s="582"/>
      <c r="AG24" s="582"/>
      <c r="AH24" s="582"/>
      <c r="AI24" s="582"/>
      <c r="AJ24" s="582"/>
      <c r="AK24" s="582"/>
      <c r="AL24" s="582"/>
      <c r="AM24" s="582"/>
      <c r="AN24" s="582"/>
      <c r="AO24" s="582"/>
      <c r="AP24" s="582"/>
      <c r="AQ24" s="582"/>
      <c r="AR24" s="582"/>
      <c r="AS24" s="582"/>
      <c r="AT24" s="573">
        <f t="shared" si="0"/>
        <v>30575</v>
      </c>
      <c r="AU24" s="573"/>
      <c r="AV24" s="573"/>
      <c r="AW24" s="573"/>
      <c r="AX24" s="573"/>
      <c r="AY24" s="573"/>
      <c r="AZ24" s="573"/>
      <c r="BA24" s="573"/>
      <c r="BB24" s="573"/>
      <c r="BC24" s="573"/>
      <c r="BD24" s="573"/>
      <c r="BE24" s="573"/>
      <c r="BF24" s="573"/>
      <c r="BG24" s="573"/>
      <c r="BH24" s="573"/>
      <c r="BI24" s="573"/>
      <c r="BJ24" s="573"/>
      <c r="BK24" s="583">
        <v>8250</v>
      </c>
      <c r="BL24" s="583"/>
      <c r="BM24" s="583"/>
      <c r="BN24" s="583"/>
      <c r="BO24" s="583"/>
      <c r="BP24" s="583"/>
      <c r="BQ24" s="583"/>
      <c r="BR24" s="583"/>
      <c r="BS24" s="583"/>
      <c r="BT24" s="583"/>
      <c r="BU24" s="583"/>
      <c r="BV24" s="583"/>
      <c r="BW24" s="583"/>
      <c r="BX24" s="583"/>
      <c r="BY24" s="583"/>
      <c r="BZ24" s="583"/>
      <c r="CA24" s="583"/>
      <c r="CB24" s="583"/>
      <c r="CC24" s="573">
        <v>725</v>
      </c>
      <c r="CD24" s="573"/>
      <c r="CE24" s="573"/>
      <c r="CF24" s="573"/>
      <c r="CG24" s="573"/>
      <c r="CH24" s="573"/>
      <c r="CI24" s="573"/>
      <c r="CJ24" s="573"/>
      <c r="CK24" s="573"/>
      <c r="CL24" s="573"/>
      <c r="CM24" s="573"/>
      <c r="CN24" s="573"/>
      <c r="CO24" s="573"/>
      <c r="CP24" s="573"/>
      <c r="CQ24" s="573"/>
      <c r="CR24" s="573"/>
      <c r="CS24" s="573"/>
      <c r="CT24" s="573"/>
      <c r="CU24" s="573"/>
      <c r="CV24" s="573">
        <v>21600</v>
      </c>
      <c r="CW24" s="573"/>
      <c r="CX24" s="573"/>
      <c r="CY24" s="573"/>
      <c r="CZ24" s="573"/>
      <c r="DA24" s="573"/>
      <c r="DB24" s="573"/>
      <c r="DC24" s="573"/>
      <c r="DD24" s="573"/>
      <c r="DE24" s="573"/>
      <c r="DF24" s="573"/>
      <c r="DG24" s="573"/>
      <c r="DH24" s="573"/>
      <c r="DI24" s="573"/>
      <c r="DJ24" s="573"/>
      <c r="DK24" s="573"/>
      <c r="DL24" s="573"/>
      <c r="DM24" s="573"/>
      <c r="DN24" s="573">
        <f t="shared" si="1"/>
        <v>24460</v>
      </c>
      <c r="DO24" s="573"/>
      <c r="DP24" s="573"/>
      <c r="DQ24" s="573"/>
      <c r="DR24" s="573"/>
      <c r="DS24" s="573"/>
      <c r="DT24" s="573"/>
      <c r="DU24" s="573"/>
      <c r="DV24" s="573"/>
      <c r="DW24" s="573"/>
      <c r="DX24" s="573"/>
      <c r="DY24" s="573"/>
      <c r="DZ24" s="573"/>
      <c r="EA24" s="573"/>
      <c r="EB24" s="573"/>
      <c r="EC24" s="573"/>
      <c r="ED24" s="573">
        <f t="shared" si="2"/>
        <v>15287.5</v>
      </c>
      <c r="EE24" s="573"/>
      <c r="EF24" s="573"/>
      <c r="EG24" s="573"/>
      <c r="EH24" s="573"/>
      <c r="EI24" s="573"/>
      <c r="EJ24" s="573"/>
      <c r="EK24" s="573"/>
      <c r="EL24" s="573"/>
      <c r="EM24" s="573"/>
      <c r="EN24" s="573"/>
      <c r="EO24" s="573"/>
      <c r="EP24" s="573"/>
      <c r="EQ24" s="573"/>
      <c r="ER24" s="573"/>
      <c r="ES24" s="573"/>
      <c r="ET24" s="573">
        <f>(AT24+DN24+ED24)*12*AD24</f>
        <v>2531610</v>
      </c>
      <c r="EU24" s="573"/>
      <c r="EV24" s="573"/>
      <c r="EW24" s="573"/>
      <c r="EX24" s="573"/>
      <c r="EY24" s="573"/>
      <c r="EZ24" s="573"/>
      <c r="FA24" s="573"/>
      <c r="FB24" s="573"/>
      <c r="FC24" s="573"/>
      <c r="FD24" s="573"/>
      <c r="FE24" s="573"/>
      <c r="FF24" s="573"/>
      <c r="FG24" s="573"/>
      <c r="FH24" s="573"/>
      <c r="FI24" s="573"/>
      <c r="FJ24" s="573"/>
      <c r="FK24" s="171"/>
      <c r="FN24" s="171"/>
      <c r="FO24" s="174"/>
      <c r="FP24" s="175"/>
    </row>
    <row r="25" spans="1:172" s="16" customFormat="1" ht="15" customHeight="1" x14ac:dyDescent="0.3">
      <c r="A25" s="581" t="s">
        <v>485</v>
      </c>
      <c r="B25" s="581"/>
      <c r="C25" s="581"/>
      <c r="D25" s="581"/>
      <c r="E25" s="581"/>
      <c r="F25" s="581"/>
      <c r="G25" s="584" t="s">
        <v>486</v>
      </c>
      <c r="H25" s="585"/>
      <c r="I25" s="585"/>
      <c r="J25" s="585"/>
      <c r="K25" s="585"/>
      <c r="L25" s="585"/>
      <c r="M25" s="585"/>
      <c r="N25" s="585"/>
      <c r="O25" s="585"/>
      <c r="P25" s="585"/>
      <c r="Q25" s="585"/>
      <c r="R25" s="585"/>
      <c r="S25" s="585"/>
      <c r="T25" s="585"/>
      <c r="U25" s="585"/>
      <c r="V25" s="585"/>
      <c r="W25" s="585"/>
      <c r="X25" s="585"/>
      <c r="Y25" s="585"/>
      <c r="Z25" s="585"/>
      <c r="AA25" s="585"/>
      <c r="AB25" s="585"/>
      <c r="AC25" s="586"/>
      <c r="AD25" s="582">
        <v>1</v>
      </c>
      <c r="AE25" s="582"/>
      <c r="AF25" s="582"/>
      <c r="AG25" s="582"/>
      <c r="AH25" s="582"/>
      <c r="AI25" s="582"/>
      <c r="AJ25" s="582"/>
      <c r="AK25" s="582"/>
      <c r="AL25" s="582"/>
      <c r="AM25" s="582"/>
      <c r="AN25" s="582"/>
      <c r="AO25" s="582"/>
      <c r="AP25" s="582"/>
      <c r="AQ25" s="582"/>
      <c r="AR25" s="582"/>
      <c r="AS25" s="582"/>
      <c r="AT25" s="573">
        <f t="shared" si="0"/>
        <v>34607</v>
      </c>
      <c r="AU25" s="573"/>
      <c r="AV25" s="573"/>
      <c r="AW25" s="573"/>
      <c r="AX25" s="573"/>
      <c r="AY25" s="573"/>
      <c r="AZ25" s="573"/>
      <c r="BA25" s="573"/>
      <c r="BB25" s="573"/>
      <c r="BC25" s="573"/>
      <c r="BD25" s="573"/>
      <c r="BE25" s="573"/>
      <c r="BF25" s="573"/>
      <c r="BG25" s="573"/>
      <c r="BH25" s="573"/>
      <c r="BI25" s="573"/>
      <c r="BJ25" s="573"/>
      <c r="BK25" s="583">
        <v>9607</v>
      </c>
      <c r="BL25" s="583"/>
      <c r="BM25" s="583"/>
      <c r="BN25" s="583"/>
      <c r="BO25" s="583"/>
      <c r="BP25" s="583"/>
      <c r="BQ25" s="583"/>
      <c r="BR25" s="583"/>
      <c r="BS25" s="583"/>
      <c r="BT25" s="583"/>
      <c r="BU25" s="583"/>
      <c r="BV25" s="583"/>
      <c r="BW25" s="583"/>
      <c r="BX25" s="583"/>
      <c r="BY25" s="583"/>
      <c r="BZ25" s="583"/>
      <c r="CA25" s="583"/>
      <c r="CB25" s="583"/>
      <c r="CC25" s="573"/>
      <c r="CD25" s="573"/>
      <c r="CE25" s="573"/>
      <c r="CF25" s="573"/>
      <c r="CG25" s="573"/>
      <c r="CH25" s="573"/>
      <c r="CI25" s="573"/>
      <c r="CJ25" s="573"/>
      <c r="CK25" s="573"/>
      <c r="CL25" s="573"/>
      <c r="CM25" s="573"/>
      <c r="CN25" s="573"/>
      <c r="CO25" s="573"/>
      <c r="CP25" s="573"/>
      <c r="CQ25" s="573"/>
      <c r="CR25" s="573"/>
      <c r="CS25" s="573"/>
      <c r="CT25" s="573"/>
      <c r="CU25" s="573"/>
      <c r="CV25" s="573">
        <v>25000</v>
      </c>
      <c r="CW25" s="573"/>
      <c r="CX25" s="573"/>
      <c r="CY25" s="573"/>
      <c r="CZ25" s="573"/>
      <c r="DA25" s="573"/>
      <c r="DB25" s="573"/>
      <c r="DC25" s="573"/>
      <c r="DD25" s="573"/>
      <c r="DE25" s="573"/>
      <c r="DF25" s="573"/>
      <c r="DG25" s="573"/>
      <c r="DH25" s="573"/>
      <c r="DI25" s="573"/>
      <c r="DJ25" s="573"/>
      <c r="DK25" s="573"/>
      <c r="DL25" s="573"/>
      <c r="DM25" s="573"/>
      <c r="DN25" s="573">
        <f t="shared" si="1"/>
        <v>27685.600000000002</v>
      </c>
      <c r="DO25" s="573"/>
      <c r="DP25" s="573"/>
      <c r="DQ25" s="573"/>
      <c r="DR25" s="573"/>
      <c r="DS25" s="573"/>
      <c r="DT25" s="573"/>
      <c r="DU25" s="573"/>
      <c r="DV25" s="573"/>
      <c r="DW25" s="573"/>
      <c r="DX25" s="573"/>
      <c r="DY25" s="573"/>
      <c r="DZ25" s="573"/>
      <c r="EA25" s="573"/>
      <c r="EB25" s="573"/>
      <c r="EC25" s="573"/>
      <c r="ED25" s="573">
        <f t="shared" si="2"/>
        <v>17303.5</v>
      </c>
      <c r="EE25" s="573"/>
      <c r="EF25" s="573"/>
      <c r="EG25" s="573"/>
      <c r="EH25" s="573"/>
      <c r="EI25" s="573"/>
      <c r="EJ25" s="573"/>
      <c r="EK25" s="573"/>
      <c r="EL25" s="573"/>
      <c r="EM25" s="573"/>
      <c r="EN25" s="573"/>
      <c r="EO25" s="573"/>
      <c r="EP25" s="573"/>
      <c r="EQ25" s="573"/>
      <c r="ER25" s="573"/>
      <c r="ES25" s="573"/>
      <c r="ET25" s="573">
        <f t="shared" si="3"/>
        <v>955153.20000000007</v>
      </c>
      <c r="EU25" s="573"/>
      <c r="EV25" s="573"/>
      <c r="EW25" s="573"/>
      <c r="EX25" s="573"/>
      <c r="EY25" s="573"/>
      <c r="EZ25" s="573"/>
      <c r="FA25" s="573"/>
      <c r="FB25" s="573"/>
      <c r="FC25" s="573"/>
      <c r="FD25" s="573"/>
      <c r="FE25" s="573"/>
      <c r="FF25" s="573"/>
      <c r="FG25" s="573"/>
      <c r="FH25" s="573"/>
      <c r="FI25" s="573"/>
      <c r="FJ25" s="573"/>
      <c r="FK25" s="171"/>
      <c r="FN25" s="171"/>
      <c r="FO25" s="173"/>
      <c r="FP25" s="173"/>
    </row>
    <row r="26" spans="1:172" s="16" customFormat="1" ht="15" customHeight="1" x14ac:dyDescent="0.3">
      <c r="A26" s="581" t="s">
        <v>487</v>
      </c>
      <c r="B26" s="581"/>
      <c r="C26" s="581"/>
      <c r="D26" s="581"/>
      <c r="E26" s="581"/>
      <c r="F26" s="581"/>
      <c r="G26" s="584" t="s">
        <v>488</v>
      </c>
      <c r="H26" s="585"/>
      <c r="I26" s="585"/>
      <c r="J26" s="585"/>
      <c r="K26" s="585"/>
      <c r="L26" s="585"/>
      <c r="M26" s="585"/>
      <c r="N26" s="585"/>
      <c r="O26" s="585"/>
      <c r="P26" s="585"/>
      <c r="Q26" s="585"/>
      <c r="R26" s="585"/>
      <c r="S26" s="585"/>
      <c r="T26" s="585"/>
      <c r="U26" s="585"/>
      <c r="V26" s="585"/>
      <c r="W26" s="585"/>
      <c r="X26" s="585"/>
      <c r="Y26" s="585"/>
      <c r="Z26" s="585"/>
      <c r="AA26" s="585"/>
      <c r="AB26" s="585"/>
      <c r="AC26" s="586"/>
      <c r="AD26" s="582">
        <v>1</v>
      </c>
      <c r="AE26" s="582"/>
      <c r="AF26" s="582"/>
      <c r="AG26" s="582"/>
      <c r="AH26" s="582"/>
      <c r="AI26" s="582"/>
      <c r="AJ26" s="582"/>
      <c r="AK26" s="582"/>
      <c r="AL26" s="582"/>
      <c r="AM26" s="582"/>
      <c r="AN26" s="582"/>
      <c r="AO26" s="582"/>
      <c r="AP26" s="582"/>
      <c r="AQ26" s="582"/>
      <c r="AR26" s="582"/>
      <c r="AS26" s="582"/>
      <c r="AT26" s="573">
        <f t="shared" si="0"/>
        <v>28750</v>
      </c>
      <c r="AU26" s="573"/>
      <c r="AV26" s="573"/>
      <c r="AW26" s="573"/>
      <c r="AX26" s="573"/>
      <c r="AY26" s="573"/>
      <c r="AZ26" s="573"/>
      <c r="BA26" s="573"/>
      <c r="BB26" s="573"/>
      <c r="BC26" s="573"/>
      <c r="BD26" s="573"/>
      <c r="BE26" s="573"/>
      <c r="BF26" s="573"/>
      <c r="BG26" s="573"/>
      <c r="BH26" s="573"/>
      <c r="BI26" s="573"/>
      <c r="BJ26" s="573"/>
      <c r="BK26" s="583">
        <v>8250</v>
      </c>
      <c r="BL26" s="583"/>
      <c r="BM26" s="583"/>
      <c r="BN26" s="583"/>
      <c r="BO26" s="583"/>
      <c r="BP26" s="583"/>
      <c r="BQ26" s="583"/>
      <c r="BR26" s="583"/>
      <c r="BS26" s="583"/>
      <c r="BT26" s="583"/>
      <c r="BU26" s="583"/>
      <c r="BV26" s="583"/>
      <c r="BW26" s="583"/>
      <c r="BX26" s="583"/>
      <c r="BY26" s="583"/>
      <c r="BZ26" s="583"/>
      <c r="CA26" s="583"/>
      <c r="CB26" s="583"/>
      <c r="CC26" s="573"/>
      <c r="CD26" s="573"/>
      <c r="CE26" s="573"/>
      <c r="CF26" s="573"/>
      <c r="CG26" s="573"/>
      <c r="CH26" s="573"/>
      <c r="CI26" s="573"/>
      <c r="CJ26" s="573"/>
      <c r="CK26" s="573"/>
      <c r="CL26" s="573"/>
      <c r="CM26" s="573"/>
      <c r="CN26" s="573"/>
      <c r="CO26" s="573"/>
      <c r="CP26" s="573"/>
      <c r="CQ26" s="573"/>
      <c r="CR26" s="573"/>
      <c r="CS26" s="573"/>
      <c r="CT26" s="573"/>
      <c r="CU26" s="573"/>
      <c r="CV26" s="573">
        <v>20500</v>
      </c>
      <c r="CW26" s="573"/>
      <c r="CX26" s="573"/>
      <c r="CY26" s="573"/>
      <c r="CZ26" s="573"/>
      <c r="DA26" s="573"/>
      <c r="DB26" s="573"/>
      <c r="DC26" s="573"/>
      <c r="DD26" s="573"/>
      <c r="DE26" s="573"/>
      <c r="DF26" s="573"/>
      <c r="DG26" s="573"/>
      <c r="DH26" s="573"/>
      <c r="DI26" s="573"/>
      <c r="DJ26" s="573"/>
      <c r="DK26" s="573"/>
      <c r="DL26" s="573"/>
      <c r="DM26" s="573"/>
      <c r="DN26" s="573">
        <f t="shared" si="1"/>
        <v>23000</v>
      </c>
      <c r="DO26" s="573"/>
      <c r="DP26" s="573"/>
      <c r="DQ26" s="573"/>
      <c r="DR26" s="573"/>
      <c r="DS26" s="573"/>
      <c r="DT26" s="573"/>
      <c r="DU26" s="573"/>
      <c r="DV26" s="573"/>
      <c r="DW26" s="573"/>
      <c r="DX26" s="573"/>
      <c r="DY26" s="573"/>
      <c r="DZ26" s="573"/>
      <c r="EA26" s="573"/>
      <c r="EB26" s="573"/>
      <c r="EC26" s="573"/>
      <c r="ED26" s="573">
        <f t="shared" si="2"/>
        <v>14375</v>
      </c>
      <c r="EE26" s="573"/>
      <c r="EF26" s="573"/>
      <c r="EG26" s="573"/>
      <c r="EH26" s="573"/>
      <c r="EI26" s="573"/>
      <c r="EJ26" s="573"/>
      <c r="EK26" s="573"/>
      <c r="EL26" s="573"/>
      <c r="EM26" s="573"/>
      <c r="EN26" s="573"/>
      <c r="EO26" s="573"/>
      <c r="EP26" s="573"/>
      <c r="EQ26" s="573"/>
      <c r="ER26" s="573"/>
      <c r="ES26" s="573"/>
      <c r="ET26" s="573">
        <f t="shared" si="3"/>
        <v>793500</v>
      </c>
      <c r="EU26" s="573"/>
      <c r="EV26" s="573"/>
      <c r="EW26" s="573"/>
      <c r="EX26" s="573"/>
      <c r="EY26" s="573"/>
      <c r="EZ26" s="573"/>
      <c r="FA26" s="573"/>
      <c r="FB26" s="573"/>
      <c r="FC26" s="573"/>
      <c r="FD26" s="573"/>
      <c r="FE26" s="573"/>
      <c r="FF26" s="573"/>
      <c r="FG26" s="573"/>
      <c r="FH26" s="573"/>
      <c r="FI26" s="573"/>
      <c r="FJ26" s="573"/>
      <c r="FK26" s="171"/>
      <c r="FN26" s="171"/>
    </row>
    <row r="27" spans="1:172" s="16" customFormat="1" ht="19.2" customHeight="1" x14ac:dyDescent="0.3">
      <c r="A27" s="581" t="s">
        <v>489</v>
      </c>
      <c r="B27" s="581"/>
      <c r="C27" s="581"/>
      <c r="D27" s="581"/>
      <c r="E27" s="581"/>
      <c r="F27" s="581"/>
      <c r="G27" s="584" t="s">
        <v>490</v>
      </c>
      <c r="H27" s="585"/>
      <c r="I27" s="585"/>
      <c r="J27" s="585"/>
      <c r="K27" s="585"/>
      <c r="L27" s="585"/>
      <c r="M27" s="585"/>
      <c r="N27" s="585"/>
      <c r="O27" s="585"/>
      <c r="P27" s="585"/>
      <c r="Q27" s="585"/>
      <c r="R27" s="585"/>
      <c r="S27" s="585"/>
      <c r="T27" s="585"/>
      <c r="U27" s="585"/>
      <c r="V27" s="585"/>
      <c r="W27" s="585"/>
      <c r="X27" s="585"/>
      <c r="Y27" s="585"/>
      <c r="Z27" s="585"/>
      <c r="AA27" s="585"/>
      <c r="AB27" s="585"/>
      <c r="AC27" s="586"/>
      <c r="AD27" s="582">
        <v>1</v>
      </c>
      <c r="AE27" s="582"/>
      <c r="AF27" s="582"/>
      <c r="AG27" s="582"/>
      <c r="AH27" s="582"/>
      <c r="AI27" s="582"/>
      <c r="AJ27" s="582"/>
      <c r="AK27" s="582"/>
      <c r="AL27" s="582"/>
      <c r="AM27" s="582"/>
      <c r="AN27" s="582"/>
      <c r="AO27" s="582"/>
      <c r="AP27" s="582"/>
      <c r="AQ27" s="582"/>
      <c r="AR27" s="582"/>
      <c r="AS27" s="582"/>
      <c r="AT27" s="573">
        <f t="shared" si="0"/>
        <v>28750</v>
      </c>
      <c r="AU27" s="573"/>
      <c r="AV27" s="573"/>
      <c r="AW27" s="573"/>
      <c r="AX27" s="573"/>
      <c r="AY27" s="573"/>
      <c r="AZ27" s="573"/>
      <c r="BA27" s="573"/>
      <c r="BB27" s="573"/>
      <c r="BC27" s="573"/>
      <c r="BD27" s="573"/>
      <c r="BE27" s="573"/>
      <c r="BF27" s="573"/>
      <c r="BG27" s="573"/>
      <c r="BH27" s="573"/>
      <c r="BI27" s="573"/>
      <c r="BJ27" s="573"/>
      <c r="BK27" s="583">
        <v>8250</v>
      </c>
      <c r="BL27" s="583"/>
      <c r="BM27" s="583"/>
      <c r="BN27" s="583"/>
      <c r="BO27" s="583"/>
      <c r="BP27" s="583"/>
      <c r="BQ27" s="583"/>
      <c r="BR27" s="583"/>
      <c r="BS27" s="583"/>
      <c r="BT27" s="583"/>
      <c r="BU27" s="583"/>
      <c r="BV27" s="583"/>
      <c r="BW27" s="583"/>
      <c r="BX27" s="583"/>
      <c r="BY27" s="583"/>
      <c r="BZ27" s="583"/>
      <c r="CA27" s="583"/>
      <c r="CB27" s="583"/>
      <c r="CC27" s="573"/>
      <c r="CD27" s="573"/>
      <c r="CE27" s="573"/>
      <c r="CF27" s="573"/>
      <c r="CG27" s="573"/>
      <c r="CH27" s="573"/>
      <c r="CI27" s="573"/>
      <c r="CJ27" s="573"/>
      <c r="CK27" s="573"/>
      <c r="CL27" s="573"/>
      <c r="CM27" s="573"/>
      <c r="CN27" s="573"/>
      <c r="CO27" s="573"/>
      <c r="CP27" s="573"/>
      <c r="CQ27" s="573"/>
      <c r="CR27" s="573"/>
      <c r="CS27" s="573"/>
      <c r="CT27" s="573"/>
      <c r="CU27" s="573"/>
      <c r="CV27" s="573">
        <v>20500</v>
      </c>
      <c r="CW27" s="573"/>
      <c r="CX27" s="573"/>
      <c r="CY27" s="573"/>
      <c r="CZ27" s="573"/>
      <c r="DA27" s="573"/>
      <c r="DB27" s="573"/>
      <c r="DC27" s="573"/>
      <c r="DD27" s="573"/>
      <c r="DE27" s="573"/>
      <c r="DF27" s="573"/>
      <c r="DG27" s="573"/>
      <c r="DH27" s="573"/>
      <c r="DI27" s="573"/>
      <c r="DJ27" s="573"/>
      <c r="DK27" s="573"/>
      <c r="DL27" s="573"/>
      <c r="DM27" s="573"/>
      <c r="DN27" s="573">
        <f t="shared" si="1"/>
        <v>23000</v>
      </c>
      <c r="DO27" s="573"/>
      <c r="DP27" s="573"/>
      <c r="DQ27" s="573"/>
      <c r="DR27" s="573"/>
      <c r="DS27" s="573"/>
      <c r="DT27" s="573"/>
      <c r="DU27" s="573"/>
      <c r="DV27" s="573"/>
      <c r="DW27" s="573"/>
      <c r="DX27" s="573"/>
      <c r="DY27" s="573"/>
      <c r="DZ27" s="573"/>
      <c r="EA27" s="573"/>
      <c r="EB27" s="573"/>
      <c r="EC27" s="573"/>
      <c r="ED27" s="573">
        <f t="shared" si="2"/>
        <v>14375</v>
      </c>
      <c r="EE27" s="573"/>
      <c r="EF27" s="573"/>
      <c r="EG27" s="573"/>
      <c r="EH27" s="573"/>
      <c r="EI27" s="573"/>
      <c r="EJ27" s="573"/>
      <c r="EK27" s="573"/>
      <c r="EL27" s="573"/>
      <c r="EM27" s="573"/>
      <c r="EN27" s="573"/>
      <c r="EO27" s="573"/>
      <c r="EP27" s="573"/>
      <c r="EQ27" s="573"/>
      <c r="ER27" s="573"/>
      <c r="ES27" s="573"/>
      <c r="ET27" s="573">
        <f t="shared" si="3"/>
        <v>793500</v>
      </c>
      <c r="EU27" s="573"/>
      <c r="EV27" s="573"/>
      <c r="EW27" s="573"/>
      <c r="EX27" s="573"/>
      <c r="EY27" s="573"/>
      <c r="EZ27" s="573"/>
      <c r="FA27" s="573"/>
      <c r="FB27" s="573"/>
      <c r="FC27" s="573"/>
      <c r="FD27" s="573"/>
      <c r="FE27" s="573"/>
      <c r="FF27" s="573"/>
      <c r="FG27" s="573"/>
      <c r="FH27" s="573"/>
      <c r="FI27" s="573"/>
      <c r="FJ27" s="573"/>
      <c r="FK27" s="171"/>
      <c r="FN27" s="171"/>
      <c r="FO27" s="60"/>
      <c r="FP27" s="60"/>
    </row>
    <row r="28" spans="1:172" s="16" customFormat="1" ht="25.5" customHeight="1" x14ac:dyDescent="0.3">
      <c r="A28" s="581" t="s">
        <v>491</v>
      </c>
      <c r="B28" s="581"/>
      <c r="C28" s="581"/>
      <c r="D28" s="581"/>
      <c r="E28" s="581"/>
      <c r="F28" s="581"/>
      <c r="G28" s="584" t="s">
        <v>492</v>
      </c>
      <c r="H28" s="585"/>
      <c r="I28" s="585"/>
      <c r="J28" s="585"/>
      <c r="K28" s="585"/>
      <c r="L28" s="585"/>
      <c r="M28" s="585"/>
      <c r="N28" s="585"/>
      <c r="O28" s="585"/>
      <c r="P28" s="585"/>
      <c r="Q28" s="585"/>
      <c r="R28" s="585"/>
      <c r="S28" s="585"/>
      <c r="T28" s="585"/>
      <c r="U28" s="585"/>
      <c r="V28" s="585"/>
      <c r="W28" s="585"/>
      <c r="X28" s="585"/>
      <c r="Y28" s="585"/>
      <c r="Z28" s="585"/>
      <c r="AA28" s="585"/>
      <c r="AB28" s="585"/>
      <c r="AC28" s="586"/>
      <c r="AD28" s="582">
        <v>1</v>
      </c>
      <c r="AE28" s="582"/>
      <c r="AF28" s="582"/>
      <c r="AG28" s="582"/>
      <c r="AH28" s="582"/>
      <c r="AI28" s="582"/>
      <c r="AJ28" s="582"/>
      <c r="AK28" s="582"/>
      <c r="AL28" s="582"/>
      <c r="AM28" s="582"/>
      <c r="AN28" s="582"/>
      <c r="AO28" s="582"/>
      <c r="AP28" s="582"/>
      <c r="AQ28" s="582"/>
      <c r="AR28" s="582"/>
      <c r="AS28" s="582"/>
      <c r="AT28" s="573">
        <f t="shared" si="0"/>
        <v>28750</v>
      </c>
      <c r="AU28" s="573"/>
      <c r="AV28" s="573"/>
      <c r="AW28" s="573"/>
      <c r="AX28" s="573"/>
      <c r="AY28" s="573"/>
      <c r="AZ28" s="573"/>
      <c r="BA28" s="573"/>
      <c r="BB28" s="573"/>
      <c r="BC28" s="573"/>
      <c r="BD28" s="573"/>
      <c r="BE28" s="573"/>
      <c r="BF28" s="573"/>
      <c r="BG28" s="573"/>
      <c r="BH28" s="573"/>
      <c r="BI28" s="573"/>
      <c r="BJ28" s="573"/>
      <c r="BK28" s="583">
        <v>8250</v>
      </c>
      <c r="BL28" s="583"/>
      <c r="BM28" s="583"/>
      <c r="BN28" s="583"/>
      <c r="BO28" s="583"/>
      <c r="BP28" s="583"/>
      <c r="BQ28" s="583"/>
      <c r="BR28" s="583"/>
      <c r="BS28" s="583"/>
      <c r="BT28" s="583"/>
      <c r="BU28" s="583"/>
      <c r="BV28" s="583"/>
      <c r="BW28" s="583"/>
      <c r="BX28" s="583"/>
      <c r="BY28" s="583"/>
      <c r="BZ28" s="583"/>
      <c r="CA28" s="583"/>
      <c r="CB28" s="583"/>
      <c r="CC28" s="573"/>
      <c r="CD28" s="573"/>
      <c r="CE28" s="573"/>
      <c r="CF28" s="573"/>
      <c r="CG28" s="573"/>
      <c r="CH28" s="573"/>
      <c r="CI28" s="573"/>
      <c r="CJ28" s="573"/>
      <c r="CK28" s="573"/>
      <c r="CL28" s="573"/>
      <c r="CM28" s="573"/>
      <c r="CN28" s="573"/>
      <c r="CO28" s="573"/>
      <c r="CP28" s="573"/>
      <c r="CQ28" s="573"/>
      <c r="CR28" s="573"/>
      <c r="CS28" s="573"/>
      <c r="CT28" s="573"/>
      <c r="CU28" s="573"/>
      <c r="CV28" s="573">
        <v>20500</v>
      </c>
      <c r="CW28" s="573"/>
      <c r="CX28" s="573"/>
      <c r="CY28" s="573"/>
      <c r="CZ28" s="573"/>
      <c r="DA28" s="573"/>
      <c r="DB28" s="573"/>
      <c r="DC28" s="573"/>
      <c r="DD28" s="573"/>
      <c r="DE28" s="573"/>
      <c r="DF28" s="573"/>
      <c r="DG28" s="573"/>
      <c r="DH28" s="573"/>
      <c r="DI28" s="573"/>
      <c r="DJ28" s="573"/>
      <c r="DK28" s="573"/>
      <c r="DL28" s="573"/>
      <c r="DM28" s="573"/>
      <c r="DN28" s="573">
        <f t="shared" si="1"/>
        <v>23000</v>
      </c>
      <c r="DO28" s="573"/>
      <c r="DP28" s="573"/>
      <c r="DQ28" s="573"/>
      <c r="DR28" s="573"/>
      <c r="DS28" s="573"/>
      <c r="DT28" s="573"/>
      <c r="DU28" s="573"/>
      <c r="DV28" s="573"/>
      <c r="DW28" s="573"/>
      <c r="DX28" s="573"/>
      <c r="DY28" s="573"/>
      <c r="DZ28" s="573"/>
      <c r="EA28" s="573"/>
      <c r="EB28" s="573"/>
      <c r="EC28" s="573"/>
      <c r="ED28" s="573">
        <f t="shared" si="2"/>
        <v>14375</v>
      </c>
      <c r="EE28" s="573"/>
      <c r="EF28" s="573"/>
      <c r="EG28" s="573"/>
      <c r="EH28" s="573"/>
      <c r="EI28" s="573"/>
      <c r="EJ28" s="573"/>
      <c r="EK28" s="573"/>
      <c r="EL28" s="573"/>
      <c r="EM28" s="573"/>
      <c r="EN28" s="573"/>
      <c r="EO28" s="573"/>
      <c r="EP28" s="573"/>
      <c r="EQ28" s="573"/>
      <c r="ER28" s="573"/>
      <c r="ES28" s="573"/>
      <c r="ET28" s="573">
        <f t="shared" si="3"/>
        <v>793500</v>
      </c>
      <c r="EU28" s="573"/>
      <c r="EV28" s="573"/>
      <c r="EW28" s="573"/>
      <c r="EX28" s="573"/>
      <c r="EY28" s="573"/>
      <c r="EZ28" s="573"/>
      <c r="FA28" s="573"/>
      <c r="FB28" s="573"/>
      <c r="FC28" s="573"/>
      <c r="FD28" s="573"/>
      <c r="FE28" s="573"/>
      <c r="FF28" s="573"/>
      <c r="FG28" s="573"/>
      <c r="FH28" s="573"/>
      <c r="FI28" s="573"/>
      <c r="FJ28" s="573"/>
      <c r="FK28" s="171"/>
      <c r="FN28" s="171"/>
    </row>
    <row r="29" spans="1:172" s="16" customFormat="1" ht="19.2" customHeight="1" x14ac:dyDescent="0.3">
      <c r="A29" s="581" t="s">
        <v>493</v>
      </c>
      <c r="B29" s="581"/>
      <c r="C29" s="581"/>
      <c r="D29" s="581"/>
      <c r="E29" s="581"/>
      <c r="F29" s="581"/>
      <c r="G29" s="556" t="s">
        <v>494</v>
      </c>
      <c r="H29" s="556"/>
      <c r="I29" s="556"/>
      <c r="J29" s="556"/>
      <c r="K29" s="556"/>
      <c r="L29" s="556"/>
      <c r="M29" s="556"/>
      <c r="N29" s="556"/>
      <c r="O29" s="556"/>
      <c r="P29" s="556"/>
      <c r="Q29" s="556"/>
      <c r="R29" s="556"/>
      <c r="S29" s="556"/>
      <c r="T29" s="556"/>
      <c r="U29" s="556"/>
      <c r="V29" s="556"/>
      <c r="W29" s="556"/>
      <c r="X29" s="556"/>
      <c r="Y29" s="556"/>
      <c r="Z29" s="556"/>
      <c r="AA29" s="556"/>
      <c r="AB29" s="556"/>
      <c r="AC29" s="556"/>
      <c r="AD29" s="582">
        <v>1</v>
      </c>
      <c r="AE29" s="582"/>
      <c r="AF29" s="582"/>
      <c r="AG29" s="582"/>
      <c r="AH29" s="582"/>
      <c r="AI29" s="582"/>
      <c r="AJ29" s="582"/>
      <c r="AK29" s="582"/>
      <c r="AL29" s="582"/>
      <c r="AM29" s="582"/>
      <c r="AN29" s="582"/>
      <c r="AO29" s="582"/>
      <c r="AP29" s="582"/>
      <c r="AQ29" s="582"/>
      <c r="AR29" s="582"/>
      <c r="AS29" s="582"/>
      <c r="AT29" s="573">
        <f t="shared" si="0"/>
        <v>29475</v>
      </c>
      <c r="AU29" s="573"/>
      <c r="AV29" s="573"/>
      <c r="AW29" s="573"/>
      <c r="AX29" s="573"/>
      <c r="AY29" s="573"/>
      <c r="AZ29" s="573"/>
      <c r="BA29" s="573"/>
      <c r="BB29" s="573"/>
      <c r="BC29" s="573"/>
      <c r="BD29" s="573"/>
      <c r="BE29" s="573"/>
      <c r="BF29" s="573"/>
      <c r="BG29" s="573"/>
      <c r="BH29" s="573"/>
      <c r="BI29" s="573"/>
      <c r="BJ29" s="573"/>
      <c r="BK29" s="583">
        <v>8250</v>
      </c>
      <c r="BL29" s="583"/>
      <c r="BM29" s="583"/>
      <c r="BN29" s="583"/>
      <c r="BO29" s="583"/>
      <c r="BP29" s="583"/>
      <c r="BQ29" s="583"/>
      <c r="BR29" s="583"/>
      <c r="BS29" s="583"/>
      <c r="BT29" s="583"/>
      <c r="BU29" s="583"/>
      <c r="BV29" s="583"/>
      <c r="BW29" s="583"/>
      <c r="BX29" s="583"/>
      <c r="BY29" s="583"/>
      <c r="BZ29" s="583"/>
      <c r="CA29" s="583"/>
      <c r="CB29" s="583"/>
      <c r="CC29" s="573">
        <v>725</v>
      </c>
      <c r="CD29" s="573"/>
      <c r="CE29" s="573"/>
      <c r="CF29" s="573"/>
      <c r="CG29" s="573"/>
      <c r="CH29" s="573"/>
      <c r="CI29" s="573"/>
      <c r="CJ29" s="573"/>
      <c r="CK29" s="573"/>
      <c r="CL29" s="573"/>
      <c r="CM29" s="573"/>
      <c r="CN29" s="573"/>
      <c r="CO29" s="573"/>
      <c r="CP29" s="573"/>
      <c r="CQ29" s="573"/>
      <c r="CR29" s="573"/>
      <c r="CS29" s="573"/>
      <c r="CT29" s="573"/>
      <c r="CU29" s="573"/>
      <c r="CV29" s="573">
        <v>20500</v>
      </c>
      <c r="CW29" s="573"/>
      <c r="CX29" s="573"/>
      <c r="CY29" s="573"/>
      <c r="CZ29" s="573"/>
      <c r="DA29" s="573"/>
      <c r="DB29" s="573"/>
      <c r="DC29" s="573"/>
      <c r="DD29" s="573"/>
      <c r="DE29" s="573"/>
      <c r="DF29" s="573"/>
      <c r="DG29" s="573"/>
      <c r="DH29" s="573"/>
      <c r="DI29" s="573"/>
      <c r="DJ29" s="573"/>
      <c r="DK29" s="573"/>
      <c r="DL29" s="573"/>
      <c r="DM29" s="573"/>
      <c r="DN29" s="573">
        <f t="shared" si="1"/>
        <v>23580</v>
      </c>
      <c r="DO29" s="573"/>
      <c r="DP29" s="573"/>
      <c r="DQ29" s="573"/>
      <c r="DR29" s="573"/>
      <c r="DS29" s="573"/>
      <c r="DT29" s="573"/>
      <c r="DU29" s="573"/>
      <c r="DV29" s="573"/>
      <c r="DW29" s="573"/>
      <c r="DX29" s="573"/>
      <c r="DY29" s="573"/>
      <c r="DZ29" s="573"/>
      <c r="EA29" s="573"/>
      <c r="EB29" s="573"/>
      <c r="EC29" s="573"/>
      <c r="ED29" s="573">
        <f t="shared" si="2"/>
        <v>14737.5</v>
      </c>
      <c r="EE29" s="573"/>
      <c r="EF29" s="573"/>
      <c r="EG29" s="573"/>
      <c r="EH29" s="573"/>
      <c r="EI29" s="573"/>
      <c r="EJ29" s="573"/>
      <c r="EK29" s="573"/>
      <c r="EL29" s="573"/>
      <c r="EM29" s="573"/>
      <c r="EN29" s="573"/>
      <c r="EO29" s="573"/>
      <c r="EP29" s="573"/>
      <c r="EQ29" s="573"/>
      <c r="ER29" s="573"/>
      <c r="ES29" s="573"/>
      <c r="ET29" s="573">
        <f t="shared" si="3"/>
        <v>813510</v>
      </c>
      <c r="EU29" s="573"/>
      <c r="EV29" s="573"/>
      <c r="EW29" s="573"/>
      <c r="EX29" s="573"/>
      <c r="EY29" s="573"/>
      <c r="EZ29" s="573"/>
      <c r="FA29" s="573"/>
      <c r="FB29" s="573"/>
      <c r="FC29" s="573"/>
      <c r="FD29" s="573"/>
      <c r="FE29" s="573"/>
      <c r="FF29" s="573"/>
      <c r="FG29" s="573"/>
      <c r="FH29" s="573"/>
      <c r="FI29" s="573"/>
      <c r="FJ29" s="573"/>
      <c r="FK29" s="171"/>
      <c r="FN29" s="171"/>
    </row>
    <row r="30" spans="1:172" s="16" customFormat="1" ht="15" customHeight="1" x14ac:dyDescent="0.3">
      <c r="A30" s="578" t="s">
        <v>252</v>
      </c>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80"/>
      <c r="AD30" s="539">
        <f>SUM(AD18:AD29)</f>
        <v>14</v>
      </c>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40"/>
      <c r="DA30" s="540"/>
      <c r="DB30" s="540"/>
      <c r="DC30" s="540"/>
      <c r="DD30" s="540"/>
      <c r="DE30" s="540"/>
      <c r="DF30" s="540"/>
      <c r="DG30" s="540"/>
      <c r="DH30" s="540"/>
      <c r="DI30" s="540"/>
      <c r="DJ30" s="540"/>
      <c r="DK30" s="540"/>
      <c r="DL30" s="540"/>
      <c r="DM30" s="540"/>
      <c r="DN30" s="540"/>
      <c r="DO30" s="540"/>
      <c r="DP30" s="540"/>
      <c r="DQ30" s="540"/>
      <c r="DR30" s="540"/>
      <c r="DS30" s="540"/>
      <c r="DT30" s="540"/>
      <c r="DU30" s="540"/>
      <c r="DV30" s="540"/>
      <c r="DW30" s="540"/>
      <c r="DX30" s="540"/>
      <c r="DY30" s="540"/>
      <c r="DZ30" s="540"/>
      <c r="EA30" s="540"/>
      <c r="EB30" s="540"/>
      <c r="EC30" s="540"/>
      <c r="ED30" s="540"/>
      <c r="EE30" s="540"/>
      <c r="EF30" s="540"/>
      <c r="EG30" s="540"/>
      <c r="EH30" s="540"/>
      <c r="EI30" s="540"/>
      <c r="EJ30" s="540"/>
      <c r="EK30" s="540"/>
      <c r="EL30" s="540"/>
      <c r="EM30" s="540"/>
      <c r="EN30" s="540"/>
      <c r="EO30" s="540"/>
      <c r="EP30" s="540"/>
      <c r="EQ30" s="540"/>
      <c r="ER30" s="540"/>
      <c r="ES30" s="540"/>
      <c r="ET30" s="540">
        <f>SUM(ET18:ET29)</f>
        <v>14323724.806639999</v>
      </c>
      <c r="EU30" s="540"/>
      <c r="EV30" s="540"/>
      <c r="EW30" s="540"/>
      <c r="EX30" s="540"/>
      <c r="EY30" s="540"/>
      <c r="EZ30" s="540"/>
      <c r="FA30" s="540"/>
      <c r="FB30" s="540"/>
      <c r="FC30" s="540"/>
      <c r="FD30" s="540"/>
      <c r="FE30" s="540"/>
      <c r="FF30" s="540"/>
      <c r="FG30" s="540"/>
      <c r="FH30" s="540"/>
      <c r="FI30" s="540"/>
      <c r="FJ30" s="540"/>
      <c r="FK30" s="171"/>
      <c r="FN30" s="171">
        <v>14323724.810000001</v>
      </c>
    </row>
    <row r="31" spans="1:172" s="16" customFormat="1" ht="14.25" customHeight="1" x14ac:dyDescent="0.3">
      <c r="A31" s="541" t="s">
        <v>253</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3"/>
      <c r="FN31" s="171"/>
    </row>
    <row r="32" spans="1:172" s="16" customFormat="1" ht="32.4" customHeight="1" x14ac:dyDescent="0.3">
      <c r="A32" s="571" t="s">
        <v>67</v>
      </c>
      <c r="B32" s="571"/>
      <c r="C32" s="571"/>
      <c r="D32" s="571"/>
      <c r="E32" s="571"/>
      <c r="F32" s="571"/>
      <c r="G32" s="577" t="s">
        <v>495</v>
      </c>
      <c r="H32" s="577"/>
      <c r="I32" s="577"/>
      <c r="J32" s="577"/>
      <c r="K32" s="577"/>
      <c r="L32" s="577"/>
      <c r="M32" s="577"/>
      <c r="N32" s="577"/>
      <c r="O32" s="577"/>
      <c r="P32" s="577"/>
      <c r="Q32" s="577"/>
      <c r="R32" s="577"/>
      <c r="S32" s="577"/>
      <c r="T32" s="577"/>
      <c r="U32" s="577"/>
      <c r="V32" s="577"/>
      <c r="W32" s="577"/>
      <c r="X32" s="577"/>
      <c r="Y32" s="577"/>
      <c r="Z32" s="577"/>
      <c r="AA32" s="577"/>
      <c r="AB32" s="577"/>
      <c r="AC32" s="577"/>
      <c r="AD32" s="569">
        <v>1</v>
      </c>
      <c r="AE32" s="569"/>
      <c r="AF32" s="569"/>
      <c r="AG32" s="569"/>
      <c r="AH32" s="569"/>
      <c r="AI32" s="569"/>
      <c r="AJ32" s="569"/>
      <c r="AK32" s="569"/>
      <c r="AL32" s="569"/>
      <c r="AM32" s="569"/>
      <c r="AN32" s="569"/>
      <c r="AO32" s="569"/>
      <c r="AP32" s="569"/>
      <c r="AQ32" s="569"/>
      <c r="AR32" s="569"/>
      <c r="AS32" s="569"/>
      <c r="AT32" s="538">
        <f t="shared" ref="AT32:AT38" si="4">BK32+CC32+CV32</f>
        <v>33601</v>
      </c>
      <c r="AU32" s="538"/>
      <c r="AV32" s="538"/>
      <c r="AW32" s="538"/>
      <c r="AX32" s="538"/>
      <c r="AY32" s="538"/>
      <c r="AZ32" s="538"/>
      <c r="BA32" s="538"/>
      <c r="BB32" s="538"/>
      <c r="BC32" s="538"/>
      <c r="BD32" s="538"/>
      <c r="BE32" s="538"/>
      <c r="BF32" s="538"/>
      <c r="BG32" s="538"/>
      <c r="BH32" s="538"/>
      <c r="BI32" s="538"/>
      <c r="BJ32" s="538"/>
      <c r="BK32" s="570">
        <v>9601</v>
      </c>
      <c r="BL32" s="570"/>
      <c r="BM32" s="570"/>
      <c r="BN32" s="570"/>
      <c r="BO32" s="570"/>
      <c r="BP32" s="570"/>
      <c r="BQ32" s="570"/>
      <c r="BR32" s="570"/>
      <c r="BS32" s="570"/>
      <c r="BT32" s="570"/>
      <c r="BU32" s="570"/>
      <c r="BV32" s="570"/>
      <c r="BW32" s="570"/>
      <c r="BX32" s="570"/>
      <c r="BY32" s="570"/>
      <c r="BZ32" s="570"/>
      <c r="CA32" s="570"/>
      <c r="CB32" s="570"/>
      <c r="CC32" s="538"/>
      <c r="CD32" s="538"/>
      <c r="CE32" s="538"/>
      <c r="CF32" s="538"/>
      <c r="CG32" s="538"/>
      <c r="CH32" s="538"/>
      <c r="CI32" s="538"/>
      <c r="CJ32" s="538"/>
      <c r="CK32" s="538"/>
      <c r="CL32" s="538"/>
      <c r="CM32" s="538"/>
      <c r="CN32" s="538"/>
      <c r="CO32" s="538"/>
      <c r="CP32" s="538"/>
      <c r="CQ32" s="538"/>
      <c r="CR32" s="538"/>
      <c r="CS32" s="538"/>
      <c r="CT32" s="538"/>
      <c r="CU32" s="538"/>
      <c r="CV32" s="538">
        <v>24000</v>
      </c>
      <c r="CW32" s="538"/>
      <c r="CX32" s="538"/>
      <c r="CY32" s="538"/>
      <c r="CZ32" s="538"/>
      <c r="DA32" s="538"/>
      <c r="DB32" s="538"/>
      <c r="DC32" s="538"/>
      <c r="DD32" s="538"/>
      <c r="DE32" s="538"/>
      <c r="DF32" s="538"/>
      <c r="DG32" s="538"/>
      <c r="DH32" s="538"/>
      <c r="DI32" s="538"/>
      <c r="DJ32" s="538"/>
      <c r="DK32" s="538"/>
      <c r="DL32" s="538"/>
      <c r="DM32" s="538"/>
      <c r="DN32" s="538">
        <f t="shared" ref="DN32:DN38" si="5">AT32*80%</f>
        <v>26880.800000000003</v>
      </c>
      <c r="DO32" s="538"/>
      <c r="DP32" s="538"/>
      <c r="DQ32" s="538"/>
      <c r="DR32" s="538"/>
      <c r="DS32" s="538"/>
      <c r="DT32" s="538"/>
      <c r="DU32" s="538"/>
      <c r="DV32" s="538"/>
      <c r="DW32" s="538"/>
      <c r="DX32" s="538"/>
      <c r="DY32" s="538"/>
      <c r="DZ32" s="538"/>
      <c r="EA32" s="538"/>
      <c r="EB32" s="538"/>
      <c r="EC32" s="538"/>
      <c r="ED32" s="538">
        <f t="shared" ref="ED32:ED38" si="6">AT32*50%</f>
        <v>16800.5</v>
      </c>
      <c r="EE32" s="538"/>
      <c r="EF32" s="538"/>
      <c r="EG32" s="538"/>
      <c r="EH32" s="538"/>
      <c r="EI32" s="538"/>
      <c r="EJ32" s="538"/>
      <c r="EK32" s="538"/>
      <c r="EL32" s="538"/>
      <c r="EM32" s="538"/>
      <c r="EN32" s="538"/>
      <c r="EO32" s="538"/>
      <c r="EP32" s="538"/>
      <c r="EQ32" s="538"/>
      <c r="ER32" s="538"/>
      <c r="ES32" s="538"/>
      <c r="ET32" s="538">
        <f t="shared" ref="ET32:ET38" si="7">(AT32+DN32+ED32)*12*AD32</f>
        <v>927387.60000000009</v>
      </c>
      <c r="EU32" s="538"/>
      <c r="EV32" s="538"/>
      <c r="EW32" s="538"/>
      <c r="EX32" s="538"/>
      <c r="EY32" s="538"/>
      <c r="EZ32" s="538"/>
      <c r="FA32" s="538"/>
      <c r="FB32" s="538"/>
      <c r="FC32" s="538"/>
      <c r="FD32" s="538"/>
      <c r="FE32" s="538"/>
      <c r="FF32" s="538"/>
      <c r="FG32" s="538"/>
      <c r="FH32" s="538"/>
      <c r="FI32" s="538"/>
      <c r="FJ32" s="538"/>
      <c r="FK32" s="171"/>
      <c r="FN32" s="171"/>
    </row>
    <row r="33" spans="1:178" s="16" customFormat="1" ht="32.4" customHeight="1" x14ac:dyDescent="0.3">
      <c r="A33" s="571" t="s">
        <v>71</v>
      </c>
      <c r="B33" s="571"/>
      <c r="C33" s="571"/>
      <c r="D33" s="571"/>
      <c r="E33" s="571"/>
      <c r="F33" s="571"/>
      <c r="G33" s="577" t="s">
        <v>496</v>
      </c>
      <c r="H33" s="577"/>
      <c r="I33" s="577"/>
      <c r="J33" s="577"/>
      <c r="K33" s="577"/>
      <c r="L33" s="577"/>
      <c r="M33" s="577"/>
      <c r="N33" s="577"/>
      <c r="O33" s="577"/>
      <c r="P33" s="577"/>
      <c r="Q33" s="577"/>
      <c r="R33" s="577"/>
      <c r="S33" s="577"/>
      <c r="T33" s="577"/>
      <c r="U33" s="577"/>
      <c r="V33" s="577"/>
      <c r="W33" s="577"/>
      <c r="X33" s="577"/>
      <c r="Y33" s="577"/>
      <c r="Z33" s="577"/>
      <c r="AA33" s="577"/>
      <c r="AB33" s="577"/>
      <c r="AC33" s="577"/>
      <c r="AD33" s="569">
        <v>1</v>
      </c>
      <c r="AE33" s="569"/>
      <c r="AF33" s="569"/>
      <c r="AG33" s="569"/>
      <c r="AH33" s="569"/>
      <c r="AI33" s="569"/>
      <c r="AJ33" s="569"/>
      <c r="AK33" s="569"/>
      <c r="AL33" s="569"/>
      <c r="AM33" s="569"/>
      <c r="AN33" s="569"/>
      <c r="AO33" s="569"/>
      <c r="AP33" s="569"/>
      <c r="AQ33" s="569"/>
      <c r="AR33" s="569"/>
      <c r="AS33" s="569"/>
      <c r="AT33" s="538">
        <f t="shared" si="4"/>
        <v>20592</v>
      </c>
      <c r="AU33" s="538"/>
      <c r="AV33" s="538"/>
      <c r="AW33" s="538"/>
      <c r="AX33" s="538"/>
      <c r="AY33" s="538"/>
      <c r="AZ33" s="538"/>
      <c r="BA33" s="538"/>
      <c r="BB33" s="538"/>
      <c r="BC33" s="538"/>
      <c r="BD33" s="538"/>
      <c r="BE33" s="538"/>
      <c r="BF33" s="538"/>
      <c r="BG33" s="538"/>
      <c r="BH33" s="538"/>
      <c r="BI33" s="538"/>
      <c r="BJ33" s="538"/>
      <c r="BK33" s="570">
        <v>5592</v>
      </c>
      <c r="BL33" s="570"/>
      <c r="BM33" s="570"/>
      <c r="BN33" s="570"/>
      <c r="BO33" s="570"/>
      <c r="BP33" s="570"/>
      <c r="BQ33" s="570"/>
      <c r="BR33" s="570"/>
      <c r="BS33" s="570"/>
      <c r="BT33" s="570"/>
      <c r="BU33" s="570"/>
      <c r="BV33" s="570"/>
      <c r="BW33" s="570"/>
      <c r="BX33" s="570"/>
      <c r="BY33" s="570"/>
      <c r="BZ33" s="570"/>
      <c r="CA33" s="570"/>
      <c r="CB33" s="570"/>
      <c r="CC33" s="538"/>
      <c r="CD33" s="538"/>
      <c r="CE33" s="538"/>
      <c r="CF33" s="538"/>
      <c r="CG33" s="538"/>
      <c r="CH33" s="538"/>
      <c r="CI33" s="538"/>
      <c r="CJ33" s="538"/>
      <c r="CK33" s="538"/>
      <c r="CL33" s="538"/>
      <c r="CM33" s="538"/>
      <c r="CN33" s="538"/>
      <c r="CO33" s="538"/>
      <c r="CP33" s="538"/>
      <c r="CQ33" s="538"/>
      <c r="CR33" s="538"/>
      <c r="CS33" s="538"/>
      <c r="CT33" s="538"/>
      <c r="CU33" s="538"/>
      <c r="CV33" s="538">
        <v>15000</v>
      </c>
      <c r="CW33" s="538"/>
      <c r="CX33" s="538"/>
      <c r="CY33" s="538"/>
      <c r="CZ33" s="538"/>
      <c r="DA33" s="538"/>
      <c r="DB33" s="538"/>
      <c r="DC33" s="538"/>
      <c r="DD33" s="538"/>
      <c r="DE33" s="538"/>
      <c r="DF33" s="538"/>
      <c r="DG33" s="538"/>
      <c r="DH33" s="538"/>
      <c r="DI33" s="538"/>
      <c r="DJ33" s="538"/>
      <c r="DK33" s="538"/>
      <c r="DL33" s="538"/>
      <c r="DM33" s="538"/>
      <c r="DN33" s="538">
        <f t="shared" si="5"/>
        <v>16473.600000000002</v>
      </c>
      <c r="DO33" s="538"/>
      <c r="DP33" s="538"/>
      <c r="DQ33" s="538"/>
      <c r="DR33" s="538"/>
      <c r="DS33" s="538"/>
      <c r="DT33" s="538"/>
      <c r="DU33" s="538"/>
      <c r="DV33" s="538"/>
      <c r="DW33" s="538"/>
      <c r="DX33" s="538"/>
      <c r="DY33" s="538"/>
      <c r="DZ33" s="538"/>
      <c r="EA33" s="538"/>
      <c r="EB33" s="538"/>
      <c r="EC33" s="538"/>
      <c r="ED33" s="538">
        <f t="shared" si="6"/>
        <v>10296</v>
      </c>
      <c r="EE33" s="538"/>
      <c r="EF33" s="538"/>
      <c r="EG33" s="538"/>
      <c r="EH33" s="538"/>
      <c r="EI33" s="538"/>
      <c r="EJ33" s="538"/>
      <c r="EK33" s="538"/>
      <c r="EL33" s="538"/>
      <c r="EM33" s="538"/>
      <c r="EN33" s="538"/>
      <c r="EO33" s="538"/>
      <c r="EP33" s="538"/>
      <c r="EQ33" s="538"/>
      <c r="ER33" s="538"/>
      <c r="ES33" s="538"/>
      <c r="ET33" s="538">
        <f t="shared" si="7"/>
        <v>568339.20000000007</v>
      </c>
      <c r="EU33" s="538"/>
      <c r="EV33" s="538"/>
      <c r="EW33" s="538"/>
      <c r="EX33" s="538"/>
      <c r="EY33" s="538"/>
      <c r="EZ33" s="538"/>
      <c r="FA33" s="538"/>
      <c r="FB33" s="538"/>
      <c r="FC33" s="538"/>
      <c r="FD33" s="538"/>
      <c r="FE33" s="538"/>
      <c r="FF33" s="538"/>
      <c r="FG33" s="538"/>
      <c r="FH33" s="538"/>
      <c r="FI33" s="538"/>
      <c r="FJ33" s="538"/>
      <c r="FK33" s="171"/>
      <c r="FN33" s="171"/>
    </row>
    <row r="34" spans="1:178" s="16" customFormat="1" ht="28.2" customHeight="1" x14ac:dyDescent="0.3">
      <c r="A34" s="571" t="s">
        <v>462</v>
      </c>
      <c r="B34" s="571"/>
      <c r="C34" s="571"/>
      <c r="D34" s="571"/>
      <c r="E34" s="571"/>
      <c r="F34" s="571"/>
      <c r="G34" s="577" t="s">
        <v>497</v>
      </c>
      <c r="H34" s="577"/>
      <c r="I34" s="577"/>
      <c r="J34" s="577"/>
      <c r="K34" s="577"/>
      <c r="L34" s="577"/>
      <c r="M34" s="577"/>
      <c r="N34" s="577"/>
      <c r="O34" s="577"/>
      <c r="P34" s="577"/>
      <c r="Q34" s="577"/>
      <c r="R34" s="577"/>
      <c r="S34" s="577"/>
      <c r="T34" s="577"/>
      <c r="U34" s="577"/>
      <c r="V34" s="577"/>
      <c r="W34" s="577"/>
      <c r="X34" s="577"/>
      <c r="Y34" s="577"/>
      <c r="Z34" s="577"/>
      <c r="AA34" s="577"/>
      <c r="AB34" s="577"/>
      <c r="AC34" s="577"/>
      <c r="AD34" s="569">
        <v>2</v>
      </c>
      <c r="AE34" s="569"/>
      <c r="AF34" s="569"/>
      <c r="AG34" s="569"/>
      <c r="AH34" s="569"/>
      <c r="AI34" s="569"/>
      <c r="AJ34" s="569"/>
      <c r="AK34" s="569"/>
      <c r="AL34" s="569"/>
      <c r="AM34" s="569"/>
      <c r="AN34" s="569"/>
      <c r="AO34" s="569"/>
      <c r="AP34" s="569"/>
      <c r="AQ34" s="569"/>
      <c r="AR34" s="569"/>
      <c r="AS34" s="569"/>
      <c r="AT34" s="538">
        <f t="shared" si="4"/>
        <v>21261</v>
      </c>
      <c r="AU34" s="538"/>
      <c r="AV34" s="538"/>
      <c r="AW34" s="538"/>
      <c r="AX34" s="538"/>
      <c r="AY34" s="538"/>
      <c r="AZ34" s="538"/>
      <c r="BA34" s="538"/>
      <c r="BB34" s="538"/>
      <c r="BC34" s="538"/>
      <c r="BD34" s="538"/>
      <c r="BE34" s="538"/>
      <c r="BF34" s="538"/>
      <c r="BG34" s="538"/>
      <c r="BH34" s="538"/>
      <c r="BI34" s="538"/>
      <c r="BJ34" s="538"/>
      <c r="BK34" s="570">
        <v>5381</v>
      </c>
      <c r="BL34" s="570"/>
      <c r="BM34" s="570"/>
      <c r="BN34" s="570"/>
      <c r="BO34" s="570"/>
      <c r="BP34" s="570"/>
      <c r="BQ34" s="570"/>
      <c r="BR34" s="570"/>
      <c r="BS34" s="570"/>
      <c r="BT34" s="570"/>
      <c r="BU34" s="570"/>
      <c r="BV34" s="570"/>
      <c r="BW34" s="570"/>
      <c r="BX34" s="570"/>
      <c r="BY34" s="570"/>
      <c r="BZ34" s="570"/>
      <c r="CA34" s="570"/>
      <c r="CB34" s="570"/>
      <c r="CC34" s="538">
        <v>180</v>
      </c>
      <c r="CD34" s="538"/>
      <c r="CE34" s="538"/>
      <c r="CF34" s="538"/>
      <c r="CG34" s="538"/>
      <c r="CH34" s="538"/>
      <c r="CI34" s="538"/>
      <c r="CJ34" s="538"/>
      <c r="CK34" s="538"/>
      <c r="CL34" s="538"/>
      <c r="CM34" s="538"/>
      <c r="CN34" s="538"/>
      <c r="CO34" s="538"/>
      <c r="CP34" s="538"/>
      <c r="CQ34" s="538"/>
      <c r="CR34" s="538"/>
      <c r="CS34" s="538"/>
      <c r="CT34" s="538"/>
      <c r="CU34" s="538"/>
      <c r="CV34" s="538">
        <v>15700</v>
      </c>
      <c r="CW34" s="538"/>
      <c r="CX34" s="538"/>
      <c r="CY34" s="538"/>
      <c r="CZ34" s="538"/>
      <c r="DA34" s="538"/>
      <c r="DB34" s="538"/>
      <c r="DC34" s="538"/>
      <c r="DD34" s="538"/>
      <c r="DE34" s="538"/>
      <c r="DF34" s="538"/>
      <c r="DG34" s="538"/>
      <c r="DH34" s="538"/>
      <c r="DI34" s="538"/>
      <c r="DJ34" s="538"/>
      <c r="DK34" s="538"/>
      <c r="DL34" s="538"/>
      <c r="DM34" s="538"/>
      <c r="DN34" s="538">
        <f t="shared" si="5"/>
        <v>17008.8</v>
      </c>
      <c r="DO34" s="538"/>
      <c r="DP34" s="538"/>
      <c r="DQ34" s="538"/>
      <c r="DR34" s="538"/>
      <c r="DS34" s="538"/>
      <c r="DT34" s="538"/>
      <c r="DU34" s="538"/>
      <c r="DV34" s="538"/>
      <c r="DW34" s="538"/>
      <c r="DX34" s="538"/>
      <c r="DY34" s="538"/>
      <c r="DZ34" s="538"/>
      <c r="EA34" s="538"/>
      <c r="EB34" s="538"/>
      <c r="EC34" s="538"/>
      <c r="ED34" s="538">
        <f t="shared" si="6"/>
        <v>10630.5</v>
      </c>
      <c r="EE34" s="538"/>
      <c r="EF34" s="538"/>
      <c r="EG34" s="538"/>
      <c r="EH34" s="538"/>
      <c r="EI34" s="538"/>
      <c r="EJ34" s="538"/>
      <c r="EK34" s="538"/>
      <c r="EL34" s="538"/>
      <c r="EM34" s="538"/>
      <c r="EN34" s="538"/>
      <c r="EO34" s="538"/>
      <c r="EP34" s="538"/>
      <c r="EQ34" s="538"/>
      <c r="ER34" s="538"/>
      <c r="ES34" s="538"/>
      <c r="ET34" s="538">
        <f t="shared" si="7"/>
        <v>1173607.2000000002</v>
      </c>
      <c r="EU34" s="538"/>
      <c r="EV34" s="538"/>
      <c r="EW34" s="538"/>
      <c r="EX34" s="538"/>
      <c r="EY34" s="538"/>
      <c r="EZ34" s="538"/>
      <c r="FA34" s="538"/>
      <c r="FB34" s="538"/>
      <c r="FC34" s="538"/>
      <c r="FD34" s="538"/>
      <c r="FE34" s="538"/>
      <c r="FF34" s="538"/>
      <c r="FG34" s="538"/>
      <c r="FH34" s="538"/>
      <c r="FI34" s="538"/>
      <c r="FJ34" s="538"/>
      <c r="FK34" s="171"/>
      <c r="FN34" s="171"/>
    </row>
    <row r="35" spans="1:178" s="16" customFormat="1" ht="44.4" customHeight="1" x14ac:dyDescent="0.3">
      <c r="A35" s="571" t="s">
        <v>477</v>
      </c>
      <c r="B35" s="571"/>
      <c r="C35" s="571"/>
      <c r="D35" s="571"/>
      <c r="E35" s="571"/>
      <c r="F35" s="571"/>
      <c r="G35" s="577" t="s">
        <v>498</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69">
        <v>1</v>
      </c>
      <c r="AE35" s="569"/>
      <c r="AF35" s="569"/>
      <c r="AG35" s="569"/>
      <c r="AH35" s="569"/>
      <c r="AI35" s="569"/>
      <c r="AJ35" s="569"/>
      <c r="AK35" s="569"/>
      <c r="AL35" s="569"/>
      <c r="AM35" s="569"/>
      <c r="AN35" s="569"/>
      <c r="AO35" s="569"/>
      <c r="AP35" s="569"/>
      <c r="AQ35" s="569"/>
      <c r="AR35" s="569"/>
      <c r="AS35" s="569"/>
      <c r="AT35" s="538">
        <f t="shared" si="4"/>
        <v>20360</v>
      </c>
      <c r="AU35" s="538"/>
      <c r="AV35" s="538"/>
      <c r="AW35" s="538"/>
      <c r="AX35" s="538"/>
      <c r="AY35" s="538"/>
      <c r="AZ35" s="538"/>
      <c r="BA35" s="538"/>
      <c r="BB35" s="538"/>
      <c r="BC35" s="538"/>
      <c r="BD35" s="538"/>
      <c r="BE35" s="538"/>
      <c r="BF35" s="538"/>
      <c r="BG35" s="538"/>
      <c r="BH35" s="538"/>
      <c r="BI35" s="538"/>
      <c r="BJ35" s="538"/>
      <c r="BK35" s="570">
        <v>4610</v>
      </c>
      <c r="BL35" s="570"/>
      <c r="BM35" s="570"/>
      <c r="BN35" s="570"/>
      <c r="BO35" s="570"/>
      <c r="BP35" s="570"/>
      <c r="BQ35" s="570"/>
      <c r="BR35" s="570"/>
      <c r="BS35" s="570"/>
      <c r="BT35" s="570"/>
      <c r="BU35" s="570"/>
      <c r="BV35" s="570"/>
      <c r="BW35" s="570"/>
      <c r="BX35" s="570"/>
      <c r="BY35" s="570"/>
      <c r="BZ35" s="570"/>
      <c r="CA35" s="570"/>
      <c r="CB35" s="570"/>
      <c r="CC35" s="538">
        <v>250</v>
      </c>
      <c r="CD35" s="538"/>
      <c r="CE35" s="538"/>
      <c r="CF35" s="538"/>
      <c r="CG35" s="538"/>
      <c r="CH35" s="538"/>
      <c r="CI35" s="538"/>
      <c r="CJ35" s="538"/>
      <c r="CK35" s="538"/>
      <c r="CL35" s="538"/>
      <c r="CM35" s="538"/>
      <c r="CN35" s="538"/>
      <c r="CO35" s="538"/>
      <c r="CP35" s="538"/>
      <c r="CQ35" s="538"/>
      <c r="CR35" s="538"/>
      <c r="CS35" s="538"/>
      <c r="CT35" s="538"/>
      <c r="CU35" s="538"/>
      <c r="CV35" s="538">
        <v>15500</v>
      </c>
      <c r="CW35" s="538"/>
      <c r="CX35" s="538"/>
      <c r="CY35" s="538"/>
      <c r="CZ35" s="538"/>
      <c r="DA35" s="538"/>
      <c r="DB35" s="538"/>
      <c r="DC35" s="538"/>
      <c r="DD35" s="538"/>
      <c r="DE35" s="538"/>
      <c r="DF35" s="538"/>
      <c r="DG35" s="538"/>
      <c r="DH35" s="538"/>
      <c r="DI35" s="538"/>
      <c r="DJ35" s="538"/>
      <c r="DK35" s="538"/>
      <c r="DL35" s="538"/>
      <c r="DM35" s="538"/>
      <c r="DN35" s="538">
        <f t="shared" si="5"/>
        <v>16288</v>
      </c>
      <c r="DO35" s="538"/>
      <c r="DP35" s="538"/>
      <c r="DQ35" s="538"/>
      <c r="DR35" s="538"/>
      <c r="DS35" s="538"/>
      <c r="DT35" s="538"/>
      <c r="DU35" s="538"/>
      <c r="DV35" s="538"/>
      <c r="DW35" s="538"/>
      <c r="DX35" s="538"/>
      <c r="DY35" s="538"/>
      <c r="DZ35" s="538"/>
      <c r="EA35" s="538"/>
      <c r="EB35" s="538"/>
      <c r="EC35" s="538"/>
      <c r="ED35" s="538">
        <f t="shared" si="6"/>
        <v>10180</v>
      </c>
      <c r="EE35" s="538"/>
      <c r="EF35" s="538"/>
      <c r="EG35" s="538"/>
      <c r="EH35" s="538"/>
      <c r="EI35" s="538"/>
      <c r="EJ35" s="538"/>
      <c r="EK35" s="538"/>
      <c r="EL35" s="538"/>
      <c r="EM35" s="538"/>
      <c r="EN35" s="538"/>
      <c r="EO35" s="538"/>
      <c r="EP35" s="538"/>
      <c r="EQ35" s="538"/>
      <c r="ER35" s="538"/>
      <c r="ES35" s="538"/>
      <c r="ET35" s="538">
        <f t="shared" si="7"/>
        <v>561936</v>
      </c>
      <c r="EU35" s="538"/>
      <c r="EV35" s="538"/>
      <c r="EW35" s="538"/>
      <c r="EX35" s="538"/>
      <c r="EY35" s="538"/>
      <c r="EZ35" s="538"/>
      <c r="FA35" s="538"/>
      <c r="FB35" s="538"/>
      <c r="FC35" s="538"/>
      <c r="FD35" s="538"/>
      <c r="FE35" s="538"/>
      <c r="FF35" s="538"/>
      <c r="FG35" s="538"/>
      <c r="FH35" s="538"/>
      <c r="FI35" s="538"/>
      <c r="FJ35" s="538"/>
      <c r="FK35" s="171"/>
      <c r="FN35" s="171"/>
    </row>
    <row r="36" spans="1:178" s="16" customFormat="1" ht="42" customHeight="1" x14ac:dyDescent="0.3">
      <c r="A36" s="571" t="s">
        <v>479</v>
      </c>
      <c r="B36" s="571"/>
      <c r="C36" s="571"/>
      <c r="D36" s="571"/>
      <c r="E36" s="571"/>
      <c r="F36" s="571"/>
      <c r="G36" s="577" t="s">
        <v>499</v>
      </c>
      <c r="H36" s="577"/>
      <c r="I36" s="577"/>
      <c r="J36" s="577"/>
      <c r="K36" s="577"/>
      <c r="L36" s="577"/>
      <c r="M36" s="577"/>
      <c r="N36" s="577"/>
      <c r="O36" s="577"/>
      <c r="P36" s="577"/>
      <c r="Q36" s="577"/>
      <c r="R36" s="577"/>
      <c r="S36" s="577"/>
      <c r="T36" s="577"/>
      <c r="U36" s="577"/>
      <c r="V36" s="577"/>
      <c r="W36" s="577"/>
      <c r="X36" s="577"/>
      <c r="Y36" s="577"/>
      <c r="Z36" s="577"/>
      <c r="AA36" s="577"/>
      <c r="AB36" s="577"/>
      <c r="AC36" s="577"/>
      <c r="AD36" s="569">
        <v>1</v>
      </c>
      <c r="AE36" s="569"/>
      <c r="AF36" s="569"/>
      <c r="AG36" s="569"/>
      <c r="AH36" s="569"/>
      <c r="AI36" s="569"/>
      <c r="AJ36" s="569"/>
      <c r="AK36" s="569"/>
      <c r="AL36" s="569"/>
      <c r="AM36" s="569"/>
      <c r="AN36" s="569"/>
      <c r="AO36" s="569"/>
      <c r="AP36" s="569"/>
      <c r="AQ36" s="569"/>
      <c r="AR36" s="569"/>
      <c r="AS36" s="569"/>
      <c r="AT36" s="538">
        <f t="shared" si="4"/>
        <v>19660</v>
      </c>
      <c r="AU36" s="538"/>
      <c r="AV36" s="538"/>
      <c r="AW36" s="538"/>
      <c r="AX36" s="538"/>
      <c r="AY36" s="538"/>
      <c r="AZ36" s="538"/>
      <c r="BA36" s="538"/>
      <c r="BB36" s="538"/>
      <c r="BC36" s="538"/>
      <c r="BD36" s="538"/>
      <c r="BE36" s="538"/>
      <c r="BF36" s="538"/>
      <c r="BG36" s="538"/>
      <c r="BH36" s="538"/>
      <c r="BI36" s="538"/>
      <c r="BJ36" s="538"/>
      <c r="BK36" s="570">
        <v>4610</v>
      </c>
      <c r="BL36" s="570"/>
      <c r="BM36" s="570"/>
      <c r="BN36" s="570"/>
      <c r="BO36" s="570"/>
      <c r="BP36" s="570"/>
      <c r="BQ36" s="570"/>
      <c r="BR36" s="570"/>
      <c r="BS36" s="570"/>
      <c r="BT36" s="570"/>
      <c r="BU36" s="570"/>
      <c r="BV36" s="570"/>
      <c r="BW36" s="570"/>
      <c r="BX36" s="570"/>
      <c r="BY36" s="570"/>
      <c r="BZ36" s="570"/>
      <c r="CA36" s="570"/>
      <c r="CB36" s="570"/>
      <c r="CC36" s="538"/>
      <c r="CD36" s="538"/>
      <c r="CE36" s="538"/>
      <c r="CF36" s="538"/>
      <c r="CG36" s="538"/>
      <c r="CH36" s="538"/>
      <c r="CI36" s="538"/>
      <c r="CJ36" s="538"/>
      <c r="CK36" s="538"/>
      <c r="CL36" s="538"/>
      <c r="CM36" s="538"/>
      <c r="CN36" s="538"/>
      <c r="CO36" s="538"/>
      <c r="CP36" s="538"/>
      <c r="CQ36" s="538"/>
      <c r="CR36" s="538"/>
      <c r="CS36" s="538"/>
      <c r="CT36" s="538"/>
      <c r="CU36" s="538"/>
      <c r="CV36" s="538">
        <v>15050</v>
      </c>
      <c r="CW36" s="538"/>
      <c r="CX36" s="538"/>
      <c r="CY36" s="538"/>
      <c r="CZ36" s="538"/>
      <c r="DA36" s="538"/>
      <c r="DB36" s="538"/>
      <c r="DC36" s="538"/>
      <c r="DD36" s="538"/>
      <c r="DE36" s="538"/>
      <c r="DF36" s="538"/>
      <c r="DG36" s="538"/>
      <c r="DH36" s="538"/>
      <c r="DI36" s="538"/>
      <c r="DJ36" s="538"/>
      <c r="DK36" s="538"/>
      <c r="DL36" s="538"/>
      <c r="DM36" s="538"/>
      <c r="DN36" s="538">
        <f t="shared" si="5"/>
        <v>15728</v>
      </c>
      <c r="DO36" s="538"/>
      <c r="DP36" s="538"/>
      <c r="DQ36" s="538"/>
      <c r="DR36" s="538"/>
      <c r="DS36" s="538"/>
      <c r="DT36" s="538"/>
      <c r="DU36" s="538"/>
      <c r="DV36" s="538"/>
      <c r="DW36" s="538"/>
      <c r="DX36" s="538"/>
      <c r="DY36" s="538"/>
      <c r="DZ36" s="538"/>
      <c r="EA36" s="538"/>
      <c r="EB36" s="538"/>
      <c r="EC36" s="538"/>
      <c r="ED36" s="538">
        <f t="shared" si="6"/>
        <v>9830</v>
      </c>
      <c r="EE36" s="538"/>
      <c r="EF36" s="538"/>
      <c r="EG36" s="538"/>
      <c r="EH36" s="538"/>
      <c r="EI36" s="538"/>
      <c r="EJ36" s="538"/>
      <c r="EK36" s="538"/>
      <c r="EL36" s="538"/>
      <c r="EM36" s="538"/>
      <c r="EN36" s="538"/>
      <c r="EO36" s="538"/>
      <c r="EP36" s="538"/>
      <c r="EQ36" s="538"/>
      <c r="ER36" s="538"/>
      <c r="ES36" s="538"/>
      <c r="ET36" s="538">
        <f t="shared" si="7"/>
        <v>542616</v>
      </c>
      <c r="EU36" s="538"/>
      <c r="EV36" s="538"/>
      <c r="EW36" s="538"/>
      <c r="EX36" s="538"/>
      <c r="EY36" s="538"/>
      <c r="EZ36" s="538"/>
      <c r="FA36" s="538"/>
      <c r="FB36" s="538"/>
      <c r="FC36" s="538"/>
      <c r="FD36" s="538"/>
      <c r="FE36" s="538"/>
      <c r="FF36" s="538"/>
      <c r="FG36" s="538"/>
      <c r="FH36" s="538"/>
      <c r="FI36" s="538"/>
      <c r="FJ36" s="538"/>
      <c r="FK36" s="171"/>
      <c r="FN36" s="171"/>
    </row>
    <row r="37" spans="1:178" s="16" customFormat="1" ht="18" customHeight="1" x14ac:dyDescent="0.3">
      <c r="A37" s="571" t="s">
        <v>481</v>
      </c>
      <c r="B37" s="571"/>
      <c r="C37" s="571"/>
      <c r="D37" s="571"/>
      <c r="E37" s="571"/>
      <c r="F37" s="571"/>
      <c r="G37" s="577" t="s">
        <v>500</v>
      </c>
      <c r="H37" s="577"/>
      <c r="I37" s="577"/>
      <c r="J37" s="577"/>
      <c r="K37" s="577"/>
      <c r="L37" s="577"/>
      <c r="M37" s="577"/>
      <c r="N37" s="577"/>
      <c r="O37" s="577"/>
      <c r="P37" s="577"/>
      <c r="Q37" s="577"/>
      <c r="R37" s="577"/>
      <c r="S37" s="577"/>
      <c r="T37" s="577"/>
      <c r="U37" s="577"/>
      <c r="V37" s="577"/>
      <c r="W37" s="577"/>
      <c r="X37" s="577"/>
      <c r="Y37" s="577"/>
      <c r="Z37" s="577"/>
      <c r="AA37" s="577"/>
      <c r="AB37" s="577"/>
      <c r="AC37" s="577"/>
      <c r="AD37" s="569">
        <v>6.25</v>
      </c>
      <c r="AE37" s="569"/>
      <c r="AF37" s="569"/>
      <c r="AG37" s="569"/>
      <c r="AH37" s="569"/>
      <c r="AI37" s="569"/>
      <c r="AJ37" s="569"/>
      <c r="AK37" s="569"/>
      <c r="AL37" s="569"/>
      <c r="AM37" s="569"/>
      <c r="AN37" s="569"/>
      <c r="AO37" s="569"/>
      <c r="AP37" s="569"/>
      <c r="AQ37" s="569"/>
      <c r="AR37" s="569"/>
      <c r="AS37" s="569"/>
      <c r="AT37" s="538">
        <f t="shared" si="4"/>
        <v>21085</v>
      </c>
      <c r="AU37" s="538"/>
      <c r="AV37" s="538"/>
      <c r="AW37" s="538"/>
      <c r="AX37" s="538"/>
      <c r="AY37" s="538"/>
      <c r="AZ37" s="538"/>
      <c r="BA37" s="538"/>
      <c r="BB37" s="538"/>
      <c r="BC37" s="538"/>
      <c r="BD37" s="538"/>
      <c r="BE37" s="538"/>
      <c r="BF37" s="538"/>
      <c r="BG37" s="538"/>
      <c r="BH37" s="538"/>
      <c r="BI37" s="538"/>
      <c r="BJ37" s="538"/>
      <c r="BK37" s="570">
        <v>4885</v>
      </c>
      <c r="BL37" s="570"/>
      <c r="BM37" s="570"/>
      <c r="BN37" s="570"/>
      <c r="BO37" s="570"/>
      <c r="BP37" s="570"/>
      <c r="BQ37" s="570"/>
      <c r="BR37" s="570"/>
      <c r="BS37" s="570"/>
      <c r="BT37" s="570"/>
      <c r="BU37" s="570"/>
      <c r="BV37" s="570"/>
      <c r="BW37" s="570"/>
      <c r="BX37" s="570"/>
      <c r="BY37" s="570"/>
      <c r="BZ37" s="570"/>
      <c r="CA37" s="570"/>
      <c r="CB37" s="570"/>
      <c r="CC37" s="538">
        <v>1000</v>
      </c>
      <c r="CD37" s="538"/>
      <c r="CE37" s="538"/>
      <c r="CF37" s="538"/>
      <c r="CG37" s="538"/>
      <c r="CH37" s="538"/>
      <c r="CI37" s="538"/>
      <c r="CJ37" s="538"/>
      <c r="CK37" s="538"/>
      <c r="CL37" s="538"/>
      <c r="CM37" s="538"/>
      <c r="CN37" s="538"/>
      <c r="CO37" s="538"/>
      <c r="CP37" s="538"/>
      <c r="CQ37" s="538"/>
      <c r="CR37" s="538"/>
      <c r="CS37" s="538"/>
      <c r="CT37" s="538"/>
      <c r="CU37" s="538"/>
      <c r="CV37" s="538">
        <v>15200</v>
      </c>
      <c r="CW37" s="538"/>
      <c r="CX37" s="538"/>
      <c r="CY37" s="538"/>
      <c r="CZ37" s="538"/>
      <c r="DA37" s="538"/>
      <c r="DB37" s="538"/>
      <c r="DC37" s="538"/>
      <c r="DD37" s="538"/>
      <c r="DE37" s="538"/>
      <c r="DF37" s="538"/>
      <c r="DG37" s="538"/>
      <c r="DH37" s="538"/>
      <c r="DI37" s="538"/>
      <c r="DJ37" s="538"/>
      <c r="DK37" s="538"/>
      <c r="DL37" s="538"/>
      <c r="DM37" s="538"/>
      <c r="DN37" s="538">
        <f t="shared" si="5"/>
        <v>16868</v>
      </c>
      <c r="DO37" s="538"/>
      <c r="DP37" s="538"/>
      <c r="DQ37" s="538"/>
      <c r="DR37" s="538"/>
      <c r="DS37" s="538"/>
      <c r="DT37" s="538"/>
      <c r="DU37" s="538"/>
      <c r="DV37" s="538"/>
      <c r="DW37" s="538"/>
      <c r="DX37" s="538"/>
      <c r="DY37" s="538"/>
      <c r="DZ37" s="538"/>
      <c r="EA37" s="538"/>
      <c r="EB37" s="538"/>
      <c r="EC37" s="538"/>
      <c r="ED37" s="538">
        <f t="shared" si="6"/>
        <v>10542.5</v>
      </c>
      <c r="EE37" s="538"/>
      <c r="EF37" s="538"/>
      <c r="EG37" s="538"/>
      <c r="EH37" s="538"/>
      <c r="EI37" s="538"/>
      <c r="EJ37" s="538"/>
      <c r="EK37" s="538"/>
      <c r="EL37" s="538"/>
      <c r="EM37" s="538"/>
      <c r="EN37" s="538"/>
      <c r="EO37" s="538"/>
      <c r="EP37" s="538"/>
      <c r="EQ37" s="538"/>
      <c r="ER37" s="538"/>
      <c r="ES37" s="538"/>
      <c r="ET37" s="538">
        <f t="shared" si="7"/>
        <v>3637162.5</v>
      </c>
      <c r="EU37" s="538"/>
      <c r="EV37" s="538"/>
      <c r="EW37" s="538"/>
      <c r="EX37" s="538"/>
      <c r="EY37" s="538"/>
      <c r="EZ37" s="538"/>
      <c r="FA37" s="538"/>
      <c r="FB37" s="538"/>
      <c r="FC37" s="538"/>
      <c r="FD37" s="538"/>
      <c r="FE37" s="538"/>
      <c r="FF37" s="538"/>
      <c r="FG37" s="538"/>
      <c r="FH37" s="538"/>
      <c r="FI37" s="538"/>
      <c r="FJ37" s="538"/>
      <c r="FK37" s="171"/>
      <c r="FN37" s="171"/>
    </row>
    <row r="38" spans="1:178" s="16" customFormat="1" ht="31.5" customHeight="1" x14ac:dyDescent="0.3">
      <c r="A38" s="571" t="s">
        <v>483</v>
      </c>
      <c r="B38" s="571"/>
      <c r="C38" s="571"/>
      <c r="D38" s="571"/>
      <c r="E38" s="571"/>
      <c r="F38" s="571"/>
      <c r="G38" s="577" t="s">
        <v>997</v>
      </c>
      <c r="H38" s="577"/>
      <c r="I38" s="577"/>
      <c r="J38" s="577"/>
      <c r="K38" s="577"/>
      <c r="L38" s="577"/>
      <c r="M38" s="577"/>
      <c r="N38" s="577"/>
      <c r="O38" s="577"/>
      <c r="P38" s="577"/>
      <c r="Q38" s="577"/>
      <c r="R38" s="577"/>
      <c r="S38" s="577"/>
      <c r="T38" s="577"/>
      <c r="U38" s="577"/>
      <c r="V38" s="577"/>
      <c r="W38" s="577"/>
      <c r="X38" s="577"/>
      <c r="Y38" s="577"/>
      <c r="Z38" s="577"/>
      <c r="AA38" s="577"/>
      <c r="AB38" s="577"/>
      <c r="AC38" s="577"/>
      <c r="AD38" s="569">
        <v>0.1</v>
      </c>
      <c r="AE38" s="569"/>
      <c r="AF38" s="569"/>
      <c r="AG38" s="569"/>
      <c r="AH38" s="569"/>
      <c r="AI38" s="569"/>
      <c r="AJ38" s="569"/>
      <c r="AK38" s="569"/>
      <c r="AL38" s="569"/>
      <c r="AM38" s="569"/>
      <c r="AN38" s="569"/>
      <c r="AO38" s="569"/>
      <c r="AP38" s="569"/>
      <c r="AQ38" s="569"/>
      <c r="AR38" s="569"/>
      <c r="AS38" s="569"/>
      <c r="AT38" s="538">
        <f t="shared" si="4"/>
        <v>20085</v>
      </c>
      <c r="AU38" s="538"/>
      <c r="AV38" s="538"/>
      <c r="AW38" s="538"/>
      <c r="AX38" s="538"/>
      <c r="AY38" s="538"/>
      <c r="AZ38" s="538"/>
      <c r="BA38" s="538"/>
      <c r="BB38" s="538"/>
      <c r="BC38" s="538"/>
      <c r="BD38" s="538"/>
      <c r="BE38" s="538"/>
      <c r="BF38" s="538"/>
      <c r="BG38" s="538"/>
      <c r="BH38" s="538"/>
      <c r="BI38" s="538"/>
      <c r="BJ38" s="538"/>
      <c r="BK38" s="570">
        <v>4885</v>
      </c>
      <c r="BL38" s="570"/>
      <c r="BM38" s="570"/>
      <c r="BN38" s="570"/>
      <c r="BO38" s="570"/>
      <c r="BP38" s="570"/>
      <c r="BQ38" s="570"/>
      <c r="BR38" s="570"/>
      <c r="BS38" s="570"/>
      <c r="BT38" s="570"/>
      <c r="BU38" s="570"/>
      <c r="BV38" s="570"/>
      <c r="BW38" s="570"/>
      <c r="BX38" s="570"/>
      <c r="BY38" s="570"/>
      <c r="BZ38" s="570"/>
      <c r="CA38" s="570"/>
      <c r="CB38" s="570"/>
      <c r="CC38" s="538"/>
      <c r="CD38" s="538"/>
      <c r="CE38" s="538"/>
      <c r="CF38" s="538"/>
      <c r="CG38" s="538"/>
      <c r="CH38" s="538"/>
      <c r="CI38" s="538"/>
      <c r="CJ38" s="538"/>
      <c r="CK38" s="538"/>
      <c r="CL38" s="538"/>
      <c r="CM38" s="538"/>
      <c r="CN38" s="538"/>
      <c r="CO38" s="538"/>
      <c r="CP38" s="538"/>
      <c r="CQ38" s="538"/>
      <c r="CR38" s="538"/>
      <c r="CS38" s="538"/>
      <c r="CT38" s="538"/>
      <c r="CU38" s="538"/>
      <c r="CV38" s="538">
        <v>15200</v>
      </c>
      <c r="CW38" s="538"/>
      <c r="CX38" s="538"/>
      <c r="CY38" s="538"/>
      <c r="CZ38" s="538"/>
      <c r="DA38" s="538"/>
      <c r="DB38" s="538"/>
      <c r="DC38" s="538"/>
      <c r="DD38" s="538"/>
      <c r="DE38" s="538"/>
      <c r="DF38" s="538"/>
      <c r="DG38" s="538"/>
      <c r="DH38" s="538"/>
      <c r="DI38" s="538"/>
      <c r="DJ38" s="538"/>
      <c r="DK38" s="538"/>
      <c r="DL38" s="538"/>
      <c r="DM38" s="538"/>
      <c r="DN38" s="538">
        <f t="shared" si="5"/>
        <v>16068</v>
      </c>
      <c r="DO38" s="538"/>
      <c r="DP38" s="538"/>
      <c r="DQ38" s="538"/>
      <c r="DR38" s="538"/>
      <c r="DS38" s="538"/>
      <c r="DT38" s="538"/>
      <c r="DU38" s="538"/>
      <c r="DV38" s="538"/>
      <c r="DW38" s="538"/>
      <c r="DX38" s="538"/>
      <c r="DY38" s="538"/>
      <c r="DZ38" s="538"/>
      <c r="EA38" s="538"/>
      <c r="EB38" s="538"/>
      <c r="EC38" s="538"/>
      <c r="ED38" s="538">
        <f t="shared" si="6"/>
        <v>10042.5</v>
      </c>
      <c r="EE38" s="538"/>
      <c r="EF38" s="538"/>
      <c r="EG38" s="538"/>
      <c r="EH38" s="538"/>
      <c r="EI38" s="538"/>
      <c r="EJ38" s="538"/>
      <c r="EK38" s="538"/>
      <c r="EL38" s="538"/>
      <c r="EM38" s="538"/>
      <c r="EN38" s="538"/>
      <c r="EO38" s="538"/>
      <c r="EP38" s="538"/>
      <c r="EQ38" s="538"/>
      <c r="ER38" s="538"/>
      <c r="ES38" s="538"/>
      <c r="ET38" s="538">
        <f t="shared" si="7"/>
        <v>55434.600000000006</v>
      </c>
      <c r="EU38" s="538"/>
      <c r="EV38" s="538"/>
      <c r="EW38" s="538"/>
      <c r="EX38" s="538"/>
      <c r="EY38" s="538"/>
      <c r="EZ38" s="538"/>
      <c r="FA38" s="538"/>
      <c r="FB38" s="538"/>
      <c r="FC38" s="538"/>
      <c r="FD38" s="538"/>
      <c r="FE38" s="538"/>
      <c r="FF38" s="538"/>
      <c r="FG38" s="538"/>
      <c r="FH38" s="538"/>
      <c r="FI38" s="538"/>
      <c r="FJ38" s="538"/>
      <c r="FK38" s="171"/>
      <c r="FN38" s="171"/>
    </row>
    <row r="39" spans="1:178" s="16" customFormat="1" ht="27.75" customHeight="1" x14ac:dyDescent="0.3">
      <c r="A39" s="578" t="s">
        <v>254</v>
      </c>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80"/>
      <c r="AD39" s="539">
        <f>SUM(AD32:AD38)</f>
        <v>12.35</v>
      </c>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40">
        <f>SUM(ET32:ET37)</f>
        <v>7411048.5</v>
      </c>
      <c r="EU39" s="539"/>
      <c r="EV39" s="539"/>
      <c r="EW39" s="539"/>
      <c r="EX39" s="539"/>
      <c r="EY39" s="539"/>
      <c r="EZ39" s="539"/>
      <c r="FA39" s="539"/>
      <c r="FB39" s="539"/>
      <c r="FC39" s="539"/>
      <c r="FD39" s="539"/>
      <c r="FE39" s="539"/>
      <c r="FF39" s="539"/>
      <c r="FG39" s="539"/>
      <c r="FH39" s="539"/>
      <c r="FI39" s="539"/>
      <c r="FJ39" s="539"/>
      <c r="FK39" s="171"/>
      <c r="FN39" s="171"/>
      <c r="FV39" s="60"/>
    </row>
    <row r="40" spans="1:178" s="16" customFormat="1" ht="14.25" customHeight="1" x14ac:dyDescent="0.3">
      <c r="A40" s="475" t="s">
        <v>256</v>
      </c>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7"/>
      <c r="FN40" s="171"/>
      <c r="FV40" s="60"/>
    </row>
    <row r="41" spans="1:178" s="16" customFormat="1" ht="32.4" customHeight="1" x14ac:dyDescent="0.3">
      <c r="A41" s="571" t="s">
        <v>67</v>
      </c>
      <c r="B41" s="571"/>
      <c r="C41" s="571"/>
      <c r="D41" s="571"/>
      <c r="E41" s="571"/>
      <c r="F41" s="571"/>
      <c r="G41" s="574" t="s">
        <v>501</v>
      </c>
      <c r="H41" s="575"/>
      <c r="I41" s="575"/>
      <c r="J41" s="575"/>
      <c r="K41" s="575"/>
      <c r="L41" s="575"/>
      <c r="M41" s="575"/>
      <c r="N41" s="575"/>
      <c r="O41" s="575"/>
      <c r="P41" s="575"/>
      <c r="Q41" s="575"/>
      <c r="R41" s="575"/>
      <c r="S41" s="575"/>
      <c r="T41" s="575"/>
      <c r="U41" s="575"/>
      <c r="V41" s="575"/>
      <c r="W41" s="575"/>
      <c r="X41" s="575"/>
      <c r="Y41" s="575"/>
      <c r="Z41" s="575"/>
      <c r="AA41" s="575"/>
      <c r="AB41" s="575"/>
      <c r="AC41" s="576"/>
      <c r="AD41" s="569">
        <v>3</v>
      </c>
      <c r="AE41" s="569"/>
      <c r="AF41" s="569"/>
      <c r="AG41" s="569"/>
      <c r="AH41" s="569"/>
      <c r="AI41" s="569"/>
      <c r="AJ41" s="569"/>
      <c r="AK41" s="569"/>
      <c r="AL41" s="569"/>
      <c r="AM41" s="569"/>
      <c r="AN41" s="569"/>
      <c r="AO41" s="569"/>
      <c r="AP41" s="569"/>
      <c r="AQ41" s="569"/>
      <c r="AR41" s="569"/>
      <c r="AS41" s="569"/>
      <c r="AT41" s="538">
        <f t="shared" ref="AT41:AT60" si="8">BK41+CC41+CV41</f>
        <v>39955</v>
      </c>
      <c r="AU41" s="538"/>
      <c r="AV41" s="538"/>
      <c r="AW41" s="538"/>
      <c r="AX41" s="538"/>
      <c r="AY41" s="538"/>
      <c r="AZ41" s="538"/>
      <c r="BA41" s="538"/>
      <c r="BB41" s="538"/>
      <c r="BC41" s="538"/>
      <c r="BD41" s="538"/>
      <c r="BE41" s="538"/>
      <c r="BF41" s="538"/>
      <c r="BG41" s="538"/>
      <c r="BH41" s="538"/>
      <c r="BI41" s="538"/>
      <c r="BJ41" s="538"/>
      <c r="BK41" s="570">
        <v>9955</v>
      </c>
      <c r="BL41" s="570"/>
      <c r="BM41" s="570"/>
      <c r="BN41" s="570"/>
      <c r="BO41" s="570"/>
      <c r="BP41" s="570"/>
      <c r="BQ41" s="570"/>
      <c r="BR41" s="570"/>
      <c r="BS41" s="570"/>
      <c r="BT41" s="570"/>
      <c r="BU41" s="570"/>
      <c r="BV41" s="570"/>
      <c r="BW41" s="570"/>
      <c r="BX41" s="570"/>
      <c r="BY41" s="570"/>
      <c r="BZ41" s="570"/>
      <c r="CA41" s="570"/>
      <c r="CB41" s="570"/>
      <c r="CC41" s="538"/>
      <c r="CD41" s="538"/>
      <c r="CE41" s="538"/>
      <c r="CF41" s="538"/>
      <c r="CG41" s="538"/>
      <c r="CH41" s="538"/>
      <c r="CI41" s="538"/>
      <c r="CJ41" s="538"/>
      <c r="CK41" s="538"/>
      <c r="CL41" s="538"/>
      <c r="CM41" s="538"/>
      <c r="CN41" s="538"/>
      <c r="CO41" s="538"/>
      <c r="CP41" s="538"/>
      <c r="CQ41" s="538"/>
      <c r="CR41" s="538"/>
      <c r="CS41" s="538"/>
      <c r="CT41" s="538"/>
      <c r="CU41" s="538"/>
      <c r="CV41" s="538">
        <v>30000</v>
      </c>
      <c r="CW41" s="538"/>
      <c r="CX41" s="538"/>
      <c r="CY41" s="538"/>
      <c r="CZ41" s="538"/>
      <c r="DA41" s="538"/>
      <c r="DB41" s="538"/>
      <c r="DC41" s="538"/>
      <c r="DD41" s="538"/>
      <c r="DE41" s="538"/>
      <c r="DF41" s="538"/>
      <c r="DG41" s="538"/>
      <c r="DH41" s="538"/>
      <c r="DI41" s="538"/>
      <c r="DJ41" s="538"/>
      <c r="DK41" s="538"/>
      <c r="DL41" s="538"/>
      <c r="DM41" s="538"/>
      <c r="DN41" s="538">
        <f t="shared" ref="DN41:DN60" si="9">AT41*80%</f>
        <v>31964</v>
      </c>
      <c r="DO41" s="538"/>
      <c r="DP41" s="538"/>
      <c r="DQ41" s="538"/>
      <c r="DR41" s="538"/>
      <c r="DS41" s="538"/>
      <c r="DT41" s="538"/>
      <c r="DU41" s="538"/>
      <c r="DV41" s="538"/>
      <c r="DW41" s="538"/>
      <c r="DX41" s="538"/>
      <c r="DY41" s="538"/>
      <c r="DZ41" s="538"/>
      <c r="EA41" s="538"/>
      <c r="EB41" s="538"/>
      <c r="EC41" s="538"/>
      <c r="ED41" s="538">
        <f t="shared" ref="ED41:ED60" si="10">AT41*50%</f>
        <v>19977.5</v>
      </c>
      <c r="EE41" s="538"/>
      <c r="EF41" s="538"/>
      <c r="EG41" s="538"/>
      <c r="EH41" s="538"/>
      <c r="EI41" s="538"/>
      <c r="EJ41" s="538"/>
      <c r="EK41" s="538"/>
      <c r="EL41" s="538"/>
      <c r="EM41" s="538"/>
      <c r="EN41" s="538"/>
      <c r="EO41" s="538"/>
      <c r="EP41" s="538"/>
      <c r="EQ41" s="538"/>
      <c r="ER41" s="538"/>
      <c r="ES41" s="538"/>
      <c r="ET41" s="538">
        <f t="shared" ref="ET41:ET60" si="11">(AT41+DN41+ED41)*12*AD41</f>
        <v>3308274</v>
      </c>
      <c r="EU41" s="538"/>
      <c r="EV41" s="538"/>
      <c r="EW41" s="538"/>
      <c r="EX41" s="538"/>
      <c r="EY41" s="538"/>
      <c r="EZ41" s="538"/>
      <c r="FA41" s="538"/>
      <c r="FB41" s="538"/>
      <c r="FC41" s="538"/>
      <c r="FD41" s="538"/>
      <c r="FE41" s="538"/>
      <c r="FF41" s="538"/>
      <c r="FG41" s="538"/>
      <c r="FH41" s="538"/>
      <c r="FI41" s="538"/>
      <c r="FJ41" s="538"/>
      <c r="FK41" s="171"/>
      <c r="FN41" s="171"/>
    </row>
    <row r="42" spans="1:178" s="16" customFormat="1" ht="25.95" customHeight="1" x14ac:dyDescent="0.3">
      <c r="A42" s="571" t="s">
        <v>71</v>
      </c>
      <c r="B42" s="571"/>
      <c r="C42" s="571"/>
      <c r="D42" s="571"/>
      <c r="E42" s="571"/>
      <c r="F42" s="571"/>
      <c r="G42" s="572" t="s">
        <v>502</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69">
        <v>0.1</v>
      </c>
      <c r="AE42" s="569"/>
      <c r="AF42" s="569"/>
      <c r="AG42" s="569"/>
      <c r="AH42" s="569"/>
      <c r="AI42" s="569"/>
      <c r="AJ42" s="569"/>
      <c r="AK42" s="569"/>
      <c r="AL42" s="569"/>
      <c r="AM42" s="569"/>
      <c r="AN42" s="569"/>
      <c r="AO42" s="569"/>
      <c r="AP42" s="569"/>
      <c r="AQ42" s="569"/>
      <c r="AR42" s="569"/>
      <c r="AS42" s="569"/>
      <c r="AT42" s="538">
        <f t="shared" si="8"/>
        <v>50856</v>
      </c>
      <c r="AU42" s="538"/>
      <c r="AV42" s="538"/>
      <c r="AW42" s="538"/>
      <c r="AX42" s="538"/>
      <c r="AY42" s="538"/>
      <c r="AZ42" s="538"/>
      <c r="BA42" s="538"/>
      <c r="BB42" s="538"/>
      <c r="BC42" s="538"/>
      <c r="BD42" s="538"/>
      <c r="BE42" s="538"/>
      <c r="BF42" s="538"/>
      <c r="BG42" s="538"/>
      <c r="BH42" s="538"/>
      <c r="BI42" s="538"/>
      <c r="BJ42" s="538"/>
      <c r="BK42" s="570">
        <v>10856</v>
      </c>
      <c r="BL42" s="570"/>
      <c r="BM42" s="570"/>
      <c r="BN42" s="570"/>
      <c r="BO42" s="570"/>
      <c r="BP42" s="570"/>
      <c r="BQ42" s="570"/>
      <c r="BR42" s="570"/>
      <c r="BS42" s="570"/>
      <c r="BT42" s="570"/>
      <c r="BU42" s="570"/>
      <c r="BV42" s="570"/>
      <c r="BW42" s="570"/>
      <c r="BX42" s="570"/>
      <c r="BY42" s="570"/>
      <c r="BZ42" s="570"/>
      <c r="CA42" s="570"/>
      <c r="CB42" s="570"/>
      <c r="CC42" s="569"/>
      <c r="CD42" s="569"/>
      <c r="CE42" s="569"/>
      <c r="CF42" s="569"/>
      <c r="CG42" s="569"/>
      <c r="CH42" s="569"/>
      <c r="CI42" s="569"/>
      <c r="CJ42" s="569"/>
      <c r="CK42" s="569"/>
      <c r="CL42" s="569"/>
      <c r="CM42" s="569"/>
      <c r="CN42" s="569"/>
      <c r="CO42" s="569"/>
      <c r="CP42" s="569"/>
      <c r="CQ42" s="569"/>
      <c r="CR42" s="569"/>
      <c r="CS42" s="569"/>
      <c r="CT42" s="569"/>
      <c r="CU42" s="569"/>
      <c r="CV42" s="562">
        <v>40000</v>
      </c>
      <c r="CW42" s="563"/>
      <c r="CX42" s="563"/>
      <c r="CY42" s="563"/>
      <c r="CZ42" s="563"/>
      <c r="DA42" s="563"/>
      <c r="DB42" s="563"/>
      <c r="DC42" s="563"/>
      <c r="DD42" s="563"/>
      <c r="DE42" s="563"/>
      <c r="DF42" s="563"/>
      <c r="DG42" s="563"/>
      <c r="DH42" s="563"/>
      <c r="DI42" s="563"/>
      <c r="DJ42" s="563"/>
      <c r="DK42" s="563"/>
      <c r="DL42" s="563"/>
      <c r="DM42" s="564"/>
      <c r="DN42" s="538">
        <f t="shared" si="9"/>
        <v>40684.800000000003</v>
      </c>
      <c r="DO42" s="538"/>
      <c r="DP42" s="538"/>
      <c r="DQ42" s="538"/>
      <c r="DR42" s="538"/>
      <c r="DS42" s="538"/>
      <c r="DT42" s="538"/>
      <c r="DU42" s="538"/>
      <c r="DV42" s="538"/>
      <c r="DW42" s="538"/>
      <c r="DX42" s="538"/>
      <c r="DY42" s="538"/>
      <c r="DZ42" s="538"/>
      <c r="EA42" s="538"/>
      <c r="EB42" s="538"/>
      <c r="EC42" s="538"/>
      <c r="ED42" s="538">
        <f t="shared" si="10"/>
        <v>25428</v>
      </c>
      <c r="EE42" s="538"/>
      <c r="EF42" s="538"/>
      <c r="EG42" s="538"/>
      <c r="EH42" s="538"/>
      <c r="EI42" s="538"/>
      <c r="EJ42" s="538"/>
      <c r="EK42" s="538"/>
      <c r="EL42" s="538"/>
      <c r="EM42" s="538"/>
      <c r="EN42" s="538"/>
      <c r="EO42" s="538"/>
      <c r="EP42" s="538"/>
      <c r="EQ42" s="538"/>
      <c r="ER42" s="538"/>
      <c r="ES42" s="538"/>
      <c r="ET42" s="538">
        <f t="shared" si="11"/>
        <v>140362.56000000003</v>
      </c>
      <c r="EU42" s="538"/>
      <c r="EV42" s="538"/>
      <c r="EW42" s="538"/>
      <c r="EX42" s="538"/>
      <c r="EY42" s="538"/>
      <c r="EZ42" s="538"/>
      <c r="FA42" s="538"/>
      <c r="FB42" s="538"/>
      <c r="FC42" s="538"/>
      <c r="FD42" s="538"/>
      <c r="FE42" s="538"/>
      <c r="FF42" s="538"/>
      <c r="FG42" s="538"/>
      <c r="FH42" s="538"/>
      <c r="FI42" s="538"/>
      <c r="FJ42" s="538"/>
      <c r="FK42" s="171"/>
      <c r="FN42" s="171"/>
      <c r="FO42" s="171" t="s">
        <v>504</v>
      </c>
      <c r="FP42" s="16" t="s">
        <v>909</v>
      </c>
    </row>
    <row r="43" spans="1:178" s="16" customFormat="1" ht="13.2" customHeight="1" x14ac:dyDescent="0.3">
      <c r="A43" s="571" t="s">
        <v>462</v>
      </c>
      <c r="B43" s="571"/>
      <c r="C43" s="571"/>
      <c r="D43" s="571"/>
      <c r="E43" s="571"/>
      <c r="F43" s="571"/>
      <c r="G43" s="572" t="s">
        <v>503</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69">
        <v>0.2</v>
      </c>
      <c r="AE43" s="569"/>
      <c r="AF43" s="569"/>
      <c r="AG43" s="569"/>
      <c r="AH43" s="569"/>
      <c r="AI43" s="569"/>
      <c r="AJ43" s="569"/>
      <c r="AK43" s="569"/>
      <c r="AL43" s="569"/>
      <c r="AM43" s="569"/>
      <c r="AN43" s="569"/>
      <c r="AO43" s="569"/>
      <c r="AP43" s="569"/>
      <c r="AQ43" s="569"/>
      <c r="AR43" s="569"/>
      <c r="AS43" s="569"/>
      <c r="AT43" s="538">
        <f t="shared" si="8"/>
        <v>76000</v>
      </c>
      <c r="AU43" s="538"/>
      <c r="AV43" s="538"/>
      <c r="AW43" s="538"/>
      <c r="AX43" s="538"/>
      <c r="AY43" s="538"/>
      <c r="AZ43" s="538"/>
      <c r="BA43" s="538"/>
      <c r="BB43" s="538"/>
      <c r="BC43" s="538"/>
      <c r="BD43" s="538"/>
      <c r="BE43" s="538"/>
      <c r="BF43" s="538"/>
      <c r="BG43" s="538"/>
      <c r="BH43" s="538"/>
      <c r="BI43" s="538"/>
      <c r="BJ43" s="538"/>
      <c r="BK43" s="570">
        <v>10313</v>
      </c>
      <c r="BL43" s="570"/>
      <c r="BM43" s="570"/>
      <c r="BN43" s="570"/>
      <c r="BO43" s="570"/>
      <c r="BP43" s="570"/>
      <c r="BQ43" s="570"/>
      <c r="BR43" s="570"/>
      <c r="BS43" s="570"/>
      <c r="BT43" s="570"/>
      <c r="BU43" s="570"/>
      <c r="BV43" s="570"/>
      <c r="BW43" s="570"/>
      <c r="BX43" s="570"/>
      <c r="BY43" s="570"/>
      <c r="BZ43" s="570"/>
      <c r="CA43" s="570"/>
      <c r="CB43" s="570"/>
      <c r="CC43" s="569"/>
      <c r="CD43" s="569"/>
      <c r="CE43" s="569"/>
      <c r="CF43" s="569"/>
      <c r="CG43" s="569"/>
      <c r="CH43" s="569"/>
      <c r="CI43" s="569"/>
      <c r="CJ43" s="569"/>
      <c r="CK43" s="569"/>
      <c r="CL43" s="569"/>
      <c r="CM43" s="569"/>
      <c r="CN43" s="569"/>
      <c r="CO43" s="569"/>
      <c r="CP43" s="569"/>
      <c r="CQ43" s="569"/>
      <c r="CR43" s="569"/>
      <c r="CS43" s="569"/>
      <c r="CT43" s="569"/>
      <c r="CU43" s="569"/>
      <c r="CV43" s="562">
        <v>65687</v>
      </c>
      <c r="CW43" s="563"/>
      <c r="CX43" s="563"/>
      <c r="CY43" s="563"/>
      <c r="CZ43" s="563"/>
      <c r="DA43" s="563"/>
      <c r="DB43" s="563"/>
      <c r="DC43" s="563"/>
      <c r="DD43" s="563"/>
      <c r="DE43" s="563"/>
      <c r="DF43" s="563"/>
      <c r="DG43" s="563"/>
      <c r="DH43" s="563"/>
      <c r="DI43" s="563"/>
      <c r="DJ43" s="563"/>
      <c r="DK43" s="563"/>
      <c r="DL43" s="563"/>
      <c r="DM43" s="564"/>
      <c r="DN43" s="538">
        <f t="shared" si="9"/>
        <v>60800</v>
      </c>
      <c r="DO43" s="538"/>
      <c r="DP43" s="538"/>
      <c r="DQ43" s="538"/>
      <c r="DR43" s="538"/>
      <c r="DS43" s="538"/>
      <c r="DT43" s="538"/>
      <c r="DU43" s="538"/>
      <c r="DV43" s="538"/>
      <c r="DW43" s="538"/>
      <c r="DX43" s="538"/>
      <c r="DY43" s="538"/>
      <c r="DZ43" s="538"/>
      <c r="EA43" s="538"/>
      <c r="EB43" s="538"/>
      <c r="EC43" s="538"/>
      <c r="ED43" s="538">
        <f t="shared" si="10"/>
        <v>38000</v>
      </c>
      <c r="EE43" s="538"/>
      <c r="EF43" s="538"/>
      <c r="EG43" s="538"/>
      <c r="EH43" s="538"/>
      <c r="EI43" s="538"/>
      <c r="EJ43" s="538"/>
      <c r="EK43" s="538"/>
      <c r="EL43" s="538"/>
      <c r="EM43" s="538"/>
      <c r="EN43" s="538"/>
      <c r="EO43" s="538"/>
      <c r="EP43" s="538"/>
      <c r="EQ43" s="538"/>
      <c r="ER43" s="538"/>
      <c r="ES43" s="538"/>
      <c r="ET43" s="538">
        <f t="shared" si="11"/>
        <v>419520</v>
      </c>
      <c r="EU43" s="538"/>
      <c r="EV43" s="538"/>
      <c r="EW43" s="538"/>
      <c r="EX43" s="538"/>
      <c r="EY43" s="538"/>
      <c r="EZ43" s="538"/>
      <c r="FA43" s="538"/>
      <c r="FB43" s="538"/>
      <c r="FC43" s="538"/>
      <c r="FD43" s="538"/>
      <c r="FE43" s="538"/>
      <c r="FF43" s="538"/>
      <c r="FG43" s="538"/>
      <c r="FH43" s="538"/>
      <c r="FI43" s="538"/>
      <c r="FJ43" s="538"/>
      <c r="FK43" s="171">
        <v>267705.7</v>
      </c>
      <c r="FL43" s="16" t="s">
        <v>504</v>
      </c>
      <c r="FM43" s="171">
        <f>ET43/12/0.2</f>
        <v>174800</v>
      </c>
      <c r="FN43" s="171"/>
      <c r="FO43" s="16">
        <f>87400*2*12*0.2</f>
        <v>419520</v>
      </c>
      <c r="FP43" s="171">
        <f>ET43</f>
        <v>419520</v>
      </c>
    </row>
    <row r="44" spans="1:178" s="16" customFormat="1" ht="24.6" customHeight="1" x14ac:dyDescent="0.3">
      <c r="A44" s="571" t="s">
        <v>477</v>
      </c>
      <c r="B44" s="571"/>
      <c r="C44" s="571"/>
      <c r="D44" s="571"/>
      <c r="E44" s="571"/>
      <c r="F44" s="571"/>
      <c r="G44" s="572" t="s">
        <v>505</v>
      </c>
      <c r="H44" s="572"/>
      <c r="I44" s="572"/>
      <c r="J44" s="572"/>
      <c r="K44" s="572"/>
      <c r="L44" s="572"/>
      <c r="M44" s="572"/>
      <c r="N44" s="572"/>
      <c r="O44" s="572"/>
      <c r="P44" s="572"/>
      <c r="Q44" s="572"/>
      <c r="R44" s="572"/>
      <c r="S44" s="572"/>
      <c r="T44" s="572"/>
      <c r="U44" s="572"/>
      <c r="V44" s="572"/>
      <c r="W44" s="572"/>
      <c r="X44" s="572"/>
      <c r="Y44" s="572"/>
      <c r="Z44" s="572"/>
      <c r="AA44" s="572"/>
      <c r="AB44" s="572"/>
      <c r="AC44" s="572"/>
      <c r="AD44" s="569">
        <v>7</v>
      </c>
      <c r="AE44" s="569"/>
      <c r="AF44" s="569"/>
      <c r="AG44" s="569"/>
      <c r="AH44" s="569"/>
      <c r="AI44" s="569"/>
      <c r="AJ44" s="569"/>
      <c r="AK44" s="569"/>
      <c r="AL44" s="569"/>
      <c r="AM44" s="569"/>
      <c r="AN44" s="569"/>
      <c r="AO44" s="569"/>
      <c r="AP44" s="569"/>
      <c r="AQ44" s="569"/>
      <c r="AR44" s="569"/>
      <c r="AS44" s="569"/>
      <c r="AT44" s="538">
        <f t="shared" si="8"/>
        <v>33341</v>
      </c>
      <c r="AU44" s="538"/>
      <c r="AV44" s="538"/>
      <c r="AW44" s="538"/>
      <c r="AX44" s="538"/>
      <c r="AY44" s="538"/>
      <c r="AZ44" s="538"/>
      <c r="BA44" s="538"/>
      <c r="BB44" s="538"/>
      <c r="BC44" s="538"/>
      <c r="BD44" s="538"/>
      <c r="BE44" s="538"/>
      <c r="BF44" s="538"/>
      <c r="BG44" s="538"/>
      <c r="BH44" s="538"/>
      <c r="BI44" s="538"/>
      <c r="BJ44" s="538"/>
      <c r="BK44" s="570">
        <v>8341</v>
      </c>
      <c r="BL44" s="570"/>
      <c r="BM44" s="570"/>
      <c r="BN44" s="570"/>
      <c r="BO44" s="570"/>
      <c r="BP44" s="570"/>
      <c r="BQ44" s="570"/>
      <c r="BR44" s="570"/>
      <c r="BS44" s="570"/>
      <c r="BT44" s="570"/>
      <c r="BU44" s="570"/>
      <c r="BV44" s="570"/>
      <c r="BW44" s="570"/>
      <c r="BX44" s="570"/>
      <c r="BY44" s="570"/>
      <c r="BZ44" s="570"/>
      <c r="CA44" s="570"/>
      <c r="CB44" s="570"/>
      <c r="CC44" s="538">
        <v>1000</v>
      </c>
      <c r="CD44" s="538"/>
      <c r="CE44" s="538"/>
      <c r="CF44" s="538"/>
      <c r="CG44" s="538"/>
      <c r="CH44" s="538"/>
      <c r="CI44" s="538"/>
      <c r="CJ44" s="538"/>
      <c r="CK44" s="538"/>
      <c r="CL44" s="538"/>
      <c r="CM44" s="538"/>
      <c r="CN44" s="538"/>
      <c r="CO44" s="538"/>
      <c r="CP44" s="538"/>
      <c r="CQ44" s="538"/>
      <c r="CR44" s="538"/>
      <c r="CS44" s="538"/>
      <c r="CT44" s="538"/>
      <c r="CU44" s="538"/>
      <c r="CV44" s="562">
        <v>24000</v>
      </c>
      <c r="CW44" s="563"/>
      <c r="CX44" s="563"/>
      <c r="CY44" s="563"/>
      <c r="CZ44" s="563"/>
      <c r="DA44" s="563"/>
      <c r="DB44" s="563"/>
      <c r="DC44" s="563"/>
      <c r="DD44" s="563"/>
      <c r="DE44" s="563"/>
      <c r="DF44" s="563"/>
      <c r="DG44" s="563"/>
      <c r="DH44" s="563"/>
      <c r="DI44" s="563"/>
      <c r="DJ44" s="563"/>
      <c r="DK44" s="563"/>
      <c r="DL44" s="563"/>
      <c r="DM44" s="564"/>
      <c r="DN44" s="538">
        <f t="shared" si="9"/>
        <v>26672.800000000003</v>
      </c>
      <c r="DO44" s="538"/>
      <c r="DP44" s="538"/>
      <c r="DQ44" s="538"/>
      <c r="DR44" s="538"/>
      <c r="DS44" s="538"/>
      <c r="DT44" s="538"/>
      <c r="DU44" s="538"/>
      <c r="DV44" s="538"/>
      <c r="DW44" s="538"/>
      <c r="DX44" s="538"/>
      <c r="DY44" s="538"/>
      <c r="DZ44" s="538"/>
      <c r="EA44" s="538"/>
      <c r="EB44" s="538"/>
      <c r="EC44" s="538"/>
      <c r="ED44" s="538">
        <f t="shared" si="10"/>
        <v>16670.5</v>
      </c>
      <c r="EE44" s="538"/>
      <c r="EF44" s="538"/>
      <c r="EG44" s="538"/>
      <c r="EH44" s="538"/>
      <c r="EI44" s="538"/>
      <c r="EJ44" s="538"/>
      <c r="EK44" s="538"/>
      <c r="EL44" s="538"/>
      <c r="EM44" s="538"/>
      <c r="EN44" s="538"/>
      <c r="EO44" s="538"/>
      <c r="EP44" s="538"/>
      <c r="EQ44" s="538"/>
      <c r="ER44" s="538"/>
      <c r="ES44" s="538"/>
      <c r="ET44" s="538">
        <f t="shared" si="11"/>
        <v>6441481.2000000011</v>
      </c>
      <c r="EU44" s="538"/>
      <c r="EV44" s="538"/>
      <c r="EW44" s="538"/>
      <c r="EX44" s="538"/>
      <c r="EY44" s="538"/>
      <c r="EZ44" s="538"/>
      <c r="FA44" s="538"/>
      <c r="FB44" s="538"/>
      <c r="FC44" s="538"/>
      <c r="FD44" s="538"/>
      <c r="FE44" s="538"/>
      <c r="FF44" s="538"/>
      <c r="FG44" s="538"/>
      <c r="FH44" s="538"/>
      <c r="FI44" s="538"/>
      <c r="FJ44" s="538"/>
      <c r="FK44" s="171"/>
      <c r="FN44" s="171"/>
    </row>
    <row r="45" spans="1:178" s="16" customFormat="1" ht="30" customHeight="1" x14ac:dyDescent="0.3">
      <c r="A45" s="571" t="s">
        <v>479</v>
      </c>
      <c r="B45" s="571"/>
      <c r="C45" s="571"/>
      <c r="D45" s="571"/>
      <c r="E45" s="571"/>
      <c r="F45" s="571"/>
      <c r="G45" s="572" t="s">
        <v>506</v>
      </c>
      <c r="H45" s="572"/>
      <c r="I45" s="572"/>
      <c r="J45" s="572"/>
      <c r="K45" s="572"/>
      <c r="L45" s="572"/>
      <c r="M45" s="572"/>
      <c r="N45" s="572"/>
      <c r="O45" s="572"/>
      <c r="P45" s="572"/>
      <c r="Q45" s="572"/>
      <c r="R45" s="572"/>
      <c r="S45" s="572"/>
      <c r="T45" s="572"/>
      <c r="U45" s="572"/>
      <c r="V45" s="572"/>
      <c r="W45" s="572"/>
      <c r="X45" s="572"/>
      <c r="Y45" s="572"/>
      <c r="Z45" s="572"/>
      <c r="AA45" s="572"/>
      <c r="AB45" s="572"/>
      <c r="AC45" s="572"/>
      <c r="AD45" s="569">
        <v>5</v>
      </c>
      <c r="AE45" s="569"/>
      <c r="AF45" s="569"/>
      <c r="AG45" s="569"/>
      <c r="AH45" s="569"/>
      <c r="AI45" s="569"/>
      <c r="AJ45" s="569"/>
      <c r="AK45" s="569"/>
      <c r="AL45" s="569"/>
      <c r="AM45" s="569"/>
      <c r="AN45" s="569"/>
      <c r="AO45" s="569"/>
      <c r="AP45" s="569"/>
      <c r="AQ45" s="569"/>
      <c r="AR45" s="569"/>
      <c r="AS45" s="569"/>
      <c r="AT45" s="538">
        <f>BK45+CC45+CV45</f>
        <v>33592</v>
      </c>
      <c r="AU45" s="538"/>
      <c r="AV45" s="538"/>
      <c r="AW45" s="538"/>
      <c r="AX45" s="538"/>
      <c r="AY45" s="538"/>
      <c r="AZ45" s="538"/>
      <c r="BA45" s="538"/>
      <c r="BB45" s="538"/>
      <c r="BC45" s="538"/>
      <c r="BD45" s="538"/>
      <c r="BE45" s="538"/>
      <c r="BF45" s="538"/>
      <c r="BG45" s="538"/>
      <c r="BH45" s="538"/>
      <c r="BI45" s="538"/>
      <c r="BJ45" s="538"/>
      <c r="BK45" s="570">
        <v>9592</v>
      </c>
      <c r="BL45" s="570"/>
      <c r="BM45" s="570"/>
      <c r="BN45" s="570"/>
      <c r="BO45" s="570"/>
      <c r="BP45" s="570"/>
      <c r="BQ45" s="570"/>
      <c r="BR45" s="570"/>
      <c r="BS45" s="570"/>
      <c r="BT45" s="570"/>
      <c r="BU45" s="570"/>
      <c r="BV45" s="570"/>
      <c r="BW45" s="570"/>
      <c r="BX45" s="570"/>
      <c r="BY45" s="570"/>
      <c r="BZ45" s="570"/>
      <c r="CA45" s="570"/>
      <c r="CB45" s="570"/>
      <c r="CC45" s="538"/>
      <c r="CD45" s="538"/>
      <c r="CE45" s="538"/>
      <c r="CF45" s="538"/>
      <c r="CG45" s="538"/>
      <c r="CH45" s="538"/>
      <c r="CI45" s="538"/>
      <c r="CJ45" s="538"/>
      <c r="CK45" s="538"/>
      <c r="CL45" s="538"/>
      <c r="CM45" s="538"/>
      <c r="CN45" s="538"/>
      <c r="CO45" s="538"/>
      <c r="CP45" s="538"/>
      <c r="CQ45" s="538"/>
      <c r="CR45" s="538"/>
      <c r="CS45" s="538"/>
      <c r="CT45" s="538"/>
      <c r="CU45" s="538"/>
      <c r="CV45" s="562">
        <v>24000</v>
      </c>
      <c r="CW45" s="563"/>
      <c r="CX45" s="563"/>
      <c r="CY45" s="563"/>
      <c r="CZ45" s="563"/>
      <c r="DA45" s="563"/>
      <c r="DB45" s="563"/>
      <c r="DC45" s="563"/>
      <c r="DD45" s="563"/>
      <c r="DE45" s="563"/>
      <c r="DF45" s="563"/>
      <c r="DG45" s="563"/>
      <c r="DH45" s="563"/>
      <c r="DI45" s="563"/>
      <c r="DJ45" s="563"/>
      <c r="DK45" s="563"/>
      <c r="DL45" s="563"/>
      <c r="DM45" s="564"/>
      <c r="DN45" s="538">
        <f>AT45*80%</f>
        <v>26873.600000000002</v>
      </c>
      <c r="DO45" s="538"/>
      <c r="DP45" s="538"/>
      <c r="DQ45" s="538"/>
      <c r="DR45" s="538"/>
      <c r="DS45" s="538"/>
      <c r="DT45" s="538"/>
      <c r="DU45" s="538"/>
      <c r="DV45" s="538"/>
      <c r="DW45" s="538"/>
      <c r="DX45" s="538"/>
      <c r="DY45" s="538"/>
      <c r="DZ45" s="538"/>
      <c r="EA45" s="538"/>
      <c r="EB45" s="538"/>
      <c r="EC45" s="538"/>
      <c r="ED45" s="538">
        <f>AT45*50%</f>
        <v>16796</v>
      </c>
      <c r="EE45" s="538"/>
      <c r="EF45" s="538"/>
      <c r="EG45" s="538"/>
      <c r="EH45" s="538"/>
      <c r="EI45" s="538"/>
      <c r="EJ45" s="538"/>
      <c r="EK45" s="538"/>
      <c r="EL45" s="538"/>
      <c r="EM45" s="538"/>
      <c r="EN45" s="538"/>
      <c r="EO45" s="538"/>
      <c r="EP45" s="538"/>
      <c r="EQ45" s="538"/>
      <c r="ER45" s="538"/>
      <c r="ES45" s="538"/>
      <c r="ET45" s="538">
        <f>(AT45+DN45+ED45)*12*AD45</f>
        <v>4635696</v>
      </c>
      <c r="EU45" s="538"/>
      <c r="EV45" s="538"/>
      <c r="EW45" s="538"/>
      <c r="EX45" s="538"/>
      <c r="EY45" s="538"/>
      <c r="EZ45" s="538"/>
      <c r="FA45" s="538"/>
      <c r="FB45" s="538"/>
      <c r="FC45" s="538"/>
      <c r="FD45" s="538"/>
      <c r="FE45" s="538"/>
      <c r="FF45" s="538"/>
      <c r="FG45" s="538"/>
      <c r="FH45" s="538"/>
      <c r="FI45" s="538"/>
      <c r="FJ45" s="538"/>
      <c r="FK45" s="171"/>
      <c r="FN45" s="171"/>
    </row>
    <row r="46" spans="1:178" s="16" customFormat="1" ht="13.2" customHeight="1" x14ac:dyDescent="0.3">
      <c r="A46" s="571" t="s">
        <v>481</v>
      </c>
      <c r="B46" s="571"/>
      <c r="C46" s="571"/>
      <c r="D46" s="571"/>
      <c r="E46" s="571"/>
      <c r="F46" s="571"/>
      <c r="G46" s="572" t="s">
        <v>507</v>
      </c>
      <c r="H46" s="572"/>
      <c r="I46" s="572"/>
      <c r="J46" s="572"/>
      <c r="K46" s="572"/>
      <c r="L46" s="572"/>
      <c r="M46" s="572"/>
      <c r="N46" s="572"/>
      <c r="O46" s="572"/>
      <c r="P46" s="572"/>
      <c r="Q46" s="572"/>
      <c r="R46" s="572"/>
      <c r="S46" s="572"/>
      <c r="T46" s="572"/>
      <c r="U46" s="572"/>
      <c r="V46" s="572"/>
      <c r="W46" s="572"/>
      <c r="X46" s="572"/>
      <c r="Y46" s="572"/>
      <c r="Z46" s="572"/>
      <c r="AA46" s="572"/>
      <c r="AB46" s="572"/>
      <c r="AC46" s="572"/>
      <c r="AD46" s="569">
        <v>7</v>
      </c>
      <c r="AE46" s="569"/>
      <c r="AF46" s="569"/>
      <c r="AG46" s="569"/>
      <c r="AH46" s="569"/>
      <c r="AI46" s="569"/>
      <c r="AJ46" s="569"/>
      <c r="AK46" s="569"/>
      <c r="AL46" s="569"/>
      <c r="AM46" s="569"/>
      <c r="AN46" s="569"/>
      <c r="AO46" s="569"/>
      <c r="AP46" s="569"/>
      <c r="AQ46" s="569"/>
      <c r="AR46" s="569"/>
      <c r="AS46" s="569"/>
      <c r="AT46" s="538">
        <f t="shared" si="8"/>
        <v>29555</v>
      </c>
      <c r="AU46" s="538"/>
      <c r="AV46" s="538"/>
      <c r="AW46" s="538"/>
      <c r="AX46" s="538"/>
      <c r="AY46" s="538"/>
      <c r="AZ46" s="538"/>
      <c r="BA46" s="538"/>
      <c r="BB46" s="538"/>
      <c r="BC46" s="538"/>
      <c r="BD46" s="538"/>
      <c r="BE46" s="538"/>
      <c r="BF46" s="538"/>
      <c r="BG46" s="538"/>
      <c r="BH46" s="538"/>
      <c r="BI46" s="538"/>
      <c r="BJ46" s="538"/>
      <c r="BK46" s="570">
        <v>5705</v>
      </c>
      <c r="BL46" s="570"/>
      <c r="BM46" s="570"/>
      <c r="BN46" s="570"/>
      <c r="BO46" s="570"/>
      <c r="BP46" s="570"/>
      <c r="BQ46" s="570"/>
      <c r="BR46" s="570"/>
      <c r="BS46" s="570"/>
      <c r="BT46" s="570"/>
      <c r="BU46" s="570"/>
      <c r="BV46" s="570"/>
      <c r="BW46" s="570"/>
      <c r="BX46" s="570"/>
      <c r="BY46" s="570"/>
      <c r="BZ46" s="570"/>
      <c r="CA46" s="570"/>
      <c r="CB46" s="570"/>
      <c r="CC46" s="538">
        <v>850</v>
      </c>
      <c r="CD46" s="538"/>
      <c r="CE46" s="538"/>
      <c r="CF46" s="538"/>
      <c r="CG46" s="538"/>
      <c r="CH46" s="538"/>
      <c r="CI46" s="538"/>
      <c r="CJ46" s="538"/>
      <c r="CK46" s="538"/>
      <c r="CL46" s="538"/>
      <c r="CM46" s="538"/>
      <c r="CN46" s="538"/>
      <c r="CO46" s="538"/>
      <c r="CP46" s="538"/>
      <c r="CQ46" s="538"/>
      <c r="CR46" s="538"/>
      <c r="CS46" s="538"/>
      <c r="CT46" s="538"/>
      <c r="CU46" s="538"/>
      <c r="CV46" s="562">
        <v>23000</v>
      </c>
      <c r="CW46" s="563"/>
      <c r="CX46" s="563"/>
      <c r="CY46" s="563"/>
      <c r="CZ46" s="563"/>
      <c r="DA46" s="563"/>
      <c r="DB46" s="563"/>
      <c r="DC46" s="563"/>
      <c r="DD46" s="563"/>
      <c r="DE46" s="563"/>
      <c r="DF46" s="563"/>
      <c r="DG46" s="563"/>
      <c r="DH46" s="563"/>
      <c r="DI46" s="563"/>
      <c r="DJ46" s="563"/>
      <c r="DK46" s="563"/>
      <c r="DL46" s="563"/>
      <c r="DM46" s="564"/>
      <c r="DN46" s="538">
        <f t="shared" si="9"/>
        <v>23644</v>
      </c>
      <c r="DO46" s="538"/>
      <c r="DP46" s="538"/>
      <c r="DQ46" s="538"/>
      <c r="DR46" s="538"/>
      <c r="DS46" s="538"/>
      <c r="DT46" s="538"/>
      <c r="DU46" s="538"/>
      <c r="DV46" s="538"/>
      <c r="DW46" s="538"/>
      <c r="DX46" s="538"/>
      <c r="DY46" s="538"/>
      <c r="DZ46" s="538"/>
      <c r="EA46" s="538"/>
      <c r="EB46" s="538"/>
      <c r="EC46" s="538"/>
      <c r="ED46" s="538">
        <f t="shared" si="10"/>
        <v>14777.5</v>
      </c>
      <c r="EE46" s="538"/>
      <c r="EF46" s="538"/>
      <c r="EG46" s="538"/>
      <c r="EH46" s="538"/>
      <c r="EI46" s="538"/>
      <c r="EJ46" s="538"/>
      <c r="EK46" s="538"/>
      <c r="EL46" s="538"/>
      <c r="EM46" s="538"/>
      <c r="EN46" s="538"/>
      <c r="EO46" s="538"/>
      <c r="EP46" s="538"/>
      <c r="EQ46" s="538"/>
      <c r="ER46" s="538"/>
      <c r="ES46" s="538"/>
      <c r="ET46" s="538">
        <f t="shared" si="11"/>
        <v>5710026</v>
      </c>
      <c r="EU46" s="538"/>
      <c r="EV46" s="538"/>
      <c r="EW46" s="538"/>
      <c r="EX46" s="538"/>
      <c r="EY46" s="538"/>
      <c r="EZ46" s="538"/>
      <c r="FA46" s="538"/>
      <c r="FB46" s="538"/>
      <c r="FC46" s="538"/>
      <c r="FD46" s="538"/>
      <c r="FE46" s="538"/>
      <c r="FF46" s="538"/>
      <c r="FG46" s="538"/>
      <c r="FH46" s="538"/>
      <c r="FI46" s="538"/>
      <c r="FJ46" s="538"/>
      <c r="FK46" s="171"/>
      <c r="FN46" s="171"/>
    </row>
    <row r="47" spans="1:178" s="16" customFormat="1" ht="13.2" customHeight="1" x14ac:dyDescent="0.3">
      <c r="A47" s="571" t="s">
        <v>483</v>
      </c>
      <c r="B47" s="571"/>
      <c r="C47" s="571"/>
      <c r="D47" s="571"/>
      <c r="E47" s="571"/>
      <c r="F47" s="571"/>
      <c r="G47" s="572" t="s">
        <v>508</v>
      </c>
      <c r="H47" s="572"/>
      <c r="I47" s="572"/>
      <c r="J47" s="572"/>
      <c r="K47" s="572"/>
      <c r="L47" s="572"/>
      <c r="M47" s="572"/>
      <c r="N47" s="572"/>
      <c r="O47" s="572"/>
      <c r="P47" s="572"/>
      <c r="Q47" s="572"/>
      <c r="R47" s="572"/>
      <c r="S47" s="572"/>
      <c r="T47" s="572"/>
      <c r="U47" s="572"/>
      <c r="V47" s="572"/>
      <c r="W47" s="572"/>
      <c r="X47" s="572"/>
      <c r="Y47" s="572"/>
      <c r="Z47" s="572"/>
      <c r="AA47" s="572"/>
      <c r="AB47" s="572"/>
      <c r="AC47" s="572"/>
      <c r="AD47" s="569">
        <v>1</v>
      </c>
      <c r="AE47" s="569"/>
      <c r="AF47" s="569"/>
      <c r="AG47" s="569"/>
      <c r="AH47" s="569"/>
      <c r="AI47" s="569"/>
      <c r="AJ47" s="569"/>
      <c r="AK47" s="569"/>
      <c r="AL47" s="569"/>
      <c r="AM47" s="569"/>
      <c r="AN47" s="569"/>
      <c r="AO47" s="569"/>
      <c r="AP47" s="569"/>
      <c r="AQ47" s="569"/>
      <c r="AR47" s="569"/>
      <c r="AS47" s="569"/>
      <c r="AT47" s="538">
        <f t="shared" si="8"/>
        <v>33488</v>
      </c>
      <c r="AU47" s="538"/>
      <c r="AV47" s="538"/>
      <c r="AW47" s="538"/>
      <c r="AX47" s="538"/>
      <c r="AY47" s="538"/>
      <c r="AZ47" s="538"/>
      <c r="BA47" s="538"/>
      <c r="BB47" s="538"/>
      <c r="BC47" s="538"/>
      <c r="BD47" s="538"/>
      <c r="BE47" s="538"/>
      <c r="BF47" s="538"/>
      <c r="BG47" s="538"/>
      <c r="BH47" s="538"/>
      <c r="BI47" s="538"/>
      <c r="BJ47" s="538"/>
      <c r="BK47" s="570">
        <v>9488</v>
      </c>
      <c r="BL47" s="570"/>
      <c r="BM47" s="570"/>
      <c r="BN47" s="570"/>
      <c r="BO47" s="570"/>
      <c r="BP47" s="570"/>
      <c r="BQ47" s="570"/>
      <c r="BR47" s="570"/>
      <c r="BS47" s="570"/>
      <c r="BT47" s="570"/>
      <c r="BU47" s="570"/>
      <c r="BV47" s="570"/>
      <c r="BW47" s="570"/>
      <c r="BX47" s="570"/>
      <c r="BY47" s="570"/>
      <c r="BZ47" s="570"/>
      <c r="CA47" s="570"/>
      <c r="CB47" s="570"/>
      <c r="CC47" s="538"/>
      <c r="CD47" s="538"/>
      <c r="CE47" s="538"/>
      <c r="CF47" s="538"/>
      <c r="CG47" s="538"/>
      <c r="CH47" s="538"/>
      <c r="CI47" s="538"/>
      <c r="CJ47" s="538"/>
      <c r="CK47" s="538"/>
      <c r="CL47" s="538"/>
      <c r="CM47" s="538"/>
      <c r="CN47" s="538"/>
      <c r="CO47" s="538"/>
      <c r="CP47" s="538"/>
      <c r="CQ47" s="538"/>
      <c r="CR47" s="538"/>
      <c r="CS47" s="538"/>
      <c r="CT47" s="538"/>
      <c r="CU47" s="538"/>
      <c r="CV47" s="562">
        <v>24000</v>
      </c>
      <c r="CW47" s="563"/>
      <c r="CX47" s="563"/>
      <c r="CY47" s="563"/>
      <c r="CZ47" s="563"/>
      <c r="DA47" s="563"/>
      <c r="DB47" s="563"/>
      <c r="DC47" s="563"/>
      <c r="DD47" s="563"/>
      <c r="DE47" s="563"/>
      <c r="DF47" s="563"/>
      <c r="DG47" s="563"/>
      <c r="DH47" s="563"/>
      <c r="DI47" s="563"/>
      <c r="DJ47" s="563"/>
      <c r="DK47" s="563"/>
      <c r="DL47" s="563"/>
      <c r="DM47" s="564"/>
      <c r="DN47" s="538">
        <f t="shared" si="9"/>
        <v>26790.400000000001</v>
      </c>
      <c r="DO47" s="538"/>
      <c r="DP47" s="538"/>
      <c r="DQ47" s="538"/>
      <c r="DR47" s="538"/>
      <c r="DS47" s="538"/>
      <c r="DT47" s="538"/>
      <c r="DU47" s="538"/>
      <c r="DV47" s="538"/>
      <c r="DW47" s="538"/>
      <c r="DX47" s="538"/>
      <c r="DY47" s="538"/>
      <c r="DZ47" s="538"/>
      <c r="EA47" s="538"/>
      <c r="EB47" s="538"/>
      <c r="EC47" s="538"/>
      <c r="ED47" s="538">
        <f t="shared" si="10"/>
        <v>16744</v>
      </c>
      <c r="EE47" s="538"/>
      <c r="EF47" s="538"/>
      <c r="EG47" s="538"/>
      <c r="EH47" s="538"/>
      <c r="EI47" s="538"/>
      <c r="EJ47" s="538"/>
      <c r="EK47" s="538"/>
      <c r="EL47" s="538"/>
      <c r="EM47" s="538"/>
      <c r="EN47" s="538"/>
      <c r="EO47" s="538"/>
      <c r="EP47" s="538"/>
      <c r="EQ47" s="538"/>
      <c r="ER47" s="538"/>
      <c r="ES47" s="538"/>
      <c r="ET47" s="538">
        <f t="shared" si="11"/>
        <v>924268.79999999993</v>
      </c>
      <c r="EU47" s="538"/>
      <c r="EV47" s="538"/>
      <c r="EW47" s="538"/>
      <c r="EX47" s="538"/>
      <c r="EY47" s="538"/>
      <c r="EZ47" s="538"/>
      <c r="FA47" s="538"/>
      <c r="FB47" s="538"/>
      <c r="FC47" s="538"/>
      <c r="FD47" s="538"/>
      <c r="FE47" s="538"/>
      <c r="FF47" s="538"/>
      <c r="FG47" s="538"/>
      <c r="FH47" s="538"/>
      <c r="FI47" s="538"/>
      <c r="FJ47" s="538"/>
      <c r="FK47" s="171"/>
      <c r="FN47" s="171"/>
    </row>
    <row r="48" spans="1:178" s="16" customFormat="1" ht="30.6" customHeight="1" x14ac:dyDescent="0.3">
      <c r="A48" s="571" t="s">
        <v>485</v>
      </c>
      <c r="B48" s="571"/>
      <c r="C48" s="571"/>
      <c r="D48" s="571"/>
      <c r="E48" s="571"/>
      <c r="F48" s="571"/>
      <c r="G48" s="572" t="s">
        <v>509</v>
      </c>
      <c r="H48" s="572"/>
      <c r="I48" s="572"/>
      <c r="J48" s="572"/>
      <c r="K48" s="572"/>
      <c r="L48" s="572"/>
      <c r="M48" s="572"/>
      <c r="N48" s="572"/>
      <c r="O48" s="572"/>
      <c r="P48" s="572"/>
      <c r="Q48" s="572"/>
      <c r="R48" s="572"/>
      <c r="S48" s="572"/>
      <c r="T48" s="572"/>
      <c r="U48" s="572"/>
      <c r="V48" s="572"/>
      <c r="W48" s="572"/>
      <c r="X48" s="572"/>
      <c r="Y48" s="572"/>
      <c r="Z48" s="572"/>
      <c r="AA48" s="572"/>
      <c r="AB48" s="572"/>
      <c r="AC48" s="572"/>
      <c r="AD48" s="569">
        <v>5</v>
      </c>
      <c r="AE48" s="569"/>
      <c r="AF48" s="569"/>
      <c r="AG48" s="569"/>
      <c r="AH48" s="569"/>
      <c r="AI48" s="569"/>
      <c r="AJ48" s="569"/>
      <c r="AK48" s="569"/>
      <c r="AL48" s="569"/>
      <c r="AM48" s="569"/>
      <c r="AN48" s="569"/>
      <c r="AO48" s="569"/>
      <c r="AP48" s="569"/>
      <c r="AQ48" s="569"/>
      <c r="AR48" s="569"/>
      <c r="AS48" s="569"/>
      <c r="AT48" s="538">
        <f t="shared" si="8"/>
        <v>33592</v>
      </c>
      <c r="AU48" s="538"/>
      <c r="AV48" s="538"/>
      <c r="AW48" s="538"/>
      <c r="AX48" s="538"/>
      <c r="AY48" s="538"/>
      <c r="AZ48" s="538"/>
      <c r="BA48" s="538"/>
      <c r="BB48" s="538"/>
      <c r="BC48" s="538"/>
      <c r="BD48" s="538"/>
      <c r="BE48" s="538"/>
      <c r="BF48" s="538"/>
      <c r="BG48" s="538"/>
      <c r="BH48" s="538"/>
      <c r="BI48" s="538"/>
      <c r="BJ48" s="538"/>
      <c r="BK48" s="570">
        <v>9592</v>
      </c>
      <c r="BL48" s="570"/>
      <c r="BM48" s="570"/>
      <c r="BN48" s="570"/>
      <c r="BO48" s="570"/>
      <c r="BP48" s="570"/>
      <c r="BQ48" s="570"/>
      <c r="BR48" s="570"/>
      <c r="BS48" s="570"/>
      <c r="BT48" s="570"/>
      <c r="BU48" s="570"/>
      <c r="BV48" s="570"/>
      <c r="BW48" s="570"/>
      <c r="BX48" s="570"/>
      <c r="BY48" s="570"/>
      <c r="BZ48" s="570"/>
      <c r="CA48" s="570"/>
      <c r="CB48" s="570"/>
      <c r="CC48" s="538"/>
      <c r="CD48" s="538"/>
      <c r="CE48" s="538"/>
      <c r="CF48" s="538"/>
      <c r="CG48" s="538"/>
      <c r="CH48" s="538"/>
      <c r="CI48" s="538"/>
      <c r="CJ48" s="538"/>
      <c r="CK48" s="538"/>
      <c r="CL48" s="538"/>
      <c r="CM48" s="538"/>
      <c r="CN48" s="538"/>
      <c r="CO48" s="538"/>
      <c r="CP48" s="538"/>
      <c r="CQ48" s="538"/>
      <c r="CR48" s="538"/>
      <c r="CS48" s="538"/>
      <c r="CT48" s="538"/>
      <c r="CU48" s="538"/>
      <c r="CV48" s="562">
        <v>24000</v>
      </c>
      <c r="CW48" s="563"/>
      <c r="CX48" s="563"/>
      <c r="CY48" s="563"/>
      <c r="CZ48" s="563"/>
      <c r="DA48" s="563"/>
      <c r="DB48" s="563"/>
      <c r="DC48" s="563"/>
      <c r="DD48" s="563"/>
      <c r="DE48" s="563"/>
      <c r="DF48" s="563"/>
      <c r="DG48" s="563"/>
      <c r="DH48" s="563"/>
      <c r="DI48" s="563"/>
      <c r="DJ48" s="563"/>
      <c r="DK48" s="563"/>
      <c r="DL48" s="563"/>
      <c r="DM48" s="564"/>
      <c r="DN48" s="538">
        <f t="shared" si="9"/>
        <v>26873.600000000002</v>
      </c>
      <c r="DO48" s="538"/>
      <c r="DP48" s="538"/>
      <c r="DQ48" s="538"/>
      <c r="DR48" s="538"/>
      <c r="DS48" s="538"/>
      <c r="DT48" s="538"/>
      <c r="DU48" s="538"/>
      <c r="DV48" s="538"/>
      <c r="DW48" s="538"/>
      <c r="DX48" s="538"/>
      <c r="DY48" s="538"/>
      <c r="DZ48" s="538"/>
      <c r="EA48" s="538"/>
      <c r="EB48" s="538"/>
      <c r="EC48" s="538"/>
      <c r="ED48" s="538">
        <f t="shared" si="10"/>
        <v>16796</v>
      </c>
      <c r="EE48" s="538"/>
      <c r="EF48" s="538"/>
      <c r="EG48" s="538"/>
      <c r="EH48" s="538"/>
      <c r="EI48" s="538"/>
      <c r="EJ48" s="538"/>
      <c r="EK48" s="538"/>
      <c r="EL48" s="538"/>
      <c r="EM48" s="538"/>
      <c r="EN48" s="538"/>
      <c r="EO48" s="538"/>
      <c r="EP48" s="538"/>
      <c r="EQ48" s="538"/>
      <c r="ER48" s="538"/>
      <c r="ES48" s="538"/>
      <c r="ET48" s="538">
        <f t="shared" si="11"/>
        <v>4635696</v>
      </c>
      <c r="EU48" s="538"/>
      <c r="EV48" s="538"/>
      <c r="EW48" s="538"/>
      <c r="EX48" s="538"/>
      <c r="EY48" s="538"/>
      <c r="EZ48" s="538"/>
      <c r="FA48" s="538"/>
      <c r="FB48" s="538"/>
      <c r="FC48" s="538"/>
      <c r="FD48" s="538"/>
      <c r="FE48" s="538"/>
      <c r="FF48" s="538"/>
      <c r="FG48" s="538"/>
      <c r="FH48" s="538"/>
      <c r="FI48" s="538"/>
      <c r="FJ48" s="538"/>
      <c r="FK48" s="171"/>
      <c r="FN48" s="171"/>
    </row>
    <row r="49" spans="1:178" s="16" customFormat="1" ht="44.4" customHeight="1" x14ac:dyDescent="0.3">
      <c r="A49" s="571" t="s">
        <v>487</v>
      </c>
      <c r="B49" s="571"/>
      <c r="C49" s="571"/>
      <c r="D49" s="571"/>
      <c r="E49" s="571"/>
      <c r="F49" s="571"/>
      <c r="G49" s="572" t="s">
        <v>510</v>
      </c>
      <c r="H49" s="572"/>
      <c r="I49" s="572"/>
      <c r="J49" s="572"/>
      <c r="K49" s="572"/>
      <c r="L49" s="572"/>
      <c r="M49" s="572"/>
      <c r="N49" s="572"/>
      <c r="O49" s="572"/>
      <c r="P49" s="572"/>
      <c r="Q49" s="572"/>
      <c r="R49" s="572"/>
      <c r="S49" s="572"/>
      <c r="T49" s="572"/>
      <c r="U49" s="572"/>
      <c r="V49" s="572"/>
      <c r="W49" s="572"/>
      <c r="X49" s="572"/>
      <c r="Y49" s="572"/>
      <c r="Z49" s="572"/>
      <c r="AA49" s="572"/>
      <c r="AB49" s="572"/>
      <c r="AC49" s="572"/>
      <c r="AD49" s="569">
        <v>0.75</v>
      </c>
      <c r="AE49" s="569"/>
      <c r="AF49" s="569"/>
      <c r="AG49" s="569"/>
      <c r="AH49" s="569"/>
      <c r="AI49" s="569"/>
      <c r="AJ49" s="569"/>
      <c r="AK49" s="569"/>
      <c r="AL49" s="569"/>
      <c r="AM49" s="569"/>
      <c r="AN49" s="569"/>
      <c r="AO49" s="569"/>
      <c r="AP49" s="569"/>
      <c r="AQ49" s="569"/>
      <c r="AR49" s="569"/>
      <c r="AS49" s="569"/>
      <c r="AT49" s="538">
        <f t="shared" si="8"/>
        <v>31998.148000000001</v>
      </c>
      <c r="AU49" s="538"/>
      <c r="AV49" s="538"/>
      <c r="AW49" s="538"/>
      <c r="AX49" s="538"/>
      <c r="AY49" s="538"/>
      <c r="AZ49" s="538"/>
      <c r="BA49" s="538"/>
      <c r="BB49" s="538"/>
      <c r="BC49" s="538"/>
      <c r="BD49" s="538"/>
      <c r="BE49" s="538"/>
      <c r="BF49" s="538"/>
      <c r="BG49" s="538"/>
      <c r="BH49" s="538"/>
      <c r="BI49" s="538"/>
      <c r="BJ49" s="538"/>
      <c r="BK49" s="570">
        <v>11677</v>
      </c>
      <c r="BL49" s="570"/>
      <c r="BM49" s="570"/>
      <c r="BN49" s="570"/>
      <c r="BO49" s="570"/>
      <c r="BP49" s="570"/>
      <c r="BQ49" s="570"/>
      <c r="BR49" s="570"/>
      <c r="BS49" s="570"/>
      <c r="BT49" s="570"/>
      <c r="BU49" s="570"/>
      <c r="BV49" s="570"/>
      <c r="BW49" s="570"/>
      <c r="BX49" s="570"/>
      <c r="BY49" s="570"/>
      <c r="BZ49" s="570"/>
      <c r="CA49" s="570"/>
      <c r="CB49" s="570"/>
      <c r="CC49" s="538"/>
      <c r="CD49" s="538"/>
      <c r="CE49" s="538"/>
      <c r="CF49" s="538"/>
      <c r="CG49" s="538"/>
      <c r="CH49" s="538"/>
      <c r="CI49" s="538"/>
      <c r="CJ49" s="538"/>
      <c r="CK49" s="538"/>
      <c r="CL49" s="538"/>
      <c r="CM49" s="538"/>
      <c r="CN49" s="538"/>
      <c r="CO49" s="538"/>
      <c r="CP49" s="538"/>
      <c r="CQ49" s="538"/>
      <c r="CR49" s="538"/>
      <c r="CS49" s="538"/>
      <c r="CT49" s="538"/>
      <c r="CU49" s="538"/>
      <c r="CV49" s="562">
        <v>20321.148000000001</v>
      </c>
      <c r="CW49" s="563"/>
      <c r="CX49" s="563"/>
      <c r="CY49" s="563"/>
      <c r="CZ49" s="563"/>
      <c r="DA49" s="563"/>
      <c r="DB49" s="563"/>
      <c r="DC49" s="563"/>
      <c r="DD49" s="563"/>
      <c r="DE49" s="563"/>
      <c r="DF49" s="563"/>
      <c r="DG49" s="563"/>
      <c r="DH49" s="563"/>
      <c r="DI49" s="563"/>
      <c r="DJ49" s="563"/>
      <c r="DK49" s="563"/>
      <c r="DL49" s="563"/>
      <c r="DM49" s="564"/>
      <c r="DN49" s="538">
        <f t="shared" si="9"/>
        <v>25598.518400000001</v>
      </c>
      <c r="DO49" s="538"/>
      <c r="DP49" s="538"/>
      <c r="DQ49" s="538"/>
      <c r="DR49" s="538"/>
      <c r="DS49" s="538"/>
      <c r="DT49" s="538"/>
      <c r="DU49" s="538"/>
      <c r="DV49" s="538"/>
      <c r="DW49" s="538"/>
      <c r="DX49" s="538"/>
      <c r="DY49" s="538"/>
      <c r="DZ49" s="538"/>
      <c r="EA49" s="538"/>
      <c r="EB49" s="538"/>
      <c r="EC49" s="538"/>
      <c r="ED49" s="538">
        <f t="shared" si="10"/>
        <v>15999.074000000001</v>
      </c>
      <c r="EE49" s="538"/>
      <c r="EF49" s="538"/>
      <c r="EG49" s="538"/>
      <c r="EH49" s="538"/>
      <c r="EI49" s="538"/>
      <c r="EJ49" s="538"/>
      <c r="EK49" s="538"/>
      <c r="EL49" s="538"/>
      <c r="EM49" s="538"/>
      <c r="EN49" s="538"/>
      <c r="EO49" s="538"/>
      <c r="EP49" s="538"/>
      <c r="EQ49" s="538"/>
      <c r="ER49" s="538"/>
      <c r="ES49" s="538"/>
      <c r="ET49" s="538">
        <f t="shared" si="11"/>
        <v>662361.66360000009</v>
      </c>
      <c r="EU49" s="538"/>
      <c r="EV49" s="538"/>
      <c r="EW49" s="538"/>
      <c r="EX49" s="538"/>
      <c r="EY49" s="538"/>
      <c r="EZ49" s="538"/>
      <c r="FA49" s="538"/>
      <c r="FB49" s="538"/>
      <c r="FC49" s="538"/>
      <c r="FD49" s="538"/>
      <c r="FE49" s="538"/>
      <c r="FF49" s="538"/>
      <c r="FG49" s="538"/>
      <c r="FH49" s="538"/>
      <c r="FI49" s="538"/>
      <c r="FJ49" s="538"/>
      <c r="FK49" s="171"/>
      <c r="FN49" s="171"/>
    </row>
    <row r="50" spans="1:178" s="16" customFormat="1" ht="38.4" customHeight="1" x14ac:dyDescent="0.3">
      <c r="A50" s="571" t="s">
        <v>489</v>
      </c>
      <c r="B50" s="571"/>
      <c r="C50" s="571"/>
      <c r="D50" s="571"/>
      <c r="E50" s="571"/>
      <c r="F50" s="571"/>
      <c r="G50" s="572" t="s">
        <v>511</v>
      </c>
      <c r="H50" s="572"/>
      <c r="I50" s="572"/>
      <c r="J50" s="572"/>
      <c r="K50" s="572"/>
      <c r="L50" s="572"/>
      <c r="M50" s="572"/>
      <c r="N50" s="572"/>
      <c r="O50" s="572"/>
      <c r="P50" s="572"/>
      <c r="Q50" s="572"/>
      <c r="R50" s="572"/>
      <c r="S50" s="572"/>
      <c r="T50" s="572"/>
      <c r="U50" s="572"/>
      <c r="V50" s="572"/>
      <c r="W50" s="572"/>
      <c r="X50" s="572"/>
      <c r="Y50" s="572"/>
      <c r="Z50" s="572"/>
      <c r="AA50" s="572"/>
      <c r="AB50" s="572"/>
      <c r="AC50" s="572"/>
      <c r="AD50" s="569">
        <v>2</v>
      </c>
      <c r="AE50" s="569"/>
      <c r="AF50" s="569"/>
      <c r="AG50" s="569"/>
      <c r="AH50" s="569"/>
      <c r="AI50" s="569"/>
      <c r="AJ50" s="569"/>
      <c r="AK50" s="569"/>
      <c r="AL50" s="569"/>
      <c r="AM50" s="569"/>
      <c r="AN50" s="569"/>
      <c r="AO50" s="569"/>
      <c r="AP50" s="569"/>
      <c r="AQ50" s="569"/>
      <c r="AR50" s="569"/>
      <c r="AS50" s="569"/>
      <c r="AT50" s="538">
        <f t="shared" si="8"/>
        <v>32725</v>
      </c>
      <c r="AU50" s="538"/>
      <c r="AV50" s="538"/>
      <c r="AW50" s="538"/>
      <c r="AX50" s="538"/>
      <c r="AY50" s="538"/>
      <c r="AZ50" s="538"/>
      <c r="BA50" s="538"/>
      <c r="BB50" s="538"/>
      <c r="BC50" s="538"/>
      <c r="BD50" s="538"/>
      <c r="BE50" s="538"/>
      <c r="BF50" s="538"/>
      <c r="BG50" s="538"/>
      <c r="BH50" s="538"/>
      <c r="BI50" s="538"/>
      <c r="BJ50" s="538"/>
      <c r="BK50" s="570">
        <v>8725</v>
      </c>
      <c r="BL50" s="570"/>
      <c r="BM50" s="570"/>
      <c r="BN50" s="570"/>
      <c r="BO50" s="570"/>
      <c r="BP50" s="570"/>
      <c r="BQ50" s="570"/>
      <c r="BR50" s="570"/>
      <c r="BS50" s="570"/>
      <c r="BT50" s="570"/>
      <c r="BU50" s="570"/>
      <c r="BV50" s="570"/>
      <c r="BW50" s="570"/>
      <c r="BX50" s="570"/>
      <c r="BY50" s="570"/>
      <c r="BZ50" s="570"/>
      <c r="CA50" s="570"/>
      <c r="CB50" s="570"/>
      <c r="CC50" s="538"/>
      <c r="CD50" s="538"/>
      <c r="CE50" s="538"/>
      <c r="CF50" s="538"/>
      <c r="CG50" s="538"/>
      <c r="CH50" s="538"/>
      <c r="CI50" s="538"/>
      <c r="CJ50" s="538"/>
      <c r="CK50" s="538"/>
      <c r="CL50" s="538"/>
      <c r="CM50" s="538"/>
      <c r="CN50" s="538"/>
      <c r="CO50" s="538"/>
      <c r="CP50" s="538"/>
      <c r="CQ50" s="538"/>
      <c r="CR50" s="538"/>
      <c r="CS50" s="538"/>
      <c r="CT50" s="538"/>
      <c r="CU50" s="538"/>
      <c r="CV50" s="562">
        <v>24000</v>
      </c>
      <c r="CW50" s="563"/>
      <c r="CX50" s="563"/>
      <c r="CY50" s="563"/>
      <c r="CZ50" s="563"/>
      <c r="DA50" s="563"/>
      <c r="DB50" s="563"/>
      <c r="DC50" s="563"/>
      <c r="DD50" s="563"/>
      <c r="DE50" s="563"/>
      <c r="DF50" s="563"/>
      <c r="DG50" s="563"/>
      <c r="DH50" s="563"/>
      <c r="DI50" s="563"/>
      <c r="DJ50" s="563"/>
      <c r="DK50" s="563"/>
      <c r="DL50" s="563"/>
      <c r="DM50" s="564"/>
      <c r="DN50" s="538">
        <f t="shared" si="9"/>
        <v>26180</v>
      </c>
      <c r="DO50" s="538"/>
      <c r="DP50" s="538"/>
      <c r="DQ50" s="538"/>
      <c r="DR50" s="538"/>
      <c r="DS50" s="538"/>
      <c r="DT50" s="538"/>
      <c r="DU50" s="538"/>
      <c r="DV50" s="538"/>
      <c r="DW50" s="538"/>
      <c r="DX50" s="538"/>
      <c r="DY50" s="538"/>
      <c r="DZ50" s="538"/>
      <c r="EA50" s="538"/>
      <c r="EB50" s="538"/>
      <c r="EC50" s="538"/>
      <c r="ED50" s="538">
        <f t="shared" si="10"/>
        <v>16362.5</v>
      </c>
      <c r="EE50" s="538"/>
      <c r="EF50" s="538"/>
      <c r="EG50" s="538"/>
      <c r="EH50" s="538"/>
      <c r="EI50" s="538"/>
      <c r="EJ50" s="538"/>
      <c r="EK50" s="538"/>
      <c r="EL50" s="538"/>
      <c r="EM50" s="538"/>
      <c r="EN50" s="538"/>
      <c r="EO50" s="538"/>
      <c r="EP50" s="538"/>
      <c r="EQ50" s="538"/>
      <c r="ER50" s="538"/>
      <c r="ES50" s="538"/>
      <c r="ET50" s="538">
        <f>(AT50+DN50+ED50)*12*AD50</f>
        <v>1806420</v>
      </c>
      <c r="EU50" s="538"/>
      <c r="EV50" s="538"/>
      <c r="EW50" s="538"/>
      <c r="EX50" s="538"/>
      <c r="EY50" s="538"/>
      <c r="EZ50" s="538"/>
      <c r="FA50" s="538"/>
      <c r="FB50" s="538"/>
      <c r="FC50" s="538"/>
      <c r="FD50" s="538"/>
      <c r="FE50" s="538"/>
      <c r="FF50" s="538"/>
      <c r="FG50" s="538"/>
      <c r="FH50" s="538"/>
      <c r="FI50" s="538"/>
      <c r="FJ50" s="538"/>
      <c r="FK50" s="171"/>
      <c r="FN50" s="171"/>
      <c r="FO50" s="60"/>
    </row>
    <row r="51" spans="1:178" s="16" customFormat="1" ht="26.4" customHeight="1" x14ac:dyDescent="0.3">
      <c r="A51" s="571" t="s">
        <v>491</v>
      </c>
      <c r="B51" s="571"/>
      <c r="C51" s="571"/>
      <c r="D51" s="571"/>
      <c r="E51" s="571"/>
      <c r="F51" s="571"/>
      <c r="G51" s="572" t="s">
        <v>513</v>
      </c>
      <c r="H51" s="572"/>
      <c r="I51" s="572"/>
      <c r="J51" s="572"/>
      <c r="K51" s="572"/>
      <c r="L51" s="572"/>
      <c r="M51" s="572"/>
      <c r="N51" s="572"/>
      <c r="O51" s="572"/>
      <c r="P51" s="572"/>
      <c r="Q51" s="572"/>
      <c r="R51" s="572"/>
      <c r="S51" s="572"/>
      <c r="T51" s="572"/>
      <c r="U51" s="572"/>
      <c r="V51" s="572"/>
      <c r="W51" s="572"/>
      <c r="X51" s="572"/>
      <c r="Y51" s="572"/>
      <c r="Z51" s="572"/>
      <c r="AA51" s="572"/>
      <c r="AB51" s="572"/>
      <c r="AC51" s="572"/>
      <c r="AD51" s="569">
        <v>1</v>
      </c>
      <c r="AE51" s="569"/>
      <c r="AF51" s="569"/>
      <c r="AG51" s="569"/>
      <c r="AH51" s="569"/>
      <c r="AI51" s="569"/>
      <c r="AJ51" s="569"/>
      <c r="AK51" s="569"/>
      <c r="AL51" s="569"/>
      <c r="AM51" s="569"/>
      <c r="AN51" s="569"/>
      <c r="AO51" s="569"/>
      <c r="AP51" s="569"/>
      <c r="AQ51" s="569"/>
      <c r="AR51" s="569"/>
      <c r="AS51" s="569"/>
      <c r="AT51" s="538">
        <f t="shared" si="8"/>
        <v>42258</v>
      </c>
      <c r="AU51" s="538"/>
      <c r="AV51" s="538"/>
      <c r="AW51" s="538"/>
      <c r="AX51" s="538"/>
      <c r="AY51" s="538"/>
      <c r="AZ51" s="538"/>
      <c r="BA51" s="538"/>
      <c r="BB51" s="538"/>
      <c r="BC51" s="538"/>
      <c r="BD51" s="538"/>
      <c r="BE51" s="538"/>
      <c r="BF51" s="538"/>
      <c r="BG51" s="538"/>
      <c r="BH51" s="538"/>
      <c r="BI51" s="538"/>
      <c r="BJ51" s="538"/>
      <c r="BK51" s="570">
        <v>9949</v>
      </c>
      <c r="BL51" s="570"/>
      <c r="BM51" s="570"/>
      <c r="BN51" s="570"/>
      <c r="BO51" s="570"/>
      <c r="BP51" s="570"/>
      <c r="BQ51" s="570"/>
      <c r="BR51" s="570"/>
      <c r="BS51" s="570"/>
      <c r="BT51" s="570"/>
      <c r="BU51" s="570"/>
      <c r="BV51" s="570"/>
      <c r="BW51" s="570"/>
      <c r="BX51" s="570"/>
      <c r="BY51" s="570"/>
      <c r="BZ51" s="570"/>
      <c r="CA51" s="570"/>
      <c r="CB51" s="570"/>
      <c r="CC51" s="569"/>
      <c r="CD51" s="569"/>
      <c r="CE51" s="569"/>
      <c r="CF51" s="569"/>
      <c r="CG51" s="569"/>
      <c r="CH51" s="569"/>
      <c r="CI51" s="569"/>
      <c r="CJ51" s="569"/>
      <c r="CK51" s="569"/>
      <c r="CL51" s="569"/>
      <c r="CM51" s="569"/>
      <c r="CN51" s="569"/>
      <c r="CO51" s="569"/>
      <c r="CP51" s="569"/>
      <c r="CQ51" s="569"/>
      <c r="CR51" s="569"/>
      <c r="CS51" s="569"/>
      <c r="CT51" s="569"/>
      <c r="CU51" s="569"/>
      <c r="CV51" s="562">
        <v>32309</v>
      </c>
      <c r="CW51" s="563"/>
      <c r="CX51" s="563"/>
      <c r="CY51" s="563"/>
      <c r="CZ51" s="563"/>
      <c r="DA51" s="563"/>
      <c r="DB51" s="563"/>
      <c r="DC51" s="563"/>
      <c r="DD51" s="563"/>
      <c r="DE51" s="563"/>
      <c r="DF51" s="563"/>
      <c r="DG51" s="563"/>
      <c r="DH51" s="563"/>
      <c r="DI51" s="563"/>
      <c r="DJ51" s="563"/>
      <c r="DK51" s="563"/>
      <c r="DL51" s="563"/>
      <c r="DM51" s="564"/>
      <c r="DN51" s="538">
        <f t="shared" si="9"/>
        <v>33806.400000000001</v>
      </c>
      <c r="DO51" s="538"/>
      <c r="DP51" s="538"/>
      <c r="DQ51" s="538"/>
      <c r="DR51" s="538"/>
      <c r="DS51" s="538"/>
      <c r="DT51" s="538"/>
      <c r="DU51" s="538"/>
      <c r="DV51" s="538"/>
      <c r="DW51" s="538"/>
      <c r="DX51" s="538"/>
      <c r="DY51" s="538"/>
      <c r="DZ51" s="538"/>
      <c r="EA51" s="538"/>
      <c r="EB51" s="538"/>
      <c r="EC51" s="538"/>
      <c r="ED51" s="538">
        <f t="shared" si="10"/>
        <v>21129</v>
      </c>
      <c r="EE51" s="538"/>
      <c r="EF51" s="538"/>
      <c r="EG51" s="538"/>
      <c r="EH51" s="538"/>
      <c r="EI51" s="538"/>
      <c r="EJ51" s="538"/>
      <c r="EK51" s="538"/>
      <c r="EL51" s="538"/>
      <c r="EM51" s="538"/>
      <c r="EN51" s="538"/>
      <c r="EO51" s="538"/>
      <c r="EP51" s="538"/>
      <c r="EQ51" s="538"/>
      <c r="ER51" s="538"/>
      <c r="ES51" s="538"/>
      <c r="ET51" s="538">
        <f t="shared" si="11"/>
        <v>1166320.7999999998</v>
      </c>
      <c r="EU51" s="538"/>
      <c r="EV51" s="538"/>
      <c r="EW51" s="538"/>
      <c r="EX51" s="538"/>
      <c r="EY51" s="538"/>
      <c r="EZ51" s="538"/>
      <c r="FA51" s="538"/>
      <c r="FB51" s="538"/>
      <c r="FC51" s="538"/>
      <c r="FD51" s="538"/>
      <c r="FE51" s="538"/>
      <c r="FF51" s="538"/>
      <c r="FG51" s="538"/>
      <c r="FH51" s="538"/>
      <c r="FI51" s="538"/>
      <c r="FJ51" s="538"/>
      <c r="FK51" s="171"/>
      <c r="FL51" s="171"/>
      <c r="FN51" s="171"/>
      <c r="FO51" s="171"/>
      <c r="FP51" s="60"/>
    </row>
    <row r="52" spans="1:178" s="16" customFormat="1" ht="13.2" customHeight="1" x14ac:dyDescent="0.3">
      <c r="A52" s="571" t="s">
        <v>493</v>
      </c>
      <c r="B52" s="571"/>
      <c r="C52" s="571"/>
      <c r="D52" s="571"/>
      <c r="E52" s="571"/>
      <c r="F52" s="571"/>
      <c r="G52" s="572" t="s">
        <v>514</v>
      </c>
      <c r="H52" s="572"/>
      <c r="I52" s="572"/>
      <c r="J52" s="572"/>
      <c r="K52" s="572"/>
      <c r="L52" s="572"/>
      <c r="M52" s="572"/>
      <c r="N52" s="572"/>
      <c r="O52" s="572"/>
      <c r="P52" s="572"/>
      <c r="Q52" s="572"/>
      <c r="R52" s="572"/>
      <c r="S52" s="572"/>
      <c r="T52" s="572"/>
      <c r="U52" s="572"/>
      <c r="V52" s="572"/>
      <c r="W52" s="572"/>
      <c r="X52" s="572"/>
      <c r="Y52" s="572"/>
      <c r="Z52" s="572"/>
      <c r="AA52" s="572"/>
      <c r="AB52" s="572"/>
      <c r="AC52" s="572"/>
      <c r="AD52" s="569">
        <v>5</v>
      </c>
      <c r="AE52" s="569"/>
      <c r="AF52" s="569"/>
      <c r="AG52" s="569"/>
      <c r="AH52" s="569"/>
      <c r="AI52" s="569"/>
      <c r="AJ52" s="569"/>
      <c r="AK52" s="569"/>
      <c r="AL52" s="569"/>
      <c r="AM52" s="569"/>
      <c r="AN52" s="569"/>
      <c r="AO52" s="569"/>
      <c r="AP52" s="569"/>
      <c r="AQ52" s="569"/>
      <c r="AR52" s="569"/>
      <c r="AS52" s="569"/>
      <c r="AT52" s="538">
        <f t="shared" si="8"/>
        <v>36842</v>
      </c>
      <c r="AU52" s="538"/>
      <c r="AV52" s="538"/>
      <c r="AW52" s="538"/>
      <c r="AX52" s="538"/>
      <c r="AY52" s="538"/>
      <c r="AZ52" s="538"/>
      <c r="BA52" s="538"/>
      <c r="BB52" s="538"/>
      <c r="BC52" s="538"/>
      <c r="BD52" s="538"/>
      <c r="BE52" s="538"/>
      <c r="BF52" s="538"/>
      <c r="BG52" s="538"/>
      <c r="BH52" s="538"/>
      <c r="BI52" s="538"/>
      <c r="BJ52" s="538"/>
      <c r="BK52" s="570">
        <v>8042</v>
      </c>
      <c r="BL52" s="570"/>
      <c r="BM52" s="570"/>
      <c r="BN52" s="570"/>
      <c r="BO52" s="570"/>
      <c r="BP52" s="570"/>
      <c r="BQ52" s="570"/>
      <c r="BR52" s="570"/>
      <c r="BS52" s="570"/>
      <c r="BT52" s="570"/>
      <c r="BU52" s="570"/>
      <c r="BV52" s="570"/>
      <c r="BW52" s="570"/>
      <c r="BX52" s="570"/>
      <c r="BY52" s="570"/>
      <c r="BZ52" s="570"/>
      <c r="CA52" s="570"/>
      <c r="CB52" s="570"/>
      <c r="CC52" s="569">
        <v>1800</v>
      </c>
      <c r="CD52" s="569"/>
      <c r="CE52" s="569"/>
      <c r="CF52" s="569"/>
      <c r="CG52" s="569"/>
      <c r="CH52" s="569"/>
      <c r="CI52" s="569"/>
      <c r="CJ52" s="569"/>
      <c r="CK52" s="569"/>
      <c r="CL52" s="569"/>
      <c r="CM52" s="569"/>
      <c r="CN52" s="569"/>
      <c r="CO52" s="569"/>
      <c r="CP52" s="569"/>
      <c r="CQ52" s="569"/>
      <c r="CR52" s="569"/>
      <c r="CS52" s="569"/>
      <c r="CT52" s="569"/>
      <c r="CU52" s="569"/>
      <c r="CV52" s="562">
        <v>27000</v>
      </c>
      <c r="CW52" s="563"/>
      <c r="CX52" s="563"/>
      <c r="CY52" s="563"/>
      <c r="CZ52" s="563"/>
      <c r="DA52" s="563"/>
      <c r="DB52" s="563"/>
      <c r="DC52" s="563"/>
      <c r="DD52" s="563"/>
      <c r="DE52" s="563"/>
      <c r="DF52" s="563"/>
      <c r="DG52" s="563"/>
      <c r="DH52" s="563"/>
      <c r="DI52" s="563"/>
      <c r="DJ52" s="563"/>
      <c r="DK52" s="563"/>
      <c r="DL52" s="563"/>
      <c r="DM52" s="564"/>
      <c r="DN52" s="538">
        <f t="shared" si="9"/>
        <v>29473.600000000002</v>
      </c>
      <c r="DO52" s="538"/>
      <c r="DP52" s="538"/>
      <c r="DQ52" s="538"/>
      <c r="DR52" s="538"/>
      <c r="DS52" s="538"/>
      <c r="DT52" s="538"/>
      <c r="DU52" s="538"/>
      <c r="DV52" s="538"/>
      <c r="DW52" s="538"/>
      <c r="DX52" s="538"/>
      <c r="DY52" s="538"/>
      <c r="DZ52" s="538"/>
      <c r="EA52" s="538"/>
      <c r="EB52" s="538"/>
      <c r="EC52" s="538"/>
      <c r="ED52" s="538">
        <f t="shared" si="10"/>
        <v>18421</v>
      </c>
      <c r="EE52" s="538"/>
      <c r="EF52" s="538"/>
      <c r="EG52" s="538"/>
      <c r="EH52" s="538"/>
      <c r="EI52" s="538"/>
      <c r="EJ52" s="538"/>
      <c r="EK52" s="538"/>
      <c r="EL52" s="538"/>
      <c r="EM52" s="538"/>
      <c r="EN52" s="538"/>
      <c r="EO52" s="538"/>
      <c r="EP52" s="538"/>
      <c r="EQ52" s="538"/>
      <c r="ER52" s="538"/>
      <c r="ES52" s="538"/>
      <c r="ET52" s="538">
        <f t="shared" si="11"/>
        <v>5084196</v>
      </c>
      <c r="EU52" s="538"/>
      <c r="EV52" s="538"/>
      <c r="EW52" s="538"/>
      <c r="EX52" s="538"/>
      <c r="EY52" s="538"/>
      <c r="EZ52" s="538"/>
      <c r="FA52" s="538"/>
      <c r="FB52" s="538"/>
      <c r="FC52" s="538"/>
      <c r="FD52" s="538"/>
      <c r="FE52" s="538"/>
      <c r="FF52" s="538"/>
      <c r="FG52" s="538"/>
      <c r="FH52" s="538"/>
      <c r="FI52" s="538"/>
      <c r="FJ52" s="538"/>
      <c r="FK52" s="171"/>
      <c r="FL52" s="171"/>
      <c r="FN52" s="171"/>
      <c r="FO52" s="171"/>
      <c r="FP52" s="171"/>
    </row>
    <row r="53" spans="1:178" s="16" customFormat="1" ht="44.4" customHeight="1" x14ac:dyDescent="0.3">
      <c r="A53" s="571" t="s">
        <v>515</v>
      </c>
      <c r="B53" s="571"/>
      <c r="C53" s="571"/>
      <c r="D53" s="571"/>
      <c r="E53" s="571"/>
      <c r="F53" s="571"/>
      <c r="G53" s="572" t="s">
        <v>516</v>
      </c>
      <c r="H53" s="572"/>
      <c r="I53" s="572"/>
      <c r="J53" s="572"/>
      <c r="K53" s="572"/>
      <c r="L53" s="572"/>
      <c r="M53" s="572"/>
      <c r="N53" s="572"/>
      <c r="O53" s="572"/>
      <c r="P53" s="572"/>
      <c r="Q53" s="572"/>
      <c r="R53" s="572"/>
      <c r="S53" s="572"/>
      <c r="T53" s="572"/>
      <c r="U53" s="572"/>
      <c r="V53" s="572"/>
      <c r="W53" s="572"/>
      <c r="X53" s="572"/>
      <c r="Y53" s="572"/>
      <c r="Z53" s="572"/>
      <c r="AA53" s="572"/>
      <c r="AB53" s="572"/>
      <c r="AC53" s="572"/>
      <c r="AD53" s="569">
        <v>1</v>
      </c>
      <c r="AE53" s="569"/>
      <c r="AF53" s="569"/>
      <c r="AG53" s="569"/>
      <c r="AH53" s="569"/>
      <c r="AI53" s="569"/>
      <c r="AJ53" s="569"/>
      <c r="AK53" s="569"/>
      <c r="AL53" s="569"/>
      <c r="AM53" s="569"/>
      <c r="AN53" s="569"/>
      <c r="AO53" s="569"/>
      <c r="AP53" s="569"/>
      <c r="AQ53" s="569"/>
      <c r="AR53" s="569"/>
      <c r="AS53" s="569"/>
      <c r="AT53" s="538">
        <f t="shared" si="8"/>
        <v>38591</v>
      </c>
      <c r="AU53" s="538"/>
      <c r="AV53" s="538"/>
      <c r="AW53" s="538"/>
      <c r="AX53" s="538"/>
      <c r="AY53" s="538"/>
      <c r="AZ53" s="538"/>
      <c r="BA53" s="538"/>
      <c r="BB53" s="538"/>
      <c r="BC53" s="538"/>
      <c r="BD53" s="538"/>
      <c r="BE53" s="538"/>
      <c r="BF53" s="538"/>
      <c r="BG53" s="538"/>
      <c r="BH53" s="538"/>
      <c r="BI53" s="538"/>
      <c r="BJ53" s="538"/>
      <c r="BK53" s="570">
        <v>9091</v>
      </c>
      <c r="BL53" s="570"/>
      <c r="BM53" s="570"/>
      <c r="BN53" s="570"/>
      <c r="BO53" s="570"/>
      <c r="BP53" s="570"/>
      <c r="BQ53" s="570"/>
      <c r="BR53" s="570"/>
      <c r="BS53" s="570"/>
      <c r="BT53" s="570"/>
      <c r="BU53" s="570"/>
      <c r="BV53" s="570"/>
      <c r="BW53" s="570"/>
      <c r="BX53" s="570"/>
      <c r="BY53" s="570"/>
      <c r="BZ53" s="570"/>
      <c r="CA53" s="570"/>
      <c r="CB53" s="570"/>
      <c r="CC53" s="569">
        <v>2500</v>
      </c>
      <c r="CD53" s="569"/>
      <c r="CE53" s="569"/>
      <c r="CF53" s="569"/>
      <c r="CG53" s="569"/>
      <c r="CH53" s="569"/>
      <c r="CI53" s="569"/>
      <c r="CJ53" s="569"/>
      <c r="CK53" s="569"/>
      <c r="CL53" s="569"/>
      <c r="CM53" s="569"/>
      <c r="CN53" s="569"/>
      <c r="CO53" s="569"/>
      <c r="CP53" s="569"/>
      <c r="CQ53" s="569"/>
      <c r="CR53" s="569"/>
      <c r="CS53" s="569"/>
      <c r="CT53" s="569"/>
      <c r="CU53" s="569"/>
      <c r="CV53" s="562">
        <v>27000</v>
      </c>
      <c r="CW53" s="563"/>
      <c r="CX53" s="563"/>
      <c r="CY53" s="563"/>
      <c r="CZ53" s="563"/>
      <c r="DA53" s="563"/>
      <c r="DB53" s="563"/>
      <c r="DC53" s="563"/>
      <c r="DD53" s="563"/>
      <c r="DE53" s="563"/>
      <c r="DF53" s="563"/>
      <c r="DG53" s="563"/>
      <c r="DH53" s="563"/>
      <c r="DI53" s="563"/>
      <c r="DJ53" s="563"/>
      <c r="DK53" s="563"/>
      <c r="DL53" s="563"/>
      <c r="DM53" s="564"/>
      <c r="DN53" s="538">
        <f t="shared" si="9"/>
        <v>30872.800000000003</v>
      </c>
      <c r="DO53" s="538"/>
      <c r="DP53" s="538"/>
      <c r="DQ53" s="538"/>
      <c r="DR53" s="538"/>
      <c r="DS53" s="538"/>
      <c r="DT53" s="538"/>
      <c r="DU53" s="538"/>
      <c r="DV53" s="538"/>
      <c r="DW53" s="538"/>
      <c r="DX53" s="538"/>
      <c r="DY53" s="538"/>
      <c r="DZ53" s="538"/>
      <c r="EA53" s="538"/>
      <c r="EB53" s="538"/>
      <c r="EC53" s="538"/>
      <c r="ED53" s="538">
        <f t="shared" si="10"/>
        <v>19295.5</v>
      </c>
      <c r="EE53" s="538"/>
      <c r="EF53" s="538"/>
      <c r="EG53" s="538"/>
      <c r="EH53" s="538"/>
      <c r="EI53" s="538"/>
      <c r="EJ53" s="538"/>
      <c r="EK53" s="538"/>
      <c r="EL53" s="538"/>
      <c r="EM53" s="538"/>
      <c r="EN53" s="538"/>
      <c r="EO53" s="538"/>
      <c r="EP53" s="538"/>
      <c r="EQ53" s="538"/>
      <c r="ER53" s="538"/>
      <c r="ES53" s="538"/>
      <c r="ET53" s="538">
        <f t="shared" si="11"/>
        <v>1065111.6000000001</v>
      </c>
      <c r="EU53" s="538"/>
      <c r="EV53" s="538"/>
      <c r="EW53" s="538"/>
      <c r="EX53" s="538"/>
      <c r="EY53" s="538"/>
      <c r="EZ53" s="538"/>
      <c r="FA53" s="538"/>
      <c r="FB53" s="538"/>
      <c r="FC53" s="538"/>
      <c r="FD53" s="538"/>
      <c r="FE53" s="538"/>
      <c r="FF53" s="538"/>
      <c r="FG53" s="538"/>
      <c r="FH53" s="538"/>
      <c r="FI53" s="538"/>
      <c r="FJ53" s="538"/>
      <c r="FK53" s="171" t="s">
        <v>517</v>
      </c>
      <c r="FL53" s="16" t="s">
        <v>512</v>
      </c>
      <c r="FM53" s="16" t="s">
        <v>518</v>
      </c>
      <c r="FN53" s="171"/>
      <c r="FO53" s="171" t="s">
        <v>504</v>
      </c>
      <c r="FP53" s="16" t="s">
        <v>909</v>
      </c>
    </row>
    <row r="54" spans="1:178" s="16" customFormat="1" ht="57" customHeight="1" x14ac:dyDescent="0.3">
      <c r="A54" s="571" t="s">
        <v>519</v>
      </c>
      <c r="B54" s="571"/>
      <c r="C54" s="571"/>
      <c r="D54" s="571"/>
      <c r="E54" s="571"/>
      <c r="F54" s="571"/>
      <c r="G54" s="572" t="s">
        <v>520</v>
      </c>
      <c r="H54" s="572"/>
      <c r="I54" s="572"/>
      <c r="J54" s="572"/>
      <c r="K54" s="572"/>
      <c r="L54" s="572"/>
      <c r="M54" s="572"/>
      <c r="N54" s="572"/>
      <c r="O54" s="572"/>
      <c r="P54" s="572"/>
      <c r="Q54" s="572"/>
      <c r="R54" s="572"/>
      <c r="S54" s="572"/>
      <c r="T54" s="572"/>
      <c r="U54" s="572"/>
      <c r="V54" s="572"/>
      <c r="W54" s="572"/>
      <c r="X54" s="572"/>
      <c r="Y54" s="572"/>
      <c r="Z54" s="572"/>
      <c r="AA54" s="572"/>
      <c r="AB54" s="572"/>
      <c r="AC54" s="572"/>
      <c r="AD54" s="569">
        <v>1</v>
      </c>
      <c r="AE54" s="569"/>
      <c r="AF54" s="569"/>
      <c r="AG54" s="569"/>
      <c r="AH54" s="569"/>
      <c r="AI54" s="569"/>
      <c r="AJ54" s="569"/>
      <c r="AK54" s="569"/>
      <c r="AL54" s="569"/>
      <c r="AM54" s="569"/>
      <c r="AN54" s="569"/>
      <c r="AO54" s="569"/>
      <c r="AP54" s="569"/>
      <c r="AQ54" s="569"/>
      <c r="AR54" s="569"/>
      <c r="AS54" s="569"/>
      <c r="AT54" s="538">
        <f t="shared" si="8"/>
        <v>38941</v>
      </c>
      <c r="AU54" s="538"/>
      <c r="AV54" s="538"/>
      <c r="AW54" s="538"/>
      <c r="AX54" s="538"/>
      <c r="AY54" s="538"/>
      <c r="AZ54" s="538"/>
      <c r="BA54" s="538"/>
      <c r="BB54" s="538"/>
      <c r="BC54" s="538"/>
      <c r="BD54" s="538"/>
      <c r="BE54" s="538"/>
      <c r="BF54" s="538"/>
      <c r="BG54" s="538"/>
      <c r="BH54" s="538"/>
      <c r="BI54" s="538"/>
      <c r="BJ54" s="538"/>
      <c r="BK54" s="570">
        <v>9441</v>
      </c>
      <c r="BL54" s="570"/>
      <c r="BM54" s="570"/>
      <c r="BN54" s="570"/>
      <c r="BO54" s="570"/>
      <c r="BP54" s="570"/>
      <c r="BQ54" s="570"/>
      <c r="BR54" s="570"/>
      <c r="BS54" s="570"/>
      <c r="BT54" s="570"/>
      <c r="BU54" s="570"/>
      <c r="BV54" s="570"/>
      <c r="BW54" s="570"/>
      <c r="BX54" s="570"/>
      <c r="BY54" s="570"/>
      <c r="BZ54" s="570"/>
      <c r="CA54" s="570"/>
      <c r="CB54" s="570"/>
      <c r="CC54" s="569">
        <v>2500</v>
      </c>
      <c r="CD54" s="569"/>
      <c r="CE54" s="569"/>
      <c r="CF54" s="569"/>
      <c r="CG54" s="569"/>
      <c r="CH54" s="569"/>
      <c r="CI54" s="569"/>
      <c r="CJ54" s="569"/>
      <c r="CK54" s="569"/>
      <c r="CL54" s="569"/>
      <c r="CM54" s="569"/>
      <c r="CN54" s="569"/>
      <c r="CO54" s="569"/>
      <c r="CP54" s="569"/>
      <c r="CQ54" s="569"/>
      <c r="CR54" s="569"/>
      <c r="CS54" s="569"/>
      <c r="CT54" s="569"/>
      <c r="CU54" s="569"/>
      <c r="CV54" s="562">
        <v>27000</v>
      </c>
      <c r="CW54" s="563"/>
      <c r="CX54" s="563"/>
      <c r="CY54" s="563"/>
      <c r="CZ54" s="563"/>
      <c r="DA54" s="563"/>
      <c r="DB54" s="563"/>
      <c r="DC54" s="563"/>
      <c r="DD54" s="563"/>
      <c r="DE54" s="563"/>
      <c r="DF54" s="563"/>
      <c r="DG54" s="563"/>
      <c r="DH54" s="563"/>
      <c r="DI54" s="563"/>
      <c r="DJ54" s="563"/>
      <c r="DK54" s="563"/>
      <c r="DL54" s="563"/>
      <c r="DM54" s="564"/>
      <c r="DN54" s="538">
        <f t="shared" si="9"/>
        <v>31152.800000000003</v>
      </c>
      <c r="DO54" s="538"/>
      <c r="DP54" s="538"/>
      <c r="DQ54" s="538"/>
      <c r="DR54" s="538"/>
      <c r="DS54" s="538"/>
      <c r="DT54" s="538"/>
      <c r="DU54" s="538"/>
      <c r="DV54" s="538"/>
      <c r="DW54" s="538"/>
      <c r="DX54" s="538"/>
      <c r="DY54" s="538"/>
      <c r="DZ54" s="538"/>
      <c r="EA54" s="538"/>
      <c r="EB54" s="538"/>
      <c r="EC54" s="538"/>
      <c r="ED54" s="538">
        <f t="shared" si="10"/>
        <v>19470.5</v>
      </c>
      <c r="EE54" s="538"/>
      <c r="EF54" s="538"/>
      <c r="EG54" s="538"/>
      <c r="EH54" s="538"/>
      <c r="EI54" s="538"/>
      <c r="EJ54" s="538"/>
      <c r="EK54" s="538"/>
      <c r="EL54" s="538"/>
      <c r="EM54" s="538"/>
      <c r="EN54" s="538"/>
      <c r="EO54" s="538"/>
      <c r="EP54" s="538"/>
      <c r="EQ54" s="538"/>
      <c r="ER54" s="538"/>
      <c r="ES54" s="538"/>
      <c r="ET54" s="538">
        <f t="shared" si="11"/>
        <v>1074771.6000000001</v>
      </c>
      <c r="EU54" s="538"/>
      <c r="EV54" s="538"/>
      <c r="EW54" s="538"/>
      <c r="EX54" s="538"/>
      <c r="EY54" s="538"/>
      <c r="EZ54" s="538"/>
      <c r="FA54" s="538"/>
      <c r="FB54" s="538"/>
      <c r="FC54" s="538"/>
      <c r="FD54" s="538"/>
      <c r="FE54" s="538"/>
      <c r="FF54" s="538"/>
      <c r="FG54" s="538"/>
      <c r="FH54" s="538"/>
      <c r="FI54" s="538"/>
      <c r="FJ54" s="538"/>
      <c r="FK54" s="171" t="e">
        <f>55765*12*7.8+#REF!</f>
        <v>#REF!</v>
      </c>
      <c r="FL54" s="60" t="e">
        <f>ET53+ET54+ET51+#REF!</f>
        <v>#REF!</v>
      </c>
      <c r="FM54" s="60" t="e">
        <f>FL54/12/7.8</f>
        <v>#REF!</v>
      </c>
      <c r="FN54" s="171"/>
      <c r="FO54" s="60">
        <f>87400*12*8</f>
        <v>8390400</v>
      </c>
      <c r="FP54" s="60">
        <f>ET51+ET52+ET53+ET54</f>
        <v>8390400</v>
      </c>
    </row>
    <row r="55" spans="1:178" s="16" customFormat="1" ht="13.2" customHeight="1" x14ac:dyDescent="0.3">
      <c r="A55" s="571" t="s">
        <v>521</v>
      </c>
      <c r="B55" s="571"/>
      <c r="C55" s="571"/>
      <c r="D55" s="571"/>
      <c r="E55" s="571"/>
      <c r="F55" s="571"/>
      <c r="G55" s="572" t="s">
        <v>522</v>
      </c>
      <c r="H55" s="572"/>
      <c r="I55" s="572"/>
      <c r="J55" s="572"/>
      <c r="K55" s="572"/>
      <c r="L55" s="572"/>
      <c r="M55" s="572"/>
      <c r="N55" s="572"/>
      <c r="O55" s="572"/>
      <c r="P55" s="572"/>
      <c r="Q55" s="572"/>
      <c r="R55" s="572"/>
      <c r="S55" s="572"/>
      <c r="T55" s="572"/>
      <c r="U55" s="572"/>
      <c r="V55" s="572"/>
      <c r="W55" s="572"/>
      <c r="X55" s="572"/>
      <c r="Y55" s="572"/>
      <c r="Z55" s="572"/>
      <c r="AA55" s="572"/>
      <c r="AB55" s="572"/>
      <c r="AC55" s="572"/>
      <c r="AD55" s="569">
        <v>1</v>
      </c>
      <c r="AE55" s="569"/>
      <c r="AF55" s="569"/>
      <c r="AG55" s="569"/>
      <c r="AH55" s="569"/>
      <c r="AI55" s="569"/>
      <c r="AJ55" s="569"/>
      <c r="AK55" s="569"/>
      <c r="AL55" s="569"/>
      <c r="AM55" s="569"/>
      <c r="AN55" s="569"/>
      <c r="AO55" s="569"/>
      <c r="AP55" s="569"/>
      <c r="AQ55" s="569"/>
      <c r="AR55" s="569"/>
      <c r="AS55" s="569"/>
      <c r="AT55" s="538">
        <f t="shared" si="8"/>
        <v>30357</v>
      </c>
      <c r="AU55" s="538"/>
      <c r="AV55" s="538"/>
      <c r="AW55" s="538"/>
      <c r="AX55" s="538"/>
      <c r="AY55" s="538"/>
      <c r="AZ55" s="538"/>
      <c r="BA55" s="538"/>
      <c r="BB55" s="538"/>
      <c r="BC55" s="538"/>
      <c r="BD55" s="538"/>
      <c r="BE55" s="538"/>
      <c r="BF55" s="538"/>
      <c r="BG55" s="538"/>
      <c r="BH55" s="538"/>
      <c r="BI55" s="538"/>
      <c r="BJ55" s="538"/>
      <c r="BK55" s="570">
        <v>6857</v>
      </c>
      <c r="BL55" s="570"/>
      <c r="BM55" s="570"/>
      <c r="BN55" s="570"/>
      <c r="BO55" s="570"/>
      <c r="BP55" s="570"/>
      <c r="BQ55" s="570"/>
      <c r="BR55" s="570"/>
      <c r="BS55" s="570"/>
      <c r="BT55" s="570"/>
      <c r="BU55" s="570"/>
      <c r="BV55" s="570"/>
      <c r="BW55" s="570"/>
      <c r="BX55" s="570"/>
      <c r="BY55" s="570"/>
      <c r="BZ55" s="570"/>
      <c r="CA55" s="570"/>
      <c r="CB55" s="570"/>
      <c r="CC55" s="569"/>
      <c r="CD55" s="569"/>
      <c r="CE55" s="569"/>
      <c r="CF55" s="569"/>
      <c r="CG55" s="569"/>
      <c r="CH55" s="569"/>
      <c r="CI55" s="569"/>
      <c r="CJ55" s="569"/>
      <c r="CK55" s="569"/>
      <c r="CL55" s="569"/>
      <c r="CM55" s="569"/>
      <c r="CN55" s="569"/>
      <c r="CO55" s="569"/>
      <c r="CP55" s="569"/>
      <c r="CQ55" s="569"/>
      <c r="CR55" s="569"/>
      <c r="CS55" s="569"/>
      <c r="CT55" s="569"/>
      <c r="CU55" s="569"/>
      <c r="CV55" s="562">
        <v>23500</v>
      </c>
      <c r="CW55" s="563"/>
      <c r="CX55" s="563"/>
      <c r="CY55" s="563"/>
      <c r="CZ55" s="563"/>
      <c r="DA55" s="563"/>
      <c r="DB55" s="563"/>
      <c r="DC55" s="563"/>
      <c r="DD55" s="563"/>
      <c r="DE55" s="563"/>
      <c r="DF55" s="563"/>
      <c r="DG55" s="563"/>
      <c r="DH55" s="563"/>
      <c r="DI55" s="563"/>
      <c r="DJ55" s="563"/>
      <c r="DK55" s="563"/>
      <c r="DL55" s="563"/>
      <c r="DM55" s="564"/>
      <c r="DN55" s="538">
        <f t="shared" si="9"/>
        <v>24285.600000000002</v>
      </c>
      <c r="DO55" s="538"/>
      <c r="DP55" s="538"/>
      <c r="DQ55" s="538"/>
      <c r="DR55" s="538"/>
      <c r="DS55" s="538"/>
      <c r="DT55" s="538"/>
      <c r="DU55" s="538"/>
      <c r="DV55" s="538"/>
      <c r="DW55" s="538"/>
      <c r="DX55" s="538"/>
      <c r="DY55" s="538"/>
      <c r="DZ55" s="538"/>
      <c r="EA55" s="538"/>
      <c r="EB55" s="538"/>
      <c r="EC55" s="538"/>
      <c r="ED55" s="538">
        <f t="shared" si="10"/>
        <v>15178.5</v>
      </c>
      <c r="EE55" s="538"/>
      <c r="EF55" s="538"/>
      <c r="EG55" s="538"/>
      <c r="EH55" s="538"/>
      <c r="EI55" s="538"/>
      <c r="EJ55" s="538"/>
      <c r="EK55" s="538"/>
      <c r="EL55" s="538"/>
      <c r="EM55" s="538"/>
      <c r="EN55" s="538"/>
      <c r="EO55" s="538"/>
      <c r="EP55" s="538"/>
      <c r="EQ55" s="538"/>
      <c r="ER55" s="538"/>
      <c r="ES55" s="538"/>
      <c r="ET55" s="538">
        <f t="shared" si="11"/>
        <v>837853.20000000007</v>
      </c>
      <c r="EU55" s="538"/>
      <c r="EV55" s="538"/>
      <c r="EW55" s="538"/>
      <c r="EX55" s="538"/>
      <c r="EY55" s="538"/>
      <c r="EZ55" s="538"/>
      <c r="FA55" s="538"/>
      <c r="FB55" s="538"/>
      <c r="FC55" s="538"/>
      <c r="FD55" s="538"/>
      <c r="FE55" s="538"/>
      <c r="FF55" s="538"/>
      <c r="FG55" s="538"/>
      <c r="FH55" s="538"/>
      <c r="FI55" s="538"/>
      <c r="FJ55" s="538"/>
      <c r="FK55" s="171"/>
      <c r="FM55" s="60"/>
      <c r="FN55" s="171"/>
      <c r="FO55" s="60"/>
      <c r="FP55" s="60"/>
    </row>
    <row r="56" spans="1:178" s="16" customFormat="1" ht="13.2" customHeight="1" x14ac:dyDescent="0.3">
      <c r="A56" s="571" t="s">
        <v>523</v>
      </c>
      <c r="B56" s="571"/>
      <c r="C56" s="571"/>
      <c r="D56" s="571"/>
      <c r="E56" s="571"/>
      <c r="F56" s="571"/>
      <c r="G56" s="572" t="s">
        <v>898</v>
      </c>
      <c r="H56" s="572"/>
      <c r="I56" s="572"/>
      <c r="J56" s="572"/>
      <c r="K56" s="572"/>
      <c r="L56" s="572"/>
      <c r="M56" s="572"/>
      <c r="N56" s="572"/>
      <c r="O56" s="572"/>
      <c r="P56" s="572"/>
      <c r="Q56" s="572"/>
      <c r="R56" s="572"/>
      <c r="S56" s="572"/>
      <c r="T56" s="572"/>
      <c r="U56" s="572"/>
      <c r="V56" s="572"/>
      <c r="W56" s="572"/>
      <c r="X56" s="572"/>
      <c r="Y56" s="572"/>
      <c r="Z56" s="572"/>
      <c r="AA56" s="572"/>
      <c r="AB56" s="572"/>
      <c r="AC56" s="572"/>
      <c r="AD56" s="569">
        <v>2</v>
      </c>
      <c r="AE56" s="569"/>
      <c r="AF56" s="569"/>
      <c r="AG56" s="569"/>
      <c r="AH56" s="569"/>
      <c r="AI56" s="569"/>
      <c r="AJ56" s="569"/>
      <c r="AK56" s="569"/>
      <c r="AL56" s="569"/>
      <c r="AM56" s="569"/>
      <c r="AN56" s="569"/>
      <c r="AO56" s="569"/>
      <c r="AP56" s="569"/>
      <c r="AQ56" s="569"/>
      <c r="AR56" s="569"/>
      <c r="AS56" s="569"/>
      <c r="AT56" s="538">
        <f t="shared" si="8"/>
        <v>30357</v>
      </c>
      <c r="AU56" s="538"/>
      <c r="AV56" s="538"/>
      <c r="AW56" s="538"/>
      <c r="AX56" s="538"/>
      <c r="AY56" s="538"/>
      <c r="AZ56" s="538"/>
      <c r="BA56" s="538"/>
      <c r="BB56" s="538"/>
      <c r="BC56" s="538"/>
      <c r="BD56" s="538"/>
      <c r="BE56" s="538"/>
      <c r="BF56" s="538"/>
      <c r="BG56" s="538"/>
      <c r="BH56" s="538"/>
      <c r="BI56" s="538"/>
      <c r="BJ56" s="538"/>
      <c r="BK56" s="570">
        <v>6857</v>
      </c>
      <c r="BL56" s="570"/>
      <c r="BM56" s="570"/>
      <c r="BN56" s="570"/>
      <c r="BO56" s="570"/>
      <c r="BP56" s="570"/>
      <c r="BQ56" s="570"/>
      <c r="BR56" s="570"/>
      <c r="BS56" s="570"/>
      <c r="BT56" s="570"/>
      <c r="BU56" s="570"/>
      <c r="BV56" s="570"/>
      <c r="BW56" s="570"/>
      <c r="BX56" s="570"/>
      <c r="BY56" s="570"/>
      <c r="BZ56" s="570"/>
      <c r="CA56" s="570"/>
      <c r="CB56" s="570"/>
      <c r="CC56" s="569"/>
      <c r="CD56" s="569"/>
      <c r="CE56" s="569"/>
      <c r="CF56" s="569"/>
      <c r="CG56" s="569"/>
      <c r="CH56" s="569"/>
      <c r="CI56" s="569"/>
      <c r="CJ56" s="569"/>
      <c r="CK56" s="569"/>
      <c r="CL56" s="569"/>
      <c r="CM56" s="569"/>
      <c r="CN56" s="569"/>
      <c r="CO56" s="569"/>
      <c r="CP56" s="569"/>
      <c r="CQ56" s="569"/>
      <c r="CR56" s="569"/>
      <c r="CS56" s="569"/>
      <c r="CT56" s="569"/>
      <c r="CU56" s="569"/>
      <c r="CV56" s="562">
        <v>23500</v>
      </c>
      <c r="CW56" s="563"/>
      <c r="CX56" s="563"/>
      <c r="CY56" s="563"/>
      <c r="CZ56" s="563"/>
      <c r="DA56" s="563"/>
      <c r="DB56" s="563"/>
      <c r="DC56" s="563"/>
      <c r="DD56" s="563"/>
      <c r="DE56" s="563"/>
      <c r="DF56" s="563"/>
      <c r="DG56" s="563"/>
      <c r="DH56" s="563"/>
      <c r="DI56" s="563"/>
      <c r="DJ56" s="563"/>
      <c r="DK56" s="563"/>
      <c r="DL56" s="563"/>
      <c r="DM56" s="564"/>
      <c r="DN56" s="538">
        <f t="shared" si="9"/>
        <v>24285.600000000002</v>
      </c>
      <c r="DO56" s="538"/>
      <c r="DP56" s="538"/>
      <c r="DQ56" s="538"/>
      <c r="DR56" s="538"/>
      <c r="DS56" s="538"/>
      <c r="DT56" s="538"/>
      <c r="DU56" s="538"/>
      <c r="DV56" s="538"/>
      <c r="DW56" s="538"/>
      <c r="DX56" s="538"/>
      <c r="DY56" s="538"/>
      <c r="DZ56" s="538"/>
      <c r="EA56" s="538"/>
      <c r="EB56" s="538"/>
      <c r="EC56" s="538"/>
      <c r="ED56" s="538">
        <f t="shared" si="10"/>
        <v>15178.5</v>
      </c>
      <c r="EE56" s="538"/>
      <c r="EF56" s="538"/>
      <c r="EG56" s="538"/>
      <c r="EH56" s="538"/>
      <c r="EI56" s="538"/>
      <c r="EJ56" s="538"/>
      <c r="EK56" s="538"/>
      <c r="EL56" s="538"/>
      <c r="EM56" s="538"/>
      <c r="EN56" s="538"/>
      <c r="EO56" s="538"/>
      <c r="EP56" s="538"/>
      <c r="EQ56" s="538"/>
      <c r="ER56" s="538"/>
      <c r="ES56" s="538"/>
      <c r="ET56" s="538">
        <f t="shared" si="11"/>
        <v>1675706.4000000001</v>
      </c>
      <c r="EU56" s="538"/>
      <c r="EV56" s="538"/>
      <c r="EW56" s="538"/>
      <c r="EX56" s="538"/>
      <c r="EY56" s="538"/>
      <c r="EZ56" s="538"/>
      <c r="FA56" s="538"/>
      <c r="FB56" s="538"/>
      <c r="FC56" s="538"/>
      <c r="FD56" s="538"/>
      <c r="FE56" s="538"/>
      <c r="FF56" s="538"/>
      <c r="FG56" s="538"/>
      <c r="FH56" s="538"/>
      <c r="FI56" s="538"/>
      <c r="FJ56" s="538"/>
      <c r="FK56" s="171" t="s">
        <v>517</v>
      </c>
      <c r="FL56" s="16" t="s">
        <v>512</v>
      </c>
      <c r="FM56" s="16" t="s">
        <v>518</v>
      </c>
      <c r="FN56" s="171"/>
      <c r="FO56" s="171" t="s">
        <v>504</v>
      </c>
      <c r="FP56" s="16" t="s">
        <v>909</v>
      </c>
    </row>
    <row r="57" spans="1:178" s="16" customFormat="1" ht="13.2" customHeight="1" x14ac:dyDescent="0.3">
      <c r="A57" s="571" t="s">
        <v>525</v>
      </c>
      <c r="B57" s="571"/>
      <c r="C57" s="571"/>
      <c r="D57" s="571"/>
      <c r="E57" s="571"/>
      <c r="F57" s="571"/>
      <c r="G57" s="572" t="s">
        <v>524</v>
      </c>
      <c r="H57" s="572"/>
      <c r="I57" s="572"/>
      <c r="J57" s="572"/>
      <c r="K57" s="572"/>
      <c r="L57" s="572"/>
      <c r="M57" s="572"/>
      <c r="N57" s="572"/>
      <c r="O57" s="572"/>
      <c r="P57" s="572"/>
      <c r="Q57" s="572"/>
      <c r="R57" s="572"/>
      <c r="S57" s="572"/>
      <c r="T57" s="572"/>
      <c r="U57" s="572"/>
      <c r="V57" s="572"/>
      <c r="W57" s="572"/>
      <c r="X57" s="572"/>
      <c r="Y57" s="572"/>
      <c r="Z57" s="572"/>
      <c r="AA57" s="572"/>
      <c r="AB57" s="572"/>
      <c r="AC57" s="572"/>
      <c r="AD57" s="569">
        <v>1</v>
      </c>
      <c r="AE57" s="569"/>
      <c r="AF57" s="569"/>
      <c r="AG57" s="569"/>
      <c r="AH57" s="569"/>
      <c r="AI57" s="569"/>
      <c r="AJ57" s="569"/>
      <c r="AK57" s="569"/>
      <c r="AL57" s="569"/>
      <c r="AM57" s="569"/>
      <c r="AN57" s="569"/>
      <c r="AO57" s="569"/>
      <c r="AP57" s="569"/>
      <c r="AQ57" s="569"/>
      <c r="AR57" s="569"/>
      <c r="AS57" s="569"/>
      <c r="AT57" s="538">
        <f t="shared" si="8"/>
        <v>29558.0216</v>
      </c>
      <c r="AU57" s="538"/>
      <c r="AV57" s="538"/>
      <c r="AW57" s="538"/>
      <c r="AX57" s="538"/>
      <c r="AY57" s="538"/>
      <c r="AZ57" s="538"/>
      <c r="BA57" s="538"/>
      <c r="BB57" s="538"/>
      <c r="BC57" s="538"/>
      <c r="BD57" s="538"/>
      <c r="BE57" s="538"/>
      <c r="BF57" s="538"/>
      <c r="BG57" s="538"/>
      <c r="BH57" s="538"/>
      <c r="BI57" s="538"/>
      <c r="BJ57" s="538"/>
      <c r="BK57" s="570">
        <v>5963</v>
      </c>
      <c r="BL57" s="570"/>
      <c r="BM57" s="570"/>
      <c r="BN57" s="570"/>
      <c r="BO57" s="570"/>
      <c r="BP57" s="570"/>
      <c r="BQ57" s="570"/>
      <c r="BR57" s="570"/>
      <c r="BS57" s="570"/>
      <c r="BT57" s="570"/>
      <c r="BU57" s="570"/>
      <c r="BV57" s="570"/>
      <c r="BW57" s="570"/>
      <c r="BX57" s="570"/>
      <c r="BY57" s="570"/>
      <c r="BZ57" s="570"/>
      <c r="CA57" s="570"/>
      <c r="CB57" s="570"/>
      <c r="CC57" s="569"/>
      <c r="CD57" s="569"/>
      <c r="CE57" s="569"/>
      <c r="CF57" s="569"/>
      <c r="CG57" s="569"/>
      <c r="CH57" s="569"/>
      <c r="CI57" s="569"/>
      <c r="CJ57" s="569"/>
      <c r="CK57" s="569"/>
      <c r="CL57" s="569"/>
      <c r="CM57" s="569"/>
      <c r="CN57" s="569"/>
      <c r="CO57" s="569"/>
      <c r="CP57" s="569"/>
      <c r="CQ57" s="569"/>
      <c r="CR57" s="569"/>
      <c r="CS57" s="569"/>
      <c r="CT57" s="569"/>
      <c r="CU57" s="569"/>
      <c r="CV57" s="562">
        <v>23595.0216</v>
      </c>
      <c r="CW57" s="563"/>
      <c r="CX57" s="563"/>
      <c r="CY57" s="563"/>
      <c r="CZ57" s="563"/>
      <c r="DA57" s="563"/>
      <c r="DB57" s="563"/>
      <c r="DC57" s="563"/>
      <c r="DD57" s="563"/>
      <c r="DE57" s="563"/>
      <c r="DF57" s="563"/>
      <c r="DG57" s="563"/>
      <c r="DH57" s="563"/>
      <c r="DI57" s="563"/>
      <c r="DJ57" s="563"/>
      <c r="DK57" s="563"/>
      <c r="DL57" s="563"/>
      <c r="DM57" s="564"/>
      <c r="DN57" s="538">
        <f t="shared" si="9"/>
        <v>23646.417280000001</v>
      </c>
      <c r="DO57" s="538"/>
      <c r="DP57" s="538"/>
      <c r="DQ57" s="538"/>
      <c r="DR57" s="538"/>
      <c r="DS57" s="538"/>
      <c r="DT57" s="538"/>
      <c r="DU57" s="538"/>
      <c r="DV57" s="538"/>
      <c r="DW57" s="538"/>
      <c r="DX57" s="538"/>
      <c r="DY57" s="538"/>
      <c r="DZ57" s="538"/>
      <c r="EA57" s="538"/>
      <c r="EB57" s="538"/>
      <c r="EC57" s="538"/>
      <c r="ED57" s="538">
        <f t="shared" si="10"/>
        <v>14779.0108</v>
      </c>
      <c r="EE57" s="538"/>
      <c r="EF57" s="538"/>
      <c r="EG57" s="538"/>
      <c r="EH57" s="538"/>
      <c r="EI57" s="538"/>
      <c r="EJ57" s="538"/>
      <c r="EK57" s="538"/>
      <c r="EL57" s="538"/>
      <c r="EM57" s="538"/>
      <c r="EN57" s="538"/>
      <c r="EO57" s="538"/>
      <c r="EP57" s="538"/>
      <c r="EQ57" s="538"/>
      <c r="ER57" s="538"/>
      <c r="ES57" s="538"/>
      <c r="ET57" s="538">
        <f t="shared" si="11"/>
        <v>815801.39616</v>
      </c>
      <c r="EU57" s="538"/>
      <c r="EV57" s="538"/>
      <c r="EW57" s="538"/>
      <c r="EX57" s="538"/>
      <c r="EY57" s="538"/>
      <c r="EZ57" s="538"/>
      <c r="FA57" s="538"/>
      <c r="FB57" s="538"/>
      <c r="FC57" s="538"/>
      <c r="FD57" s="538"/>
      <c r="FE57" s="538"/>
      <c r="FF57" s="538"/>
      <c r="FG57" s="538"/>
      <c r="FH57" s="538"/>
      <c r="FI57" s="538"/>
      <c r="FJ57" s="538"/>
      <c r="FK57" s="171" t="s">
        <v>517</v>
      </c>
      <c r="FL57" s="16" t="s">
        <v>512</v>
      </c>
      <c r="FM57" s="16" t="s">
        <v>518</v>
      </c>
      <c r="FN57" s="171"/>
      <c r="FO57" s="171"/>
      <c r="FP57" s="171"/>
    </row>
    <row r="58" spans="1:178" s="16" customFormat="1" ht="42" customHeight="1" x14ac:dyDescent="0.3">
      <c r="A58" s="571" t="s">
        <v>526</v>
      </c>
      <c r="B58" s="571"/>
      <c r="C58" s="571"/>
      <c r="D58" s="571"/>
      <c r="E58" s="571"/>
      <c r="F58" s="571"/>
      <c r="G58" s="572" t="s">
        <v>430</v>
      </c>
      <c r="H58" s="572"/>
      <c r="I58" s="572"/>
      <c r="J58" s="572"/>
      <c r="K58" s="572"/>
      <c r="L58" s="572"/>
      <c r="M58" s="572"/>
      <c r="N58" s="572"/>
      <c r="O58" s="572"/>
      <c r="P58" s="572"/>
      <c r="Q58" s="572"/>
      <c r="R58" s="572"/>
      <c r="S58" s="572"/>
      <c r="T58" s="572"/>
      <c r="U58" s="572"/>
      <c r="V58" s="572"/>
      <c r="W58" s="572"/>
      <c r="X58" s="572"/>
      <c r="Y58" s="572"/>
      <c r="Z58" s="572"/>
      <c r="AA58" s="572"/>
      <c r="AB58" s="572"/>
      <c r="AC58" s="572"/>
      <c r="AD58" s="569">
        <v>11</v>
      </c>
      <c r="AE58" s="569"/>
      <c r="AF58" s="569"/>
      <c r="AG58" s="569"/>
      <c r="AH58" s="569"/>
      <c r="AI58" s="569"/>
      <c r="AJ58" s="569"/>
      <c r="AK58" s="569"/>
      <c r="AL58" s="569"/>
      <c r="AM58" s="569"/>
      <c r="AN58" s="569"/>
      <c r="AO58" s="569"/>
      <c r="AP58" s="569"/>
      <c r="AQ58" s="569"/>
      <c r="AR58" s="569"/>
      <c r="AS58" s="569"/>
      <c r="AT58" s="538">
        <f t="shared" si="8"/>
        <v>32097</v>
      </c>
      <c r="AU58" s="538"/>
      <c r="AV58" s="538"/>
      <c r="AW58" s="538"/>
      <c r="AX58" s="538"/>
      <c r="AY58" s="538"/>
      <c r="AZ58" s="538"/>
      <c r="BA58" s="538"/>
      <c r="BB58" s="538"/>
      <c r="BC58" s="538"/>
      <c r="BD58" s="538"/>
      <c r="BE58" s="538"/>
      <c r="BF58" s="538"/>
      <c r="BG58" s="538"/>
      <c r="BH58" s="538"/>
      <c r="BI58" s="538"/>
      <c r="BJ58" s="538"/>
      <c r="BK58" s="570">
        <v>6857</v>
      </c>
      <c r="BL58" s="570"/>
      <c r="BM58" s="570"/>
      <c r="BN58" s="570"/>
      <c r="BO58" s="570"/>
      <c r="BP58" s="570"/>
      <c r="BQ58" s="570"/>
      <c r="BR58" s="570"/>
      <c r="BS58" s="570"/>
      <c r="BT58" s="570"/>
      <c r="BU58" s="570"/>
      <c r="BV58" s="570"/>
      <c r="BW58" s="570"/>
      <c r="BX58" s="570"/>
      <c r="BY58" s="570"/>
      <c r="BZ58" s="570"/>
      <c r="CA58" s="570"/>
      <c r="CB58" s="570"/>
      <c r="CC58" s="569">
        <v>1600</v>
      </c>
      <c r="CD58" s="569"/>
      <c r="CE58" s="569"/>
      <c r="CF58" s="569"/>
      <c r="CG58" s="569"/>
      <c r="CH58" s="569"/>
      <c r="CI58" s="569"/>
      <c r="CJ58" s="569"/>
      <c r="CK58" s="569"/>
      <c r="CL58" s="569"/>
      <c r="CM58" s="569"/>
      <c r="CN58" s="569"/>
      <c r="CO58" s="569"/>
      <c r="CP58" s="569"/>
      <c r="CQ58" s="569"/>
      <c r="CR58" s="569"/>
      <c r="CS58" s="569"/>
      <c r="CT58" s="569"/>
      <c r="CU58" s="569"/>
      <c r="CV58" s="562">
        <v>23640</v>
      </c>
      <c r="CW58" s="563"/>
      <c r="CX58" s="563"/>
      <c r="CY58" s="563"/>
      <c r="CZ58" s="563"/>
      <c r="DA58" s="563"/>
      <c r="DB58" s="563"/>
      <c r="DC58" s="563"/>
      <c r="DD58" s="563"/>
      <c r="DE58" s="563"/>
      <c r="DF58" s="563"/>
      <c r="DG58" s="563"/>
      <c r="DH58" s="563"/>
      <c r="DI58" s="563"/>
      <c r="DJ58" s="563"/>
      <c r="DK58" s="563"/>
      <c r="DL58" s="563"/>
      <c r="DM58" s="564"/>
      <c r="DN58" s="538">
        <f t="shared" si="9"/>
        <v>25677.600000000002</v>
      </c>
      <c r="DO58" s="538"/>
      <c r="DP58" s="538"/>
      <c r="DQ58" s="538"/>
      <c r="DR58" s="538"/>
      <c r="DS58" s="538"/>
      <c r="DT58" s="538"/>
      <c r="DU58" s="538"/>
      <c r="DV58" s="538"/>
      <c r="DW58" s="538"/>
      <c r="DX58" s="538"/>
      <c r="DY58" s="538"/>
      <c r="DZ58" s="538"/>
      <c r="EA58" s="538"/>
      <c r="EB58" s="538"/>
      <c r="EC58" s="538"/>
      <c r="ED58" s="538">
        <f t="shared" si="10"/>
        <v>16048.5</v>
      </c>
      <c r="EE58" s="538"/>
      <c r="EF58" s="538"/>
      <c r="EG58" s="538"/>
      <c r="EH58" s="538"/>
      <c r="EI58" s="538"/>
      <c r="EJ58" s="538"/>
      <c r="EK58" s="538"/>
      <c r="EL58" s="538"/>
      <c r="EM58" s="538"/>
      <c r="EN58" s="538"/>
      <c r="EO58" s="538"/>
      <c r="EP58" s="538"/>
      <c r="EQ58" s="538"/>
      <c r="ER58" s="538"/>
      <c r="ES58" s="538"/>
      <c r="ET58" s="538">
        <f t="shared" si="11"/>
        <v>9744649.2000000011</v>
      </c>
      <c r="EU58" s="538"/>
      <c r="EV58" s="538"/>
      <c r="EW58" s="538"/>
      <c r="EX58" s="538"/>
      <c r="EY58" s="538"/>
      <c r="EZ58" s="538"/>
      <c r="FA58" s="538"/>
      <c r="FB58" s="538"/>
      <c r="FC58" s="538"/>
      <c r="FD58" s="538"/>
      <c r="FE58" s="538"/>
      <c r="FF58" s="538"/>
      <c r="FG58" s="538"/>
      <c r="FH58" s="538"/>
      <c r="FI58" s="538"/>
      <c r="FJ58" s="538"/>
      <c r="FK58" s="171" t="e">
        <f>55765*14*12+#REF!</f>
        <v>#REF!</v>
      </c>
      <c r="FL58" s="60" t="e">
        <f>ET57+ET58+ET55+#REF!+#REF!</f>
        <v>#REF!</v>
      </c>
      <c r="FM58" s="60" t="e">
        <f>FL58/12/14</f>
        <v>#REF!</v>
      </c>
      <c r="FN58" s="171"/>
      <c r="FO58" s="171">
        <f>72633.39*15*12</f>
        <v>13074010.200000001</v>
      </c>
      <c r="FP58" s="60">
        <f>ET55+ET56+ET57+ET58</f>
        <v>13074010.196160002</v>
      </c>
    </row>
    <row r="59" spans="1:178" s="16" customFormat="1" ht="13.2" customHeight="1" x14ac:dyDescent="0.3">
      <c r="A59" s="571" t="s">
        <v>530</v>
      </c>
      <c r="B59" s="571"/>
      <c r="C59" s="571"/>
      <c r="D59" s="571"/>
      <c r="E59" s="571"/>
      <c r="F59" s="571"/>
      <c r="G59" s="572" t="s">
        <v>527</v>
      </c>
      <c r="H59" s="572"/>
      <c r="I59" s="572"/>
      <c r="J59" s="572"/>
      <c r="K59" s="572"/>
      <c r="L59" s="572"/>
      <c r="M59" s="572"/>
      <c r="N59" s="572"/>
      <c r="O59" s="572"/>
      <c r="P59" s="572"/>
      <c r="Q59" s="572"/>
      <c r="R59" s="572"/>
      <c r="S59" s="572"/>
      <c r="T59" s="572"/>
      <c r="U59" s="572"/>
      <c r="V59" s="572"/>
      <c r="W59" s="572"/>
      <c r="X59" s="572"/>
      <c r="Y59" s="572"/>
      <c r="Z59" s="572"/>
      <c r="AA59" s="572"/>
      <c r="AB59" s="572"/>
      <c r="AC59" s="572"/>
      <c r="AD59" s="569">
        <v>12</v>
      </c>
      <c r="AE59" s="569"/>
      <c r="AF59" s="569"/>
      <c r="AG59" s="569"/>
      <c r="AH59" s="569"/>
      <c r="AI59" s="569"/>
      <c r="AJ59" s="569"/>
      <c r="AK59" s="569"/>
      <c r="AL59" s="569"/>
      <c r="AM59" s="569"/>
      <c r="AN59" s="569"/>
      <c r="AO59" s="569"/>
      <c r="AP59" s="569"/>
      <c r="AQ59" s="569"/>
      <c r="AR59" s="569"/>
      <c r="AS59" s="569"/>
      <c r="AT59" s="538">
        <f t="shared" si="8"/>
        <v>38407.250700000004</v>
      </c>
      <c r="AU59" s="538"/>
      <c r="AV59" s="538"/>
      <c r="AW59" s="538"/>
      <c r="AX59" s="538"/>
      <c r="AY59" s="538"/>
      <c r="AZ59" s="538"/>
      <c r="BA59" s="538"/>
      <c r="BB59" s="538"/>
      <c r="BC59" s="538"/>
      <c r="BD59" s="538"/>
      <c r="BE59" s="538"/>
      <c r="BF59" s="538"/>
      <c r="BG59" s="538"/>
      <c r="BH59" s="538"/>
      <c r="BI59" s="538"/>
      <c r="BJ59" s="538"/>
      <c r="BK59" s="570">
        <v>7498</v>
      </c>
      <c r="BL59" s="570"/>
      <c r="BM59" s="570"/>
      <c r="BN59" s="570"/>
      <c r="BO59" s="570"/>
      <c r="BP59" s="570"/>
      <c r="BQ59" s="570"/>
      <c r="BR59" s="570"/>
      <c r="BS59" s="570"/>
      <c r="BT59" s="570"/>
      <c r="BU59" s="570"/>
      <c r="BV59" s="570"/>
      <c r="BW59" s="570"/>
      <c r="BX59" s="570"/>
      <c r="BY59" s="570"/>
      <c r="BZ59" s="570"/>
      <c r="CA59" s="570"/>
      <c r="CB59" s="570"/>
      <c r="CC59" s="569"/>
      <c r="CD59" s="569"/>
      <c r="CE59" s="569"/>
      <c r="CF59" s="569"/>
      <c r="CG59" s="569"/>
      <c r="CH59" s="569"/>
      <c r="CI59" s="569"/>
      <c r="CJ59" s="569"/>
      <c r="CK59" s="569"/>
      <c r="CL59" s="569"/>
      <c r="CM59" s="569"/>
      <c r="CN59" s="569"/>
      <c r="CO59" s="569"/>
      <c r="CP59" s="569"/>
      <c r="CQ59" s="569"/>
      <c r="CR59" s="569"/>
      <c r="CS59" s="569"/>
      <c r="CT59" s="569"/>
      <c r="CU59" s="569"/>
      <c r="CV59" s="562">
        <v>30909.250700000001</v>
      </c>
      <c r="CW59" s="563"/>
      <c r="CX59" s="563"/>
      <c r="CY59" s="563"/>
      <c r="CZ59" s="563"/>
      <c r="DA59" s="563"/>
      <c r="DB59" s="563"/>
      <c r="DC59" s="563"/>
      <c r="DD59" s="563"/>
      <c r="DE59" s="563"/>
      <c r="DF59" s="563"/>
      <c r="DG59" s="563"/>
      <c r="DH59" s="563"/>
      <c r="DI59" s="563"/>
      <c r="DJ59" s="563"/>
      <c r="DK59" s="563"/>
      <c r="DL59" s="563"/>
      <c r="DM59" s="564"/>
      <c r="DN59" s="538">
        <f t="shared" si="9"/>
        <v>30725.800560000003</v>
      </c>
      <c r="DO59" s="538"/>
      <c r="DP59" s="538"/>
      <c r="DQ59" s="538"/>
      <c r="DR59" s="538"/>
      <c r="DS59" s="538"/>
      <c r="DT59" s="538"/>
      <c r="DU59" s="538"/>
      <c r="DV59" s="538"/>
      <c r="DW59" s="538"/>
      <c r="DX59" s="538"/>
      <c r="DY59" s="538"/>
      <c r="DZ59" s="538"/>
      <c r="EA59" s="538"/>
      <c r="EB59" s="538"/>
      <c r="EC59" s="538"/>
      <c r="ED59" s="538">
        <f t="shared" si="10"/>
        <v>19203.625350000002</v>
      </c>
      <c r="EE59" s="538"/>
      <c r="EF59" s="538"/>
      <c r="EG59" s="538"/>
      <c r="EH59" s="538"/>
      <c r="EI59" s="538"/>
      <c r="EJ59" s="538"/>
      <c r="EK59" s="538"/>
      <c r="EL59" s="538"/>
      <c r="EM59" s="538"/>
      <c r="EN59" s="538"/>
      <c r="EO59" s="538"/>
      <c r="EP59" s="538"/>
      <c r="EQ59" s="538"/>
      <c r="ER59" s="538"/>
      <c r="ES59" s="538"/>
      <c r="ET59" s="538">
        <f t="shared" si="11"/>
        <v>12720481.431840001</v>
      </c>
      <c r="EU59" s="538"/>
      <c r="EV59" s="538"/>
      <c r="EW59" s="538"/>
      <c r="EX59" s="538"/>
      <c r="EY59" s="538"/>
      <c r="EZ59" s="538"/>
      <c r="FA59" s="538"/>
      <c r="FB59" s="538"/>
      <c r="FC59" s="538"/>
      <c r="FD59" s="538"/>
      <c r="FE59" s="538"/>
      <c r="FF59" s="538"/>
      <c r="FG59" s="538"/>
      <c r="FH59" s="538"/>
      <c r="FI59" s="538"/>
      <c r="FJ59" s="538"/>
      <c r="FK59" s="171" t="s">
        <v>528</v>
      </c>
      <c r="FM59" s="16" t="s">
        <v>529</v>
      </c>
      <c r="FN59" s="171"/>
      <c r="FO59" s="171">
        <f>87400*14.5*12</f>
        <v>15207600</v>
      </c>
      <c r="FP59" s="60">
        <f>ET82+ET59+ET60</f>
        <v>15207599.997239999</v>
      </c>
    </row>
    <row r="60" spans="1:178" s="16" customFormat="1" ht="30" customHeight="1" x14ac:dyDescent="0.3">
      <c r="A60" s="571" t="s">
        <v>621</v>
      </c>
      <c r="B60" s="571"/>
      <c r="C60" s="571"/>
      <c r="D60" s="571"/>
      <c r="E60" s="571"/>
      <c r="F60" s="571"/>
      <c r="G60" s="572" t="s">
        <v>531</v>
      </c>
      <c r="H60" s="572"/>
      <c r="I60" s="572"/>
      <c r="J60" s="572"/>
      <c r="K60" s="572"/>
      <c r="L60" s="572"/>
      <c r="M60" s="572"/>
      <c r="N60" s="572"/>
      <c r="O60" s="572"/>
      <c r="P60" s="572"/>
      <c r="Q60" s="572"/>
      <c r="R60" s="572"/>
      <c r="S60" s="572"/>
      <c r="T60" s="572"/>
      <c r="U60" s="572"/>
      <c r="V60" s="572"/>
      <c r="W60" s="572"/>
      <c r="X60" s="572"/>
      <c r="Y60" s="572"/>
      <c r="Z60" s="572"/>
      <c r="AA60" s="572"/>
      <c r="AB60" s="572"/>
      <c r="AC60" s="572"/>
      <c r="AD60" s="569">
        <v>2</v>
      </c>
      <c r="AE60" s="569"/>
      <c r="AF60" s="569"/>
      <c r="AG60" s="569"/>
      <c r="AH60" s="569"/>
      <c r="AI60" s="569"/>
      <c r="AJ60" s="569"/>
      <c r="AK60" s="569"/>
      <c r="AL60" s="569"/>
      <c r="AM60" s="569"/>
      <c r="AN60" s="569"/>
      <c r="AO60" s="569"/>
      <c r="AP60" s="569"/>
      <c r="AQ60" s="569"/>
      <c r="AR60" s="569"/>
      <c r="AS60" s="569"/>
      <c r="AT60" s="538">
        <f t="shared" si="8"/>
        <v>40028</v>
      </c>
      <c r="AU60" s="538"/>
      <c r="AV60" s="538"/>
      <c r="AW60" s="538"/>
      <c r="AX60" s="538"/>
      <c r="AY60" s="538"/>
      <c r="AZ60" s="538"/>
      <c r="BA60" s="538"/>
      <c r="BB60" s="538"/>
      <c r="BC60" s="538"/>
      <c r="BD60" s="538"/>
      <c r="BE60" s="538"/>
      <c r="BF60" s="538"/>
      <c r="BG60" s="538"/>
      <c r="BH60" s="538"/>
      <c r="BI60" s="538"/>
      <c r="BJ60" s="538"/>
      <c r="BK60" s="570">
        <v>9128</v>
      </c>
      <c r="BL60" s="570"/>
      <c r="BM60" s="570"/>
      <c r="BN60" s="570"/>
      <c r="BO60" s="570"/>
      <c r="BP60" s="570"/>
      <c r="BQ60" s="570"/>
      <c r="BR60" s="570"/>
      <c r="BS60" s="570"/>
      <c r="BT60" s="570"/>
      <c r="BU60" s="570"/>
      <c r="BV60" s="570"/>
      <c r="BW60" s="570"/>
      <c r="BX60" s="570"/>
      <c r="BY60" s="570"/>
      <c r="BZ60" s="570"/>
      <c r="CA60" s="570"/>
      <c r="CB60" s="570"/>
      <c r="CC60" s="569"/>
      <c r="CD60" s="569"/>
      <c r="CE60" s="569"/>
      <c r="CF60" s="569"/>
      <c r="CG60" s="569"/>
      <c r="CH60" s="569"/>
      <c r="CI60" s="569"/>
      <c r="CJ60" s="569"/>
      <c r="CK60" s="569"/>
      <c r="CL60" s="569"/>
      <c r="CM60" s="569"/>
      <c r="CN60" s="569"/>
      <c r="CO60" s="569"/>
      <c r="CP60" s="569"/>
      <c r="CQ60" s="569"/>
      <c r="CR60" s="569"/>
      <c r="CS60" s="569"/>
      <c r="CT60" s="569"/>
      <c r="CU60" s="569"/>
      <c r="CV60" s="562">
        <v>30900</v>
      </c>
      <c r="CW60" s="563"/>
      <c r="CX60" s="563"/>
      <c r="CY60" s="563"/>
      <c r="CZ60" s="563"/>
      <c r="DA60" s="563"/>
      <c r="DB60" s="563"/>
      <c r="DC60" s="563"/>
      <c r="DD60" s="563"/>
      <c r="DE60" s="563"/>
      <c r="DF60" s="563"/>
      <c r="DG60" s="563"/>
      <c r="DH60" s="563"/>
      <c r="DI60" s="563"/>
      <c r="DJ60" s="563"/>
      <c r="DK60" s="563"/>
      <c r="DL60" s="563"/>
      <c r="DM60" s="564"/>
      <c r="DN60" s="538">
        <f t="shared" si="9"/>
        <v>32022.400000000001</v>
      </c>
      <c r="DO60" s="538"/>
      <c r="DP60" s="538"/>
      <c r="DQ60" s="538"/>
      <c r="DR60" s="538"/>
      <c r="DS60" s="538"/>
      <c r="DT60" s="538"/>
      <c r="DU60" s="538"/>
      <c r="DV60" s="538"/>
      <c r="DW60" s="538"/>
      <c r="DX60" s="538"/>
      <c r="DY60" s="538"/>
      <c r="DZ60" s="538"/>
      <c r="EA60" s="538"/>
      <c r="EB60" s="538"/>
      <c r="EC60" s="538"/>
      <c r="ED60" s="538">
        <f t="shared" si="10"/>
        <v>20014</v>
      </c>
      <c r="EE60" s="538"/>
      <c r="EF60" s="538"/>
      <c r="EG60" s="538"/>
      <c r="EH60" s="538"/>
      <c r="EI60" s="538"/>
      <c r="EJ60" s="538"/>
      <c r="EK60" s="538"/>
      <c r="EL60" s="538"/>
      <c r="EM60" s="538"/>
      <c r="EN60" s="538"/>
      <c r="EO60" s="538"/>
      <c r="EP60" s="538"/>
      <c r="EQ60" s="538"/>
      <c r="ER60" s="538"/>
      <c r="ES60" s="538"/>
      <c r="ET60" s="538">
        <f t="shared" si="11"/>
        <v>2209545.5999999996</v>
      </c>
      <c r="EU60" s="538"/>
      <c r="EV60" s="538"/>
      <c r="EW60" s="538"/>
      <c r="EX60" s="538"/>
      <c r="EY60" s="538"/>
      <c r="EZ60" s="538"/>
      <c r="FA60" s="538"/>
      <c r="FB60" s="538"/>
      <c r="FC60" s="538"/>
      <c r="FD60" s="538"/>
      <c r="FE60" s="538"/>
      <c r="FF60" s="538"/>
      <c r="FG60" s="538"/>
      <c r="FH60" s="538"/>
      <c r="FI60" s="538"/>
      <c r="FJ60" s="538"/>
      <c r="FK60" s="171" t="e">
        <f>55765*12.5*12+#REF!-112400</f>
        <v>#REF!</v>
      </c>
      <c r="FL60" s="60" t="e">
        <f>ET60+ET59+ET80+#REF!</f>
        <v>#REF!</v>
      </c>
      <c r="FM60" s="60" t="e">
        <f>ET59+ET60+ET80+#REF!+112400</f>
        <v>#REF!</v>
      </c>
      <c r="FN60" s="171"/>
      <c r="FO60" s="60"/>
      <c r="FP60" s="171"/>
      <c r="FV60" s="171"/>
    </row>
    <row r="61" spans="1:178" s="16" customFormat="1" ht="21" customHeight="1" x14ac:dyDescent="0.3">
      <c r="A61" s="565" t="s">
        <v>257</v>
      </c>
      <c r="B61" s="566"/>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39">
        <f>SUM(AD41:AD60)</f>
        <v>68.05</v>
      </c>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68"/>
      <c r="BL61" s="568"/>
      <c r="BM61" s="568"/>
      <c r="BN61" s="568"/>
      <c r="BO61" s="568"/>
      <c r="BP61" s="568"/>
      <c r="BQ61" s="568"/>
      <c r="BR61" s="568"/>
      <c r="BS61" s="568"/>
      <c r="BT61" s="568"/>
      <c r="BU61" s="568"/>
      <c r="BV61" s="568"/>
      <c r="BW61" s="568"/>
      <c r="BX61" s="568"/>
      <c r="BY61" s="568"/>
      <c r="BZ61" s="568"/>
      <c r="CA61" s="568"/>
      <c r="CB61" s="568"/>
      <c r="CC61" s="539"/>
      <c r="CD61" s="539"/>
      <c r="CE61" s="539"/>
      <c r="CF61" s="539"/>
      <c r="CG61" s="539"/>
      <c r="CH61" s="539"/>
      <c r="CI61" s="539"/>
      <c r="CJ61" s="539"/>
      <c r="CK61" s="539"/>
      <c r="CL61" s="539"/>
      <c r="CM61" s="539"/>
      <c r="CN61" s="539"/>
      <c r="CO61" s="539"/>
      <c r="CP61" s="539"/>
      <c r="CQ61" s="539"/>
      <c r="CR61" s="539"/>
      <c r="CS61" s="539"/>
      <c r="CT61" s="539"/>
      <c r="CU61" s="539"/>
      <c r="CV61" s="540"/>
      <c r="CW61" s="540"/>
      <c r="CX61" s="540"/>
      <c r="CY61" s="540"/>
      <c r="CZ61" s="540"/>
      <c r="DA61" s="540"/>
      <c r="DB61" s="540"/>
      <c r="DC61" s="540"/>
      <c r="DD61" s="540"/>
      <c r="DE61" s="540"/>
      <c r="DF61" s="540"/>
      <c r="DG61" s="540"/>
      <c r="DH61" s="540"/>
      <c r="DI61" s="540"/>
      <c r="DJ61" s="540"/>
      <c r="DK61" s="540"/>
      <c r="DL61" s="540"/>
      <c r="DM61" s="540"/>
      <c r="DN61" s="540"/>
      <c r="DO61" s="540"/>
      <c r="DP61" s="540"/>
      <c r="DQ61" s="540"/>
      <c r="DR61" s="540"/>
      <c r="DS61" s="540"/>
      <c r="DT61" s="540"/>
      <c r="DU61" s="540"/>
      <c r="DV61" s="540"/>
      <c r="DW61" s="540"/>
      <c r="DX61" s="540"/>
      <c r="DY61" s="540"/>
      <c r="DZ61" s="540"/>
      <c r="EA61" s="540"/>
      <c r="EB61" s="540"/>
      <c r="EC61" s="540"/>
      <c r="ED61" s="540"/>
      <c r="EE61" s="540"/>
      <c r="EF61" s="540"/>
      <c r="EG61" s="540"/>
      <c r="EH61" s="540"/>
      <c r="EI61" s="540"/>
      <c r="EJ61" s="540"/>
      <c r="EK61" s="540"/>
      <c r="EL61" s="540"/>
      <c r="EM61" s="540"/>
      <c r="EN61" s="540"/>
      <c r="EO61" s="540"/>
      <c r="EP61" s="540"/>
      <c r="EQ61" s="540"/>
      <c r="ER61" s="540"/>
      <c r="ES61" s="540"/>
      <c r="ET61" s="540">
        <f>SUM(ET41:FJ60)</f>
        <v>65078543.451600015</v>
      </c>
      <c r="EU61" s="540"/>
      <c r="EV61" s="540"/>
      <c r="EW61" s="540"/>
      <c r="EX61" s="540"/>
      <c r="EY61" s="540"/>
      <c r="EZ61" s="540"/>
      <c r="FA61" s="540"/>
      <c r="FB61" s="540"/>
      <c r="FC61" s="540"/>
      <c r="FD61" s="540"/>
      <c r="FE61" s="540"/>
      <c r="FF61" s="540"/>
      <c r="FG61" s="540"/>
      <c r="FH61" s="540"/>
      <c r="FI61" s="540"/>
      <c r="FJ61" s="540"/>
      <c r="FK61" s="171" t="s">
        <v>504</v>
      </c>
      <c r="FL61" s="16" t="s">
        <v>512</v>
      </c>
      <c r="FM61" s="171" t="e">
        <f>FM60/12.5/12</f>
        <v>#REF!</v>
      </c>
      <c r="FN61" s="171"/>
    </row>
    <row r="62" spans="1:178" s="16" customFormat="1" x14ac:dyDescent="0.25">
      <c r="A62" s="607" t="s">
        <v>56</v>
      </c>
      <c r="B62" s="608"/>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9"/>
      <c r="AD62" s="560">
        <f>AD30+AD39+AD61</f>
        <v>94.4</v>
      </c>
      <c r="AE62" s="560"/>
      <c r="AF62" s="560"/>
      <c r="AG62" s="560"/>
      <c r="AH62" s="560"/>
      <c r="AI62" s="560"/>
      <c r="AJ62" s="560"/>
      <c r="AK62" s="560"/>
      <c r="AL62" s="560"/>
      <c r="AM62" s="560"/>
      <c r="AN62" s="560"/>
      <c r="AO62" s="560"/>
      <c r="AP62" s="560"/>
      <c r="AQ62" s="560"/>
      <c r="AR62" s="560"/>
      <c r="AS62" s="560"/>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c r="CA62" s="582"/>
      <c r="CB62" s="582"/>
      <c r="CC62" s="582"/>
      <c r="CD62" s="582"/>
      <c r="CE62" s="582"/>
      <c r="CF62" s="582"/>
      <c r="CG62" s="582"/>
      <c r="CH62" s="582"/>
      <c r="CI62" s="582"/>
      <c r="CJ62" s="582"/>
      <c r="CK62" s="582"/>
      <c r="CL62" s="582"/>
      <c r="CM62" s="582"/>
      <c r="CN62" s="582"/>
      <c r="CO62" s="582"/>
      <c r="CP62" s="582"/>
      <c r="CQ62" s="582"/>
      <c r="CR62" s="582"/>
      <c r="CS62" s="582"/>
      <c r="CT62" s="582"/>
      <c r="CU62" s="582"/>
      <c r="CV62" s="582"/>
      <c r="CW62" s="582"/>
      <c r="CX62" s="582"/>
      <c r="CY62" s="582"/>
      <c r="CZ62" s="582"/>
      <c r="DA62" s="582"/>
      <c r="DB62" s="582"/>
      <c r="DC62" s="582"/>
      <c r="DD62" s="582"/>
      <c r="DE62" s="582"/>
      <c r="DF62" s="582"/>
      <c r="DG62" s="582"/>
      <c r="DH62" s="582"/>
      <c r="DI62" s="582"/>
      <c r="DJ62" s="582"/>
      <c r="DK62" s="582"/>
      <c r="DL62" s="582"/>
      <c r="DM62" s="582"/>
      <c r="DN62" s="582"/>
      <c r="DO62" s="582"/>
      <c r="DP62" s="582"/>
      <c r="DQ62" s="582"/>
      <c r="DR62" s="582"/>
      <c r="DS62" s="582"/>
      <c r="DT62" s="582"/>
      <c r="DU62" s="582"/>
      <c r="DV62" s="582"/>
      <c r="DW62" s="582"/>
      <c r="DX62" s="582"/>
      <c r="DY62" s="582"/>
      <c r="DZ62" s="582"/>
      <c r="EA62" s="582"/>
      <c r="EB62" s="582"/>
      <c r="EC62" s="582"/>
      <c r="ED62" s="582"/>
      <c r="EE62" s="582"/>
      <c r="EF62" s="582"/>
      <c r="EG62" s="582"/>
      <c r="EH62" s="582"/>
      <c r="EI62" s="582"/>
      <c r="EJ62" s="582"/>
      <c r="EK62" s="582"/>
      <c r="EL62" s="582"/>
      <c r="EM62" s="582"/>
      <c r="EN62" s="582"/>
      <c r="EO62" s="582"/>
      <c r="EP62" s="582"/>
      <c r="EQ62" s="582"/>
      <c r="ER62" s="582"/>
      <c r="ES62" s="582"/>
      <c r="ET62" s="611">
        <f>ET30+ET39+ET61</f>
        <v>86813316.758240014</v>
      </c>
      <c r="EU62" s="560"/>
      <c r="EV62" s="560"/>
      <c r="EW62" s="560"/>
      <c r="EX62" s="560"/>
      <c r="EY62" s="560"/>
      <c r="EZ62" s="560"/>
      <c r="FA62" s="560"/>
      <c r="FB62" s="560"/>
      <c r="FC62" s="560"/>
      <c r="FD62" s="560"/>
      <c r="FE62" s="560"/>
      <c r="FF62" s="560"/>
      <c r="FG62" s="560"/>
      <c r="FH62" s="560"/>
      <c r="FI62" s="560"/>
      <c r="FJ62" s="560"/>
      <c r="FK62" s="171">
        <f>57429116.59+263960.18+134802.5+0.03</f>
        <v>57827879.300000004</v>
      </c>
      <c r="FN62" s="152"/>
    </row>
    <row r="63" spans="1:178" x14ac:dyDescent="0.25">
      <c r="ET63" s="610">
        <v>86813316.760000005</v>
      </c>
      <c r="EU63" s="539"/>
      <c r="EV63" s="539"/>
      <c r="EW63" s="539"/>
      <c r="EX63" s="539"/>
      <c r="EY63" s="539"/>
      <c r="EZ63" s="539"/>
      <c r="FA63" s="539"/>
      <c r="FB63" s="539"/>
      <c r="FC63" s="539"/>
      <c r="FD63" s="539"/>
      <c r="FE63" s="539"/>
      <c r="FF63" s="539"/>
      <c r="FG63" s="539"/>
      <c r="FH63" s="539"/>
      <c r="FI63" s="539"/>
      <c r="FJ63" s="539"/>
      <c r="FN63" s="176"/>
      <c r="FO63" s="177"/>
    </row>
    <row r="64" spans="1:178" s="20" customFormat="1" ht="13.8" x14ac:dyDescent="0.25">
      <c r="A64" s="20" t="s">
        <v>47</v>
      </c>
      <c r="AC64" s="595" t="s">
        <v>466</v>
      </c>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595"/>
      <c r="CR64" s="595"/>
      <c r="CS64" s="595"/>
      <c r="CT64" s="595"/>
      <c r="CU64" s="595"/>
      <c r="CV64" s="595"/>
      <c r="CW64" s="595"/>
      <c r="CX64" s="595"/>
      <c r="CY64" s="595"/>
      <c r="CZ64" s="595"/>
      <c r="DA64" s="595"/>
      <c r="DB64" s="595"/>
      <c r="DC64" s="595"/>
      <c r="DD64" s="595"/>
      <c r="DE64" s="595"/>
      <c r="DF64" s="595"/>
      <c r="DG64" s="595"/>
      <c r="DH64" s="595"/>
      <c r="DI64" s="595"/>
      <c r="DJ64" s="595"/>
      <c r="DK64" s="595"/>
      <c r="DL64" s="595"/>
      <c r="DM64" s="595"/>
      <c r="DN64" s="595"/>
      <c r="DO64" s="595"/>
      <c r="DP64" s="595"/>
      <c r="DQ64" s="595"/>
      <c r="DR64" s="595"/>
      <c r="DS64" s="595"/>
      <c r="DT64" s="595"/>
      <c r="DU64" s="595"/>
      <c r="DV64" s="595"/>
      <c r="DW64" s="595"/>
      <c r="DX64" s="595"/>
      <c r="DY64" s="595"/>
      <c r="DZ64" s="595"/>
      <c r="EA64" s="595"/>
      <c r="EB64" s="595"/>
      <c r="EC64" s="595"/>
      <c r="ED64" s="595"/>
      <c r="EE64" s="595"/>
      <c r="EF64" s="595"/>
      <c r="EG64" s="595"/>
      <c r="EH64" s="595"/>
      <c r="EI64" s="595"/>
      <c r="EJ64" s="595"/>
      <c r="EK64" s="595"/>
      <c r="EL64" s="595"/>
      <c r="EM64" s="595"/>
      <c r="EN64" s="595"/>
      <c r="EO64" s="595"/>
      <c r="EP64" s="595"/>
      <c r="EQ64" s="595"/>
      <c r="ER64" s="595"/>
      <c r="ES64" s="595"/>
      <c r="ET64" s="595"/>
      <c r="EU64" s="595"/>
      <c r="EV64" s="595"/>
      <c r="EW64" s="595"/>
      <c r="EX64" s="595"/>
      <c r="EY64" s="595"/>
      <c r="EZ64" s="595"/>
      <c r="FA64" s="595"/>
      <c r="FB64" s="595"/>
      <c r="FC64" s="595"/>
      <c r="FD64" s="595"/>
      <c r="FE64" s="595"/>
      <c r="FF64" s="595"/>
      <c r="FG64" s="595"/>
      <c r="FH64" s="595"/>
      <c r="FI64" s="595"/>
      <c r="FJ64" s="595"/>
      <c r="FK64" s="13" t="s">
        <v>532</v>
      </c>
      <c r="FL64" s="154"/>
      <c r="FN64" s="154"/>
    </row>
    <row r="65" spans="1:170" customFormat="1" ht="14.4" x14ac:dyDescent="0.3">
      <c r="FN65" s="155"/>
    </row>
    <row r="66" spans="1:170" s="20" customFormat="1" ht="13.8" x14ac:dyDescent="0.25">
      <c r="A66" s="594" t="s">
        <v>48</v>
      </c>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6" t="s">
        <v>533</v>
      </c>
      <c r="AV66" s="596"/>
      <c r="AW66" s="596"/>
      <c r="AX66" s="596"/>
      <c r="AY66" s="596"/>
      <c r="AZ66" s="596"/>
      <c r="BA66" s="596"/>
      <c r="BB66" s="596"/>
      <c r="BC66" s="596"/>
      <c r="BD66" s="596"/>
      <c r="BE66" s="596"/>
      <c r="BF66" s="596"/>
      <c r="BG66" s="596"/>
      <c r="BH66" s="596"/>
      <c r="BI66" s="596"/>
      <c r="BJ66" s="596"/>
      <c r="BK66" s="596"/>
      <c r="BL66" s="596"/>
      <c r="BM66" s="596"/>
      <c r="BN66" s="596"/>
      <c r="BO66" s="596"/>
      <c r="BP66" s="596"/>
      <c r="BQ66" s="596"/>
      <c r="BR66" s="596"/>
      <c r="BS66" s="596"/>
      <c r="BT66" s="596"/>
      <c r="BU66" s="596"/>
      <c r="BV66" s="596"/>
      <c r="BW66" s="596"/>
      <c r="BX66" s="596"/>
      <c r="BY66" s="596"/>
      <c r="BZ66" s="596"/>
      <c r="CA66" s="596"/>
      <c r="CB66" s="596"/>
      <c r="CC66" s="596"/>
      <c r="CD66" s="596"/>
      <c r="CE66" s="596"/>
      <c r="CF66" s="596"/>
      <c r="CG66" s="596"/>
      <c r="CH66" s="596"/>
      <c r="CI66" s="596"/>
      <c r="CJ66" s="596"/>
      <c r="CK66" s="596"/>
      <c r="CL66" s="596"/>
      <c r="CM66" s="596"/>
      <c r="CN66" s="596"/>
      <c r="CO66" s="596"/>
      <c r="CP66" s="596"/>
      <c r="CQ66" s="596"/>
      <c r="CR66" s="596"/>
      <c r="CS66" s="596"/>
      <c r="CT66" s="596"/>
      <c r="CU66" s="596"/>
      <c r="CV66" s="596"/>
      <c r="CW66" s="596"/>
      <c r="CX66" s="596"/>
      <c r="CY66" s="596"/>
      <c r="CZ66" s="596"/>
      <c r="DA66" s="596"/>
      <c r="DB66" s="596"/>
      <c r="DC66" s="596"/>
      <c r="DD66" s="596"/>
      <c r="DE66" s="596"/>
      <c r="DF66" s="596"/>
      <c r="DG66" s="596"/>
      <c r="DH66" s="596"/>
      <c r="DI66" s="596"/>
      <c r="DJ66" s="596"/>
      <c r="DK66" s="596"/>
      <c r="DL66" s="596"/>
      <c r="DM66" s="596"/>
      <c r="DN66" s="596"/>
      <c r="DO66" s="596"/>
      <c r="DP66" s="596"/>
      <c r="DQ66" s="596"/>
      <c r="DR66" s="596"/>
      <c r="DS66" s="596"/>
      <c r="DT66" s="596"/>
      <c r="DU66" s="596"/>
      <c r="DV66" s="596"/>
      <c r="DW66" s="596"/>
      <c r="DX66" s="596"/>
      <c r="DY66" s="596"/>
      <c r="DZ66" s="596"/>
      <c r="EA66" s="596"/>
      <c r="EB66" s="596"/>
      <c r="EC66" s="596"/>
      <c r="ED66" s="596"/>
      <c r="EE66" s="596"/>
      <c r="EF66" s="596"/>
      <c r="EG66" s="596"/>
      <c r="EH66" s="596"/>
      <c r="EI66" s="596"/>
      <c r="EJ66" s="596"/>
      <c r="EK66" s="596"/>
      <c r="EL66" s="596"/>
      <c r="EM66" s="596"/>
      <c r="EN66" s="596"/>
      <c r="EO66" s="596"/>
      <c r="EP66" s="596"/>
      <c r="EQ66" s="596"/>
      <c r="ER66" s="596"/>
      <c r="ES66" s="596"/>
      <c r="ET66" s="596"/>
      <c r="EU66" s="596"/>
      <c r="EV66" s="596"/>
      <c r="EW66" s="596"/>
      <c r="EX66" s="596"/>
      <c r="EY66" s="596"/>
      <c r="EZ66" s="596"/>
      <c r="FA66" s="596"/>
      <c r="FB66" s="596"/>
      <c r="FC66" s="596"/>
      <c r="FD66" s="596"/>
      <c r="FE66" s="596"/>
      <c r="FF66" s="596"/>
      <c r="FG66" s="596"/>
      <c r="FH66" s="596"/>
      <c r="FI66" s="596"/>
      <c r="FJ66" s="596"/>
      <c r="FL66" s="154"/>
      <c r="FN66" s="154"/>
    </row>
    <row r="69" spans="1:170" s="18" customFormat="1" ht="12.75" customHeight="1" x14ac:dyDescent="0.3">
      <c r="A69" s="597" t="s">
        <v>49</v>
      </c>
      <c r="B69" s="598"/>
      <c r="C69" s="598"/>
      <c r="D69" s="598"/>
      <c r="E69" s="598"/>
      <c r="F69" s="599"/>
      <c r="G69" s="597" t="s">
        <v>251</v>
      </c>
      <c r="H69" s="598"/>
      <c r="I69" s="598"/>
      <c r="J69" s="598"/>
      <c r="K69" s="598"/>
      <c r="L69" s="598"/>
      <c r="M69" s="598"/>
      <c r="N69" s="598"/>
      <c r="O69" s="598"/>
      <c r="P69" s="598"/>
      <c r="Q69" s="598"/>
      <c r="R69" s="598"/>
      <c r="S69" s="598"/>
      <c r="T69" s="598"/>
      <c r="U69" s="598"/>
      <c r="V69" s="598"/>
      <c r="W69" s="598"/>
      <c r="X69" s="598"/>
      <c r="Y69" s="598"/>
      <c r="Z69" s="598"/>
      <c r="AA69" s="598"/>
      <c r="AB69" s="598"/>
      <c r="AC69" s="599"/>
      <c r="AD69" s="597" t="s">
        <v>50</v>
      </c>
      <c r="AE69" s="598"/>
      <c r="AF69" s="598"/>
      <c r="AG69" s="598"/>
      <c r="AH69" s="598"/>
      <c r="AI69" s="598"/>
      <c r="AJ69" s="598"/>
      <c r="AK69" s="598"/>
      <c r="AL69" s="598"/>
      <c r="AM69" s="598"/>
      <c r="AN69" s="598"/>
      <c r="AO69" s="598"/>
      <c r="AP69" s="598"/>
      <c r="AQ69" s="598"/>
      <c r="AR69" s="598"/>
      <c r="AS69" s="599"/>
      <c r="AT69" s="475" t="s">
        <v>51</v>
      </c>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c r="DK69" s="476"/>
      <c r="DL69" s="476"/>
      <c r="DM69" s="477"/>
      <c r="DN69" s="597" t="s">
        <v>52</v>
      </c>
      <c r="DO69" s="598"/>
      <c r="DP69" s="598"/>
      <c r="DQ69" s="598"/>
      <c r="DR69" s="598"/>
      <c r="DS69" s="598"/>
      <c r="DT69" s="598"/>
      <c r="DU69" s="598"/>
      <c r="DV69" s="598"/>
      <c r="DW69" s="598"/>
      <c r="DX69" s="598"/>
      <c r="DY69" s="598"/>
      <c r="DZ69" s="598"/>
      <c r="EA69" s="598"/>
      <c r="EB69" s="598"/>
      <c r="EC69" s="599"/>
      <c r="ED69" s="597" t="s">
        <v>100</v>
      </c>
      <c r="EE69" s="598"/>
      <c r="EF69" s="598"/>
      <c r="EG69" s="598"/>
      <c r="EH69" s="598"/>
      <c r="EI69" s="598"/>
      <c r="EJ69" s="598"/>
      <c r="EK69" s="598"/>
      <c r="EL69" s="598"/>
      <c r="EM69" s="598"/>
      <c r="EN69" s="598"/>
      <c r="EO69" s="598"/>
      <c r="EP69" s="598"/>
      <c r="EQ69" s="598"/>
      <c r="ER69" s="598"/>
      <c r="ES69" s="599"/>
      <c r="ET69" s="597" t="s">
        <v>101</v>
      </c>
      <c r="EU69" s="598"/>
      <c r="EV69" s="598"/>
      <c r="EW69" s="598"/>
      <c r="EX69" s="598"/>
      <c r="EY69" s="598"/>
      <c r="EZ69" s="598"/>
      <c r="FA69" s="598"/>
      <c r="FB69" s="598"/>
      <c r="FC69" s="598"/>
      <c r="FD69" s="598"/>
      <c r="FE69" s="598"/>
      <c r="FF69" s="598"/>
      <c r="FG69" s="598"/>
      <c r="FH69" s="598"/>
      <c r="FI69" s="598"/>
      <c r="FJ69" s="599"/>
      <c r="FN69" s="178"/>
    </row>
    <row r="70" spans="1:170" s="18" customFormat="1" ht="24.9" customHeight="1" x14ac:dyDescent="0.3">
      <c r="A70" s="600"/>
      <c r="B70" s="601"/>
      <c r="C70" s="601"/>
      <c r="D70" s="601"/>
      <c r="E70" s="601"/>
      <c r="F70" s="602"/>
      <c r="G70" s="600"/>
      <c r="H70" s="601"/>
      <c r="I70" s="601"/>
      <c r="J70" s="601"/>
      <c r="K70" s="601"/>
      <c r="L70" s="601"/>
      <c r="M70" s="601"/>
      <c r="N70" s="601"/>
      <c r="O70" s="601"/>
      <c r="P70" s="601"/>
      <c r="Q70" s="601"/>
      <c r="R70" s="601"/>
      <c r="S70" s="601"/>
      <c r="T70" s="601"/>
      <c r="U70" s="601"/>
      <c r="V70" s="601"/>
      <c r="W70" s="601"/>
      <c r="X70" s="601"/>
      <c r="Y70" s="601"/>
      <c r="Z70" s="601"/>
      <c r="AA70" s="601"/>
      <c r="AB70" s="601"/>
      <c r="AC70" s="602"/>
      <c r="AD70" s="600"/>
      <c r="AE70" s="601"/>
      <c r="AF70" s="601"/>
      <c r="AG70" s="601"/>
      <c r="AH70" s="601"/>
      <c r="AI70" s="601"/>
      <c r="AJ70" s="601"/>
      <c r="AK70" s="601"/>
      <c r="AL70" s="601"/>
      <c r="AM70" s="601"/>
      <c r="AN70" s="601"/>
      <c r="AO70" s="601"/>
      <c r="AP70" s="601"/>
      <c r="AQ70" s="601"/>
      <c r="AR70" s="601"/>
      <c r="AS70" s="602"/>
      <c r="AT70" s="597" t="s">
        <v>2</v>
      </c>
      <c r="AU70" s="598"/>
      <c r="AV70" s="598"/>
      <c r="AW70" s="598"/>
      <c r="AX70" s="598"/>
      <c r="AY70" s="598"/>
      <c r="AZ70" s="598"/>
      <c r="BA70" s="598"/>
      <c r="BB70" s="598"/>
      <c r="BC70" s="598"/>
      <c r="BD70" s="598"/>
      <c r="BE70" s="598"/>
      <c r="BF70" s="598"/>
      <c r="BG70" s="598"/>
      <c r="BH70" s="598"/>
      <c r="BI70" s="598"/>
      <c r="BJ70" s="599"/>
      <c r="BK70" s="475" t="s">
        <v>3</v>
      </c>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c r="DK70" s="476"/>
      <c r="DL70" s="476"/>
      <c r="DM70" s="477"/>
      <c r="DN70" s="600"/>
      <c r="DO70" s="601"/>
      <c r="DP70" s="601"/>
      <c r="DQ70" s="601"/>
      <c r="DR70" s="601"/>
      <c r="DS70" s="601"/>
      <c r="DT70" s="601"/>
      <c r="DU70" s="601"/>
      <c r="DV70" s="601"/>
      <c r="DW70" s="601"/>
      <c r="DX70" s="601"/>
      <c r="DY70" s="601"/>
      <c r="DZ70" s="601"/>
      <c r="EA70" s="601"/>
      <c r="EB70" s="601"/>
      <c r="EC70" s="602"/>
      <c r="ED70" s="600"/>
      <c r="EE70" s="601"/>
      <c r="EF70" s="601"/>
      <c r="EG70" s="601"/>
      <c r="EH70" s="601"/>
      <c r="EI70" s="601"/>
      <c r="EJ70" s="601"/>
      <c r="EK70" s="601"/>
      <c r="EL70" s="601"/>
      <c r="EM70" s="601"/>
      <c r="EN70" s="601"/>
      <c r="EO70" s="601"/>
      <c r="EP70" s="601"/>
      <c r="EQ70" s="601"/>
      <c r="ER70" s="601"/>
      <c r="ES70" s="602"/>
      <c r="ET70" s="600"/>
      <c r="EU70" s="601"/>
      <c r="EV70" s="601"/>
      <c r="EW70" s="601"/>
      <c r="EX70" s="601"/>
      <c r="EY70" s="601"/>
      <c r="EZ70" s="601"/>
      <c r="FA70" s="601"/>
      <c r="FB70" s="601"/>
      <c r="FC70" s="601"/>
      <c r="FD70" s="601"/>
      <c r="FE70" s="601"/>
      <c r="FF70" s="601"/>
      <c r="FG70" s="601"/>
      <c r="FH70" s="601"/>
      <c r="FI70" s="601"/>
      <c r="FJ70" s="602"/>
      <c r="FN70" s="178"/>
    </row>
    <row r="71" spans="1:170" s="18" customFormat="1" ht="45.75" customHeight="1" x14ac:dyDescent="0.3">
      <c r="A71" s="603"/>
      <c r="B71" s="604"/>
      <c r="C71" s="604"/>
      <c r="D71" s="604"/>
      <c r="E71" s="604"/>
      <c r="F71" s="605"/>
      <c r="G71" s="603"/>
      <c r="H71" s="604"/>
      <c r="I71" s="604"/>
      <c r="J71" s="604"/>
      <c r="K71" s="604"/>
      <c r="L71" s="604"/>
      <c r="M71" s="604"/>
      <c r="N71" s="604"/>
      <c r="O71" s="604"/>
      <c r="P71" s="604"/>
      <c r="Q71" s="604"/>
      <c r="R71" s="604"/>
      <c r="S71" s="604"/>
      <c r="T71" s="604"/>
      <c r="U71" s="604"/>
      <c r="V71" s="604"/>
      <c r="W71" s="604"/>
      <c r="X71" s="604"/>
      <c r="Y71" s="604"/>
      <c r="Z71" s="604"/>
      <c r="AA71" s="604"/>
      <c r="AB71" s="604"/>
      <c r="AC71" s="605"/>
      <c r="AD71" s="603"/>
      <c r="AE71" s="604"/>
      <c r="AF71" s="604"/>
      <c r="AG71" s="604"/>
      <c r="AH71" s="604"/>
      <c r="AI71" s="604"/>
      <c r="AJ71" s="604"/>
      <c r="AK71" s="604"/>
      <c r="AL71" s="604"/>
      <c r="AM71" s="604"/>
      <c r="AN71" s="604"/>
      <c r="AO71" s="604"/>
      <c r="AP71" s="604"/>
      <c r="AQ71" s="604"/>
      <c r="AR71" s="604"/>
      <c r="AS71" s="605"/>
      <c r="AT71" s="603"/>
      <c r="AU71" s="604"/>
      <c r="AV71" s="604"/>
      <c r="AW71" s="604"/>
      <c r="AX71" s="604"/>
      <c r="AY71" s="604"/>
      <c r="AZ71" s="604"/>
      <c r="BA71" s="604"/>
      <c r="BB71" s="604"/>
      <c r="BC71" s="604"/>
      <c r="BD71" s="604"/>
      <c r="BE71" s="604"/>
      <c r="BF71" s="604"/>
      <c r="BG71" s="604"/>
      <c r="BH71" s="604"/>
      <c r="BI71" s="604"/>
      <c r="BJ71" s="605"/>
      <c r="BK71" s="606" t="s">
        <v>53</v>
      </c>
      <c r="BL71" s="606"/>
      <c r="BM71" s="606"/>
      <c r="BN71" s="606"/>
      <c r="BO71" s="606"/>
      <c r="BP71" s="606"/>
      <c r="BQ71" s="606"/>
      <c r="BR71" s="606"/>
      <c r="BS71" s="606"/>
      <c r="BT71" s="606"/>
      <c r="BU71" s="606"/>
      <c r="BV71" s="606"/>
      <c r="BW71" s="606"/>
      <c r="BX71" s="606"/>
      <c r="BY71" s="606"/>
      <c r="BZ71" s="606"/>
      <c r="CA71" s="606"/>
      <c r="CB71" s="606"/>
      <c r="CC71" s="606" t="s">
        <v>54</v>
      </c>
      <c r="CD71" s="606"/>
      <c r="CE71" s="606"/>
      <c r="CF71" s="606"/>
      <c r="CG71" s="606"/>
      <c r="CH71" s="606"/>
      <c r="CI71" s="606"/>
      <c r="CJ71" s="606"/>
      <c r="CK71" s="606"/>
      <c r="CL71" s="606"/>
      <c r="CM71" s="606"/>
      <c r="CN71" s="606"/>
      <c r="CO71" s="606"/>
      <c r="CP71" s="606"/>
      <c r="CQ71" s="606"/>
      <c r="CR71" s="606"/>
      <c r="CS71" s="606"/>
      <c r="CT71" s="606"/>
      <c r="CU71" s="606"/>
      <c r="CV71" s="606" t="s">
        <v>55</v>
      </c>
      <c r="CW71" s="606"/>
      <c r="CX71" s="606"/>
      <c r="CY71" s="606"/>
      <c r="CZ71" s="606"/>
      <c r="DA71" s="606"/>
      <c r="DB71" s="606"/>
      <c r="DC71" s="606"/>
      <c r="DD71" s="606"/>
      <c r="DE71" s="606"/>
      <c r="DF71" s="606"/>
      <c r="DG71" s="606"/>
      <c r="DH71" s="606"/>
      <c r="DI71" s="606"/>
      <c r="DJ71" s="606"/>
      <c r="DK71" s="606"/>
      <c r="DL71" s="606"/>
      <c r="DM71" s="606"/>
      <c r="DN71" s="603"/>
      <c r="DO71" s="604"/>
      <c r="DP71" s="604"/>
      <c r="DQ71" s="604"/>
      <c r="DR71" s="604"/>
      <c r="DS71" s="604"/>
      <c r="DT71" s="604"/>
      <c r="DU71" s="604"/>
      <c r="DV71" s="604"/>
      <c r="DW71" s="604"/>
      <c r="DX71" s="604"/>
      <c r="DY71" s="604"/>
      <c r="DZ71" s="604"/>
      <c r="EA71" s="604"/>
      <c r="EB71" s="604"/>
      <c r="EC71" s="605"/>
      <c r="ED71" s="603"/>
      <c r="EE71" s="604"/>
      <c r="EF71" s="604"/>
      <c r="EG71" s="604"/>
      <c r="EH71" s="604"/>
      <c r="EI71" s="604"/>
      <c r="EJ71" s="604"/>
      <c r="EK71" s="604"/>
      <c r="EL71" s="604"/>
      <c r="EM71" s="604"/>
      <c r="EN71" s="604"/>
      <c r="EO71" s="604"/>
      <c r="EP71" s="604"/>
      <c r="EQ71" s="604"/>
      <c r="ER71" s="604"/>
      <c r="ES71" s="605"/>
      <c r="ET71" s="603"/>
      <c r="EU71" s="604"/>
      <c r="EV71" s="604"/>
      <c r="EW71" s="604"/>
      <c r="EX71" s="604"/>
      <c r="EY71" s="604"/>
      <c r="EZ71" s="604"/>
      <c r="FA71" s="604"/>
      <c r="FB71" s="604"/>
      <c r="FC71" s="604"/>
      <c r="FD71" s="604"/>
      <c r="FE71" s="604"/>
      <c r="FF71" s="604"/>
      <c r="FG71" s="604"/>
      <c r="FH71" s="604"/>
      <c r="FI71" s="604"/>
      <c r="FJ71" s="605"/>
      <c r="FN71" s="178"/>
    </row>
    <row r="72" spans="1:170" s="15" customFormat="1" x14ac:dyDescent="0.3">
      <c r="A72" s="591">
        <v>1</v>
      </c>
      <c r="B72" s="591"/>
      <c r="C72" s="591"/>
      <c r="D72" s="591"/>
      <c r="E72" s="591"/>
      <c r="F72" s="591"/>
      <c r="G72" s="591">
        <v>2</v>
      </c>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v>3</v>
      </c>
      <c r="AE72" s="591"/>
      <c r="AF72" s="591"/>
      <c r="AG72" s="591"/>
      <c r="AH72" s="591"/>
      <c r="AI72" s="591"/>
      <c r="AJ72" s="591"/>
      <c r="AK72" s="591"/>
      <c r="AL72" s="591"/>
      <c r="AM72" s="591"/>
      <c r="AN72" s="591"/>
      <c r="AO72" s="591"/>
      <c r="AP72" s="591"/>
      <c r="AQ72" s="591"/>
      <c r="AR72" s="591"/>
      <c r="AS72" s="591"/>
      <c r="AT72" s="591">
        <v>4</v>
      </c>
      <c r="AU72" s="591"/>
      <c r="AV72" s="591"/>
      <c r="AW72" s="591"/>
      <c r="AX72" s="591"/>
      <c r="AY72" s="591"/>
      <c r="AZ72" s="591"/>
      <c r="BA72" s="591"/>
      <c r="BB72" s="591"/>
      <c r="BC72" s="591"/>
      <c r="BD72" s="591"/>
      <c r="BE72" s="591"/>
      <c r="BF72" s="591"/>
      <c r="BG72" s="591"/>
      <c r="BH72" s="591"/>
      <c r="BI72" s="591"/>
      <c r="BJ72" s="591"/>
      <c r="BK72" s="591">
        <v>5</v>
      </c>
      <c r="BL72" s="591"/>
      <c r="BM72" s="591"/>
      <c r="BN72" s="591"/>
      <c r="BO72" s="591"/>
      <c r="BP72" s="591"/>
      <c r="BQ72" s="591"/>
      <c r="BR72" s="591"/>
      <c r="BS72" s="591"/>
      <c r="BT72" s="591"/>
      <c r="BU72" s="591"/>
      <c r="BV72" s="591"/>
      <c r="BW72" s="591"/>
      <c r="BX72" s="591"/>
      <c r="BY72" s="591"/>
      <c r="BZ72" s="591"/>
      <c r="CA72" s="591"/>
      <c r="CB72" s="591"/>
      <c r="CC72" s="591">
        <v>6</v>
      </c>
      <c r="CD72" s="591"/>
      <c r="CE72" s="591"/>
      <c r="CF72" s="591"/>
      <c r="CG72" s="591"/>
      <c r="CH72" s="591"/>
      <c r="CI72" s="591"/>
      <c r="CJ72" s="591"/>
      <c r="CK72" s="591"/>
      <c r="CL72" s="591"/>
      <c r="CM72" s="591"/>
      <c r="CN72" s="591"/>
      <c r="CO72" s="591"/>
      <c r="CP72" s="591"/>
      <c r="CQ72" s="591"/>
      <c r="CR72" s="591"/>
      <c r="CS72" s="591"/>
      <c r="CT72" s="591"/>
      <c r="CU72" s="591"/>
      <c r="CV72" s="591">
        <v>7</v>
      </c>
      <c r="CW72" s="591"/>
      <c r="CX72" s="591"/>
      <c r="CY72" s="591"/>
      <c r="CZ72" s="591"/>
      <c r="DA72" s="591"/>
      <c r="DB72" s="591"/>
      <c r="DC72" s="591"/>
      <c r="DD72" s="591"/>
      <c r="DE72" s="591"/>
      <c r="DF72" s="591"/>
      <c r="DG72" s="591"/>
      <c r="DH72" s="591"/>
      <c r="DI72" s="591"/>
      <c r="DJ72" s="591"/>
      <c r="DK72" s="591"/>
      <c r="DL72" s="591"/>
      <c r="DM72" s="591"/>
      <c r="DN72" s="591">
        <v>8</v>
      </c>
      <c r="DO72" s="591"/>
      <c r="DP72" s="591"/>
      <c r="DQ72" s="591"/>
      <c r="DR72" s="591"/>
      <c r="DS72" s="591"/>
      <c r="DT72" s="591"/>
      <c r="DU72" s="591"/>
      <c r="DV72" s="591"/>
      <c r="DW72" s="591"/>
      <c r="DX72" s="591"/>
      <c r="DY72" s="591"/>
      <c r="DZ72" s="591"/>
      <c r="EA72" s="591"/>
      <c r="EB72" s="591"/>
      <c r="EC72" s="591"/>
      <c r="ED72" s="591">
        <v>9</v>
      </c>
      <c r="EE72" s="591"/>
      <c r="EF72" s="591"/>
      <c r="EG72" s="591"/>
      <c r="EH72" s="591"/>
      <c r="EI72" s="591"/>
      <c r="EJ72" s="591"/>
      <c r="EK72" s="591"/>
      <c r="EL72" s="591"/>
      <c r="EM72" s="591"/>
      <c r="EN72" s="591"/>
      <c r="EO72" s="591"/>
      <c r="EP72" s="591"/>
      <c r="EQ72" s="591"/>
      <c r="ER72" s="591"/>
      <c r="ES72" s="591"/>
      <c r="ET72" s="591">
        <v>10</v>
      </c>
      <c r="EU72" s="591"/>
      <c r="EV72" s="591"/>
      <c r="EW72" s="591"/>
      <c r="EX72" s="591"/>
      <c r="EY72" s="591"/>
      <c r="EZ72" s="591"/>
      <c r="FA72" s="591"/>
      <c r="FB72" s="591"/>
      <c r="FC72" s="591"/>
      <c r="FD72" s="591"/>
      <c r="FE72" s="591"/>
      <c r="FF72" s="591"/>
      <c r="FG72" s="591"/>
      <c r="FH72" s="591"/>
      <c r="FI72" s="591"/>
      <c r="FJ72" s="591"/>
      <c r="FK72" s="179"/>
      <c r="FN72" s="179"/>
    </row>
    <row r="73" spans="1:170" s="16" customFormat="1" ht="15" customHeight="1" x14ac:dyDescent="0.3">
      <c r="A73" s="475" t="s">
        <v>255</v>
      </c>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6"/>
      <c r="CS73" s="476"/>
      <c r="CT73" s="476"/>
      <c r="CU73" s="476"/>
      <c r="CV73" s="476"/>
      <c r="CW73" s="476"/>
      <c r="CX73" s="476"/>
      <c r="CY73" s="476"/>
      <c r="CZ73" s="476"/>
      <c r="DA73" s="476"/>
      <c r="DB73" s="476"/>
      <c r="DC73" s="476"/>
      <c r="DD73" s="476"/>
      <c r="DE73" s="476"/>
      <c r="DF73" s="476"/>
      <c r="DG73" s="476"/>
      <c r="DH73" s="476"/>
      <c r="DI73" s="476"/>
      <c r="DJ73" s="476"/>
      <c r="DK73" s="476"/>
      <c r="DL73" s="476"/>
      <c r="DM73" s="476"/>
      <c r="DN73" s="476"/>
      <c r="DO73" s="476"/>
      <c r="DP73" s="476"/>
      <c r="DQ73" s="476"/>
      <c r="DR73" s="476"/>
      <c r="DS73" s="476"/>
      <c r="DT73" s="476"/>
      <c r="DU73" s="476"/>
      <c r="DV73" s="476"/>
      <c r="DW73" s="476"/>
      <c r="DX73" s="476"/>
      <c r="DY73" s="476"/>
      <c r="DZ73" s="476"/>
      <c r="EA73" s="476"/>
      <c r="EB73" s="476"/>
      <c r="EC73" s="476"/>
      <c r="ED73" s="476"/>
      <c r="EE73" s="476"/>
      <c r="EF73" s="476"/>
      <c r="EG73" s="476"/>
      <c r="EH73" s="476"/>
      <c r="EI73" s="476"/>
      <c r="EJ73" s="476"/>
      <c r="EK73" s="476"/>
      <c r="EL73" s="476"/>
      <c r="EM73" s="476"/>
      <c r="EN73" s="476"/>
      <c r="EO73" s="476"/>
      <c r="EP73" s="476"/>
      <c r="EQ73" s="476"/>
      <c r="ER73" s="476"/>
      <c r="ES73" s="476"/>
      <c r="ET73" s="476"/>
      <c r="EU73" s="476"/>
      <c r="EV73" s="476"/>
      <c r="EW73" s="476"/>
      <c r="EX73" s="476"/>
      <c r="EY73" s="476"/>
      <c r="EZ73" s="476"/>
      <c r="FA73" s="476"/>
      <c r="FB73" s="476"/>
      <c r="FC73" s="476"/>
      <c r="FD73" s="476"/>
      <c r="FE73" s="476"/>
      <c r="FF73" s="476"/>
      <c r="FG73" s="476"/>
      <c r="FH73" s="476"/>
      <c r="FI73" s="476"/>
      <c r="FJ73" s="477"/>
      <c r="FK73" s="171"/>
      <c r="FN73" s="171"/>
    </row>
    <row r="74" spans="1:170" s="16" customFormat="1" ht="13.2" customHeight="1" x14ac:dyDescent="0.3">
      <c r="A74" s="581"/>
      <c r="B74" s="581"/>
      <c r="C74" s="581"/>
      <c r="D74" s="581"/>
      <c r="E74" s="581"/>
      <c r="F74" s="581"/>
      <c r="G74" s="584"/>
      <c r="H74" s="585"/>
      <c r="I74" s="585"/>
      <c r="J74" s="585"/>
      <c r="K74" s="585"/>
      <c r="L74" s="585"/>
      <c r="M74" s="585"/>
      <c r="N74" s="585"/>
      <c r="O74" s="585"/>
      <c r="P74" s="585"/>
      <c r="Q74" s="585"/>
      <c r="R74" s="585"/>
      <c r="S74" s="585"/>
      <c r="T74" s="585"/>
      <c r="U74" s="585"/>
      <c r="V74" s="585"/>
      <c r="W74" s="585"/>
      <c r="X74" s="585"/>
      <c r="Y74" s="585"/>
      <c r="Z74" s="585"/>
      <c r="AA74" s="585"/>
      <c r="AB74" s="585"/>
      <c r="AC74" s="586"/>
      <c r="AD74" s="582"/>
      <c r="AE74" s="582"/>
      <c r="AF74" s="582"/>
      <c r="AG74" s="582"/>
      <c r="AH74" s="582"/>
      <c r="AI74" s="582"/>
      <c r="AJ74" s="582"/>
      <c r="AK74" s="582"/>
      <c r="AL74" s="582"/>
      <c r="AM74" s="582"/>
      <c r="AN74" s="582"/>
      <c r="AO74" s="582"/>
      <c r="AP74" s="582"/>
      <c r="AQ74" s="582"/>
      <c r="AR74" s="582"/>
      <c r="AS74" s="582"/>
      <c r="AT74" s="573">
        <f>BK74+CC74+CV74</f>
        <v>0</v>
      </c>
      <c r="AU74" s="573"/>
      <c r="AV74" s="573"/>
      <c r="AW74" s="573"/>
      <c r="AX74" s="573"/>
      <c r="AY74" s="573"/>
      <c r="AZ74" s="573"/>
      <c r="BA74" s="573"/>
      <c r="BB74" s="573"/>
      <c r="BC74" s="573"/>
      <c r="BD74" s="573"/>
      <c r="BE74" s="573"/>
      <c r="BF74" s="573"/>
      <c r="BG74" s="573"/>
      <c r="BH74" s="573"/>
      <c r="BI74" s="573"/>
      <c r="BJ74" s="573"/>
      <c r="BK74" s="582"/>
      <c r="BL74" s="582"/>
      <c r="BM74" s="582"/>
      <c r="BN74" s="582"/>
      <c r="BO74" s="582"/>
      <c r="BP74" s="582"/>
      <c r="BQ74" s="582"/>
      <c r="BR74" s="582"/>
      <c r="BS74" s="582"/>
      <c r="BT74" s="582"/>
      <c r="BU74" s="582"/>
      <c r="BV74" s="582"/>
      <c r="BW74" s="582"/>
      <c r="BX74" s="582"/>
      <c r="BY74" s="582"/>
      <c r="BZ74" s="582"/>
      <c r="CA74" s="582"/>
      <c r="CB74" s="582"/>
      <c r="CC74" s="573"/>
      <c r="CD74" s="573"/>
      <c r="CE74" s="573"/>
      <c r="CF74" s="573"/>
      <c r="CG74" s="573"/>
      <c r="CH74" s="573"/>
      <c r="CI74" s="573"/>
      <c r="CJ74" s="573"/>
      <c r="CK74" s="573"/>
      <c r="CL74" s="573"/>
      <c r="CM74" s="573"/>
      <c r="CN74" s="573"/>
      <c r="CO74" s="573"/>
      <c r="CP74" s="573"/>
      <c r="CQ74" s="573"/>
      <c r="CR74" s="573"/>
      <c r="CS74" s="573"/>
      <c r="CT74" s="573"/>
      <c r="CU74" s="573"/>
      <c r="CV74" s="573"/>
      <c r="CW74" s="573"/>
      <c r="CX74" s="573"/>
      <c r="CY74" s="573"/>
      <c r="CZ74" s="573"/>
      <c r="DA74" s="573"/>
      <c r="DB74" s="573"/>
      <c r="DC74" s="573"/>
      <c r="DD74" s="573"/>
      <c r="DE74" s="573"/>
      <c r="DF74" s="573"/>
      <c r="DG74" s="573"/>
      <c r="DH74" s="573"/>
      <c r="DI74" s="573"/>
      <c r="DJ74" s="573"/>
      <c r="DK74" s="573"/>
      <c r="DL74" s="573"/>
      <c r="DM74" s="573"/>
      <c r="DN74" s="573">
        <f t="shared" ref="DN74" si="12">AT74*80%</f>
        <v>0</v>
      </c>
      <c r="DO74" s="573"/>
      <c r="DP74" s="573"/>
      <c r="DQ74" s="573"/>
      <c r="DR74" s="573"/>
      <c r="DS74" s="573"/>
      <c r="DT74" s="573"/>
      <c r="DU74" s="573"/>
      <c r="DV74" s="573"/>
      <c r="DW74" s="573"/>
      <c r="DX74" s="573"/>
      <c r="DY74" s="573"/>
      <c r="DZ74" s="573"/>
      <c r="EA74" s="573"/>
      <c r="EB74" s="573"/>
      <c r="EC74" s="573"/>
      <c r="ED74" s="573">
        <f t="shared" ref="ED74" si="13">AT74*50%</f>
        <v>0</v>
      </c>
      <c r="EE74" s="573"/>
      <c r="EF74" s="573"/>
      <c r="EG74" s="573"/>
      <c r="EH74" s="573"/>
      <c r="EI74" s="573"/>
      <c r="EJ74" s="573"/>
      <c r="EK74" s="573"/>
      <c r="EL74" s="573"/>
      <c r="EM74" s="573"/>
      <c r="EN74" s="573"/>
      <c r="EO74" s="573"/>
      <c r="EP74" s="573"/>
      <c r="EQ74" s="573"/>
      <c r="ER74" s="573"/>
      <c r="ES74" s="573"/>
      <c r="ET74" s="573">
        <f>(AT74+DN74+ED74)*12*AD74</f>
        <v>0</v>
      </c>
      <c r="EU74" s="573"/>
      <c r="EV74" s="573"/>
      <c r="EW74" s="573"/>
      <c r="EX74" s="573"/>
      <c r="EY74" s="573"/>
      <c r="EZ74" s="573"/>
      <c r="FA74" s="573"/>
      <c r="FB74" s="573"/>
      <c r="FC74" s="573"/>
      <c r="FD74" s="573"/>
      <c r="FE74" s="573"/>
      <c r="FF74" s="573"/>
      <c r="FG74" s="573"/>
      <c r="FH74" s="573"/>
      <c r="FI74" s="573"/>
      <c r="FJ74" s="573"/>
      <c r="FK74" s="171"/>
      <c r="FN74" s="171"/>
    </row>
    <row r="75" spans="1:170" s="16" customFormat="1" ht="15" customHeight="1" x14ac:dyDescent="0.3">
      <c r="A75" s="557" t="s">
        <v>252</v>
      </c>
      <c r="B75" s="558"/>
      <c r="C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9"/>
      <c r="AD75" s="560">
        <v>0</v>
      </c>
      <c r="AE75" s="560"/>
      <c r="AF75" s="560"/>
      <c r="AG75" s="560"/>
      <c r="AH75" s="560"/>
      <c r="AI75" s="560"/>
      <c r="AJ75" s="560"/>
      <c r="AK75" s="560"/>
      <c r="AL75" s="560"/>
      <c r="AM75" s="560"/>
      <c r="AN75" s="560"/>
      <c r="AO75" s="560"/>
      <c r="AP75" s="560"/>
      <c r="AQ75" s="560"/>
      <c r="AR75" s="560"/>
      <c r="AS75" s="560"/>
      <c r="AT75" s="561"/>
      <c r="AU75" s="561"/>
      <c r="AV75" s="561"/>
      <c r="AW75" s="561"/>
      <c r="AX75" s="561"/>
      <c r="AY75" s="561"/>
      <c r="AZ75" s="561"/>
      <c r="BA75" s="561"/>
      <c r="BB75" s="561"/>
      <c r="BC75" s="561"/>
      <c r="BD75" s="561"/>
      <c r="BE75" s="561"/>
      <c r="BF75" s="561"/>
      <c r="BG75" s="561"/>
      <c r="BH75" s="561"/>
      <c r="BI75" s="561"/>
      <c r="BJ75" s="561"/>
      <c r="BK75" s="560"/>
      <c r="BL75" s="560"/>
      <c r="BM75" s="560"/>
      <c r="BN75" s="560"/>
      <c r="BO75" s="560"/>
      <c r="BP75" s="560"/>
      <c r="BQ75" s="560"/>
      <c r="BR75" s="560"/>
      <c r="BS75" s="560"/>
      <c r="BT75" s="560"/>
      <c r="BU75" s="560"/>
      <c r="BV75" s="560"/>
      <c r="BW75" s="560"/>
      <c r="BX75" s="560"/>
      <c r="BY75" s="560"/>
      <c r="BZ75" s="560"/>
      <c r="CA75" s="560"/>
      <c r="CB75" s="560"/>
      <c r="CC75" s="561"/>
      <c r="CD75" s="561"/>
      <c r="CE75" s="561"/>
      <c r="CF75" s="561"/>
      <c r="CG75" s="561"/>
      <c r="CH75" s="561"/>
      <c r="CI75" s="561"/>
      <c r="CJ75" s="561"/>
      <c r="CK75" s="561"/>
      <c r="CL75" s="561"/>
      <c r="CM75" s="561"/>
      <c r="CN75" s="561"/>
      <c r="CO75" s="561"/>
      <c r="CP75" s="561"/>
      <c r="CQ75" s="561"/>
      <c r="CR75" s="561"/>
      <c r="CS75" s="561"/>
      <c r="CT75" s="561"/>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1"/>
      <c r="EI75" s="561"/>
      <c r="EJ75" s="561"/>
      <c r="EK75" s="561"/>
      <c r="EL75" s="561"/>
      <c r="EM75" s="561"/>
      <c r="EN75" s="561"/>
      <c r="EO75" s="561"/>
      <c r="EP75" s="561"/>
      <c r="EQ75" s="561"/>
      <c r="ER75" s="561"/>
      <c r="ES75" s="561"/>
      <c r="ET75" s="561">
        <f>SUM(ET74:ET74)</f>
        <v>0</v>
      </c>
      <c r="EU75" s="561"/>
      <c r="EV75" s="561"/>
      <c r="EW75" s="561"/>
      <c r="EX75" s="561"/>
      <c r="EY75" s="561"/>
      <c r="EZ75" s="561"/>
      <c r="FA75" s="561"/>
      <c r="FB75" s="561"/>
      <c r="FC75" s="561"/>
      <c r="FD75" s="561"/>
      <c r="FE75" s="561"/>
      <c r="FF75" s="561"/>
      <c r="FG75" s="561"/>
      <c r="FH75" s="561"/>
      <c r="FI75" s="561"/>
      <c r="FJ75" s="561"/>
      <c r="FK75" s="171"/>
      <c r="FN75" s="171"/>
    </row>
    <row r="76" spans="1:170" s="16" customFormat="1" ht="14.25" customHeight="1" x14ac:dyDescent="0.3">
      <c r="A76" s="541" t="s">
        <v>253</v>
      </c>
      <c r="B76" s="542"/>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42"/>
      <c r="BG76" s="542"/>
      <c r="BH76" s="542"/>
      <c r="BI76" s="542"/>
      <c r="BJ76" s="542"/>
      <c r="BK76" s="542"/>
      <c r="BL76" s="542"/>
      <c r="BM76" s="542"/>
      <c r="BN76" s="542"/>
      <c r="BO76" s="542"/>
      <c r="BP76" s="542"/>
      <c r="BQ76" s="542"/>
      <c r="BR76" s="542"/>
      <c r="BS76" s="542"/>
      <c r="BT76" s="542"/>
      <c r="BU76" s="542"/>
      <c r="BV76" s="542"/>
      <c r="BW76" s="542"/>
      <c r="BX76" s="542"/>
      <c r="BY76" s="542"/>
      <c r="BZ76" s="542"/>
      <c r="CA76" s="542"/>
      <c r="CB76" s="542"/>
      <c r="CC76" s="542"/>
      <c r="CD76" s="542"/>
      <c r="CE76" s="542"/>
      <c r="CF76" s="542"/>
      <c r="CG76" s="542"/>
      <c r="CH76" s="542"/>
      <c r="CI76" s="542"/>
      <c r="CJ76" s="542"/>
      <c r="CK76" s="542"/>
      <c r="CL76" s="542"/>
      <c r="CM76" s="542"/>
      <c r="CN76" s="542"/>
      <c r="CO76" s="542"/>
      <c r="CP76" s="542"/>
      <c r="CQ76" s="542"/>
      <c r="CR76" s="542"/>
      <c r="CS76" s="542"/>
      <c r="CT76" s="542"/>
      <c r="CU76" s="542"/>
      <c r="CV76" s="542"/>
      <c r="CW76" s="542"/>
      <c r="CX76" s="542"/>
      <c r="CY76" s="542"/>
      <c r="CZ76" s="542"/>
      <c r="DA76" s="542"/>
      <c r="DB76" s="542"/>
      <c r="DC76" s="542"/>
      <c r="DD76" s="542"/>
      <c r="DE76" s="542"/>
      <c r="DF76" s="542"/>
      <c r="DG76" s="542"/>
      <c r="DH76" s="542"/>
      <c r="DI76" s="542"/>
      <c r="DJ76" s="542"/>
      <c r="DK76" s="542"/>
      <c r="DL76" s="542"/>
      <c r="DM76" s="542"/>
      <c r="DN76" s="542"/>
      <c r="DO76" s="542"/>
      <c r="DP76" s="542"/>
      <c r="DQ76" s="542"/>
      <c r="DR76" s="542"/>
      <c r="DS76" s="542"/>
      <c r="DT76" s="542"/>
      <c r="DU76" s="542"/>
      <c r="DV76" s="542"/>
      <c r="DW76" s="542"/>
      <c r="DX76" s="542"/>
      <c r="DY76" s="542"/>
      <c r="DZ76" s="542"/>
      <c r="EA76" s="542"/>
      <c r="EB76" s="542"/>
      <c r="EC76" s="542"/>
      <c r="ED76" s="542"/>
      <c r="EE76" s="542"/>
      <c r="EF76" s="542"/>
      <c r="EG76" s="542"/>
      <c r="EH76" s="542"/>
      <c r="EI76" s="542"/>
      <c r="EJ76" s="542"/>
      <c r="EK76" s="542"/>
      <c r="EL76" s="542"/>
      <c r="EM76" s="542"/>
      <c r="EN76" s="542"/>
      <c r="EO76" s="542"/>
      <c r="EP76" s="542"/>
      <c r="EQ76" s="542"/>
      <c r="ER76" s="542"/>
      <c r="ES76" s="542"/>
      <c r="ET76" s="542"/>
      <c r="EU76" s="542"/>
      <c r="EV76" s="542"/>
      <c r="EW76" s="542"/>
      <c r="EX76" s="542"/>
      <c r="EY76" s="542"/>
      <c r="EZ76" s="542"/>
      <c r="FA76" s="542"/>
      <c r="FB76" s="542"/>
      <c r="FC76" s="542"/>
      <c r="FD76" s="542"/>
      <c r="FE76" s="542"/>
      <c r="FF76" s="542"/>
      <c r="FG76" s="542"/>
      <c r="FH76" s="542"/>
      <c r="FI76" s="542"/>
      <c r="FJ76" s="543"/>
      <c r="FK76" s="171"/>
      <c r="FN76" s="171"/>
    </row>
    <row r="77" spans="1:170" s="16" customFormat="1" x14ac:dyDescent="0.3">
      <c r="A77" s="553"/>
      <c r="B77" s="554"/>
      <c r="C77" s="554"/>
      <c r="D77" s="554"/>
      <c r="E77" s="554"/>
      <c r="F77" s="555"/>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44"/>
      <c r="AE77" s="545"/>
      <c r="AF77" s="545"/>
      <c r="AG77" s="545"/>
      <c r="AH77" s="545"/>
      <c r="AI77" s="545"/>
      <c r="AJ77" s="545"/>
      <c r="AK77" s="545"/>
      <c r="AL77" s="545"/>
      <c r="AM77" s="545"/>
      <c r="AN77" s="545"/>
      <c r="AO77" s="545"/>
      <c r="AP77" s="545"/>
      <c r="AQ77" s="545"/>
      <c r="AR77" s="545"/>
      <c r="AS77" s="546"/>
      <c r="AT77" s="547">
        <f t="shared" ref="AT77" si="14">BK77+CC77+CV77</f>
        <v>0</v>
      </c>
      <c r="AU77" s="548"/>
      <c r="AV77" s="548"/>
      <c r="AW77" s="548"/>
      <c r="AX77" s="548"/>
      <c r="AY77" s="548"/>
      <c r="AZ77" s="548"/>
      <c r="BA77" s="548"/>
      <c r="BB77" s="548"/>
      <c r="BC77" s="548"/>
      <c r="BD77" s="548"/>
      <c r="BE77" s="548"/>
      <c r="BF77" s="548"/>
      <c r="BG77" s="548"/>
      <c r="BH77" s="548"/>
      <c r="BI77" s="548"/>
      <c r="BJ77" s="549"/>
      <c r="BK77" s="550"/>
      <c r="BL77" s="551"/>
      <c r="BM77" s="551"/>
      <c r="BN77" s="551"/>
      <c r="BO77" s="551"/>
      <c r="BP77" s="551"/>
      <c r="BQ77" s="551"/>
      <c r="BR77" s="551"/>
      <c r="BS77" s="551"/>
      <c r="BT77" s="551"/>
      <c r="BU77" s="551"/>
      <c r="BV77" s="551"/>
      <c r="BW77" s="551"/>
      <c r="BX77" s="551"/>
      <c r="BY77" s="551"/>
      <c r="BZ77" s="551"/>
      <c r="CA77" s="551"/>
      <c r="CB77" s="552"/>
      <c r="CC77" s="547"/>
      <c r="CD77" s="548"/>
      <c r="CE77" s="548"/>
      <c r="CF77" s="548"/>
      <c r="CG77" s="548"/>
      <c r="CH77" s="548"/>
      <c r="CI77" s="548"/>
      <c r="CJ77" s="548"/>
      <c r="CK77" s="548"/>
      <c r="CL77" s="548"/>
      <c r="CM77" s="548"/>
      <c r="CN77" s="548"/>
      <c r="CO77" s="548"/>
      <c r="CP77" s="548"/>
      <c r="CQ77" s="548"/>
      <c r="CR77" s="548"/>
      <c r="CS77" s="548"/>
      <c r="CT77" s="548"/>
      <c r="CU77" s="549"/>
      <c r="CV77" s="547"/>
      <c r="CW77" s="548"/>
      <c r="CX77" s="548"/>
      <c r="CY77" s="548"/>
      <c r="CZ77" s="548"/>
      <c r="DA77" s="548"/>
      <c r="DB77" s="548"/>
      <c r="DC77" s="548"/>
      <c r="DD77" s="548"/>
      <c r="DE77" s="548"/>
      <c r="DF77" s="548"/>
      <c r="DG77" s="548"/>
      <c r="DH77" s="548"/>
      <c r="DI77" s="548"/>
      <c r="DJ77" s="548"/>
      <c r="DK77" s="548"/>
      <c r="DL77" s="548"/>
      <c r="DM77" s="549"/>
      <c r="DN77" s="547">
        <f t="shared" ref="DN77" si="15">AT77*80%</f>
        <v>0</v>
      </c>
      <c r="DO77" s="548"/>
      <c r="DP77" s="548"/>
      <c r="DQ77" s="548"/>
      <c r="DR77" s="548"/>
      <c r="DS77" s="548"/>
      <c r="DT77" s="548"/>
      <c r="DU77" s="548"/>
      <c r="DV77" s="548"/>
      <c r="DW77" s="548"/>
      <c r="DX77" s="548"/>
      <c r="DY77" s="548"/>
      <c r="DZ77" s="548"/>
      <c r="EA77" s="548"/>
      <c r="EB77" s="548"/>
      <c r="EC77" s="549"/>
      <c r="ED77" s="547">
        <f t="shared" ref="ED77" si="16">AT77*50%</f>
        <v>0</v>
      </c>
      <c r="EE77" s="548"/>
      <c r="EF77" s="548"/>
      <c r="EG77" s="548"/>
      <c r="EH77" s="548"/>
      <c r="EI77" s="548"/>
      <c r="EJ77" s="548"/>
      <c r="EK77" s="548"/>
      <c r="EL77" s="548"/>
      <c r="EM77" s="548"/>
      <c r="EN77" s="548"/>
      <c r="EO77" s="548"/>
      <c r="EP77" s="548"/>
      <c r="EQ77" s="548"/>
      <c r="ER77" s="548"/>
      <c r="ES77" s="549"/>
      <c r="ET77" s="547">
        <f t="shared" ref="ET77" si="17">(AT77+DN77+ED77)*12*AD77</f>
        <v>0</v>
      </c>
      <c r="EU77" s="548"/>
      <c r="EV77" s="548"/>
      <c r="EW77" s="548"/>
      <c r="EX77" s="548"/>
      <c r="EY77" s="548"/>
      <c r="EZ77" s="548"/>
      <c r="FA77" s="548"/>
      <c r="FB77" s="548"/>
      <c r="FC77" s="548"/>
      <c r="FD77" s="548"/>
      <c r="FE77" s="548"/>
      <c r="FF77" s="548"/>
      <c r="FG77" s="548"/>
      <c r="FH77" s="548"/>
      <c r="FI77" s="548"/>
      <c r="FJ77" s="549"/>
      <c r="FK77" s="171"/>
      <c r="FN77" s="171"/>
    </row>
    <row r="78" spans="1:170" s="16" customFormat="1" ht="27.75" customHeight="1" x14ac:dyDescent="0.3">
      <c r="A78" s="557" t="s">
        <v>254</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9"/>
      <c r="AD78" s="560">
        <v>0</v>
      </c>
      <c r="AE78" s="560"/>
      <c r="AF78" s="560"/>
      <c r="AG78" s="560"/>
      <c r="AH78" s="560"/>
      <c r="AI78" s="560"/>
      <c r="AJ78" s="560"/>
      <c r="AK78" s="560"/>
      <c r="AL78" s="560"/>
      <c r="AM78" s="560"/>
      <c r="AN78" s="560"/>
      <c r="AO78" s="560"/>
      <c r="AP78" s="560"/>
      <c r="AQ78" s="560"/>
      <c r="AR78" s="560"/>
      <c r="AS78" s="560"/>
      <c r="AT78" s="561"/>
      <c r="AU78" s="561"/>
      <c r="AV78" s="561"/>
      <c r="AW78" s="561"/>
      <c r="AX78" s="561"/>
      <c r="AY78" s="561"/>
      <c r="AZ78" s="561"/>
      <c r="BA78" s="561"/>
      <c r="BB78" s="561"/>
      <c r="BC78" s="561"/>
      <c r="BD78" s="561"/>
      <c r="BE78" s="561"/>
      <c r="BF78" s="561"/>
      <c r="BG78" s="561"/>
      <c r="BH78" s="561"/>
      <c r="BI78" s="561"/>
      <c r="BJ78" s="561"/>
      <c r="BK78" s="560"/>
      <c r="BL78" s="560"/>
      <c r="BM78" s="560"/>
      <c r="BN78" s="560"/>
      <c r="BO78" s="560"/>
      <c r="BP78" s="560"/>
      <c r="BQ78" s="560"/>
      <c r="BR78" s="560"/>
      <c r="BS78" s="560"/>
      <c r="BT78" s="560"/>
      <c r="BU78" s="560"/>
      <c r="BV78" s="560"/>
      <c r="BW78" s="560"/>
      <c r="BX78" s="560"/>
      <c r="BY78" s="560"/>
      <c r="BZ78" s="560"/>
      <c r="CA78" s="560"/>
      <c r="CB78" s="560"/>
      <c r="CC78" s="560"/>
      <c r="CD78" s="560"/>
      <c r="CE78" s="560"/>
      <c r="CF78" s="560"/>
      <c r="CG78" s="560"/>
      <c r="CH78" s="560"/>
      <c r="CI78" s="560"/>
      <c r="CJ78" s="560"/>
      <c r="CK78" s="560"/>
      <c r="CL78" s="560"/>
      <c r="CM78" s="560"/>
      <c r="CN78" s="560"/>
      <c r="CO78" s="560"/>
      <c r="CP78" s="560"/>
      <c r="CQ78" s="560"/>
      <c r="CR78" s="560"/>
      <c r="CS78" s="560"/>
      <c r="CT78" s="560"/>
      <c r="CU78" s="560"/>
      <c r="CV78" s="560"/>
      <c r="CW78" s="560"/>
      <c r="CX78" s="560"/>
      <c r="CY78" s="560"/>
      <c r="CZ78" s="560"/>
      <c r="DA78" s="560"/>
      <c r="DB78" s="560"/>
      <c r="DC78" s="560"/>
      <c r="DD78" s="560"/>
      <c r="DE78" s="560"/>
      <c r="DF78" s="560"/>
      <c r="DG78" s="560"/>
      <c r="DH78" s="560"/>
      <c r="DI78" s="560"/>
      <c r="DJ78" s="560"/>
      <c r="DK78" s="560"/>
      <c r="DL78" s="560"/>
      <c r="DM78" s="560"/>
      <c r="DN78" s="560"/>
      <c r="DO78" s="560"/>
      <c r="DP78" s="560"/>
      <c r="DQ78" s="560"/>
      <c r="DR78" s="560"/>
      <c r="DS78" s="560"/>
      <c r="DT78" s="560"/>
      <c r="DU78" s="560"/>
      <c r="DV78" s="560"/>
      <c r="DW78" s="560"/>
      <c r="DX78" s="560"/>
      <c r="DY78" s="560"/>
      <c r="DZ78" s="560"/>
      <c r="EA78" s="560"/>
      <c r="EB78" s="560"/>
      <c r="EC78" s="560"/>
      <c r="ED78" s="561"/>
      <c r="EE78" s="561"/>
      <c r="EF78" s="561"/>
      <c r="EG78" s="561"/>
      <c r="EH78" s="561"/>
      <c r="EI78" s="561"/>
      <c r="EJ78" s="561"/>
      <c r="EK78" s="561"/>
      <c r="EL78" s="561"/>
      <c r="EM78" s="561"/>
      <c r="EN78" s="561"/>
      <c r="EO78" s="561"/>
      <c r="EP78" s="561"/>
      <c r="EQ78" s="561"/>
      <c r="ER78" s="561"/>
      <c r="ES78" s="561"/>
      <c r="ET78" s="561">
        <f>ET77</f>
        <v>0</v>
      </c>
      <c r="EU78" s="561"/>
      <c r="EV78" s="561"/>
      <c r="EW78" s="561"/>
      <c r="EX78" s="561"/>
      <c r="EY78" s="561"/>
      <c r="EZ78" s="561"/>
      <c r="FA78" s="561"/>
      <c r="FB78" s="561"/>
      <c r="FC78" s="561"/>
      <c r="FD78" s="561"/>
      <c r="FE78" s="561"/>
      <c r="FF78" s="561"/>
      <c r="FG78" s="561"/>
      <c r="FH78" s="561"/>
      <c r="FI78" s="561"/>
      <c r="FJ78" s="561"/>
      <c r="FK78" s="171"/>
      <c r="FN78" s="171"/>
    </row>
    <row r="79" spans="1:170" s="16" customFormat="1" ht="14.25" customHeight="1" x14ac:dyDescent="0.3">
      <c r="A79" s="541" t="s">
        <v>256</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2"/>
      <c r="AW79" s="542"/>
      <c r="AX79" s="542"/>
      <c r="AY79" s="542"/>
      <c r="AZ79" s="542"/>
      <c r="BA79" s="542"/>
      <c r="BB79" s="542"/>
      <c r="BC79" s="542"/>
      <c r="BD79" s="542"/>
      <c r="BE79" s="542"/>
      <c r="BF79" s="542"/>
      <c r="BG79" s="542"/>
      <c r="BH79" s="542"/>
      <c r="BI79" s="542"/>
      <c r="BJ79" s="542"/>
      <c r="BK79" s="542"/>
      <c r="BL79" s="542"/>
      <c r="BM79" s="542"/>
      <c r="BN79" s="542"/>
      <c r="BO79" s="542"/>
      <c r="BP79" s="542"/>
      <c r="BQ79" s="542"/>
      <c r="BR79" s="542"/>
      <c r="BS79" s="542"/>
      <c r="BT79" s="542"/>
      <c r="BU79" s="542"/>
      <c r="BV79" s="542"/>
      <c r="BW79" s="542"/>
      <c r="BX79" s="542"/>
      <c r="BY79" s="542"/>
      <c r="BZ79" s="542"/>
      <c r="CA79" s="542"/>
      <c r="CB79" s="542"/>
      <c r="CC79" s="542"/>
      <c r="CD79" s="542"/>
      <c r="CE79" s="542"/>
      <c r="CF79" s="542"/>
      <c r="CG79" s="542"/>
      <c r="CH79" s="542"/>
      <c r="CI79" s="542"/>
      <c r="CJ79" s="542"/>
      <c r="CK79" s="542"/>
      <c r="CL79" s="542"/>
      <c r="CM79" s="542"/>
      <c r="CN79" s="542"/>
      <c r="CO79" s="542"/>
      <c r="CP79" s="542"/>
      <c r="CQ79" s="542"/>
      <c r="CR79" s="542"/>
      <c r="CS79" s="542"/>
      <c r="CT79" s="542"/>
      <c r="CU79" s="542"/>
      <c r="CV79" s="542"/>
      <c r="CW79" s="542"/>
      <c r="CX79" s="542"/>
      <c r="CY79" s="542"/>
      <c r="CZ79" s="542"/>
      <c r="DA79" s="542"/>
      <c r="DB79" s="542"/>
      <c r="DC79" s="542"/>
      <c r="DD79" s="542"/>
      <c r="DE79" s="542"/>
      <c r="DF79" s="542"/>
      <c r="DG79" s="542"/>
      <c r="DH79" s="542"/>
      <c r="DI79" s="542"/>
      <c r="DJ79" s="542"/>
      <c r="DK79" s="542"/>
      <c r="DL79" s="542"/>
      <c r="DM79" s="542"/>
      <c r="DN79" s="542"/>
      <c r="DO79" s="542"/>
      <c r="DP79" s="542"/>
      <c r="DQ79" s="542"/>
      <c r="DR79" s="542"/>
      <c r="DS79" s="542"/>
      <c r="DT79" s="542"/>
      <c r="DU79" s="542"/>
      <c r="DV79" s="542"/>
      <c r="DW79" s="542"/>
      <c r="DX79" s="542"/>
      <c r="DY79" s="542"/>
      <c r="DZ79" s="542"/>
      <c r="EA79" s="542"/>
      <c r="EB79" s="542"/>
      <c r="EC79" s="542"/>
      <c r="ED79" s="542"/>
      <c r="EE79" s="542"/>
      <c r="EF79" s="542"/>
      <c r="EG79" s="542"/>
      <c r="EH79" s="542"/>
      <c r="EI79" s="542"/>
      <c r="EJ79" s="542"/>
      <c r="EK79" s="542"/>
      <c r="EL79" s="542"/>
      <c r="EM79" s="542"/>
      <c r="EN79" s="542"/>
      <c r="EO79" s="542"/>
      <c r="EP79" s="542"/>
      <c r="EQ79" s="542"/>
      <c r="ER79" s="542"/>
      <c r="ES79" s="542"/>
      <c r="ET79" s="542"/>
      <c r="EU79" s="542"/>
      <c r="EV79" s="542"/>
      <c r="EW79" s="542"/>
      <c r="EX79" s="542"/>
      <c r="EY79" s="542"/>
      <c r="EZ79" s="542"/>
      <c r="FA79" s="542"/>
      <c r="FB79" s="542"/>
      <c r="FC79" s="542"/>
      <c r="FD79" s="542"/>
      <c r="FE79" s="542"/>
      <c r="FF79" s="542"/>
      <c r="FG79" s="542"/>
      <c r="FH79" s="542"/>
      <c r="FI79" s="542"/>
      <c r="FJ79" s="543"/>
      <c r="FK79" s="171"/>
      <c r="FN79" s="171"/>
    </row>
    <row r="80" spans="1:170" s="16" customFormat="1" ht="13.2" customHeight="1" x14ac:dyDescent="0.3">
      <c r="A80" s="616" t="s">
        <v>67</v>
      </c>
      <c r="B80" s="617"/>
      <c r="C80" s="617"/>
      <c r="D80" s="617"/>
      <c r="E80" s="617"/>
      <c r="F80" s="618"/>
      <c r="G80" s="587" t="s">
        <v>527</v>
      </c>
      <c r="H80" s="588"/>
      <c r="I80" s="588"/>
      <c r="J80" s="588"/>
      <c r="K80" s="588"/>
      <c r="L80" s="588"/>
      <c r="M80" s="588"/>
      <c r="N80" s="588"/>
      <c r="O80" s="588"/>
      <c r="P80" s="588"/>
      <c r="Q80" s="588"/>
      <c r="R80" s="588"/>
      <c r="S80" s="588"/>
      <c r="T80" s="588"/>
      <c r="U80" s="588"/>
      <c r="V80" s="588"/>
      <c r="W80" s="588"/>
      <c r="X80" s="588"/>
      <c r="Y80" s="588"/>
      <c r="Z80" s="588"/>
      <c r="AA80" s="588"/>
      <c r="AB80" s="588"/>
      <c r="AC80" s="589"/>
      <c r="AD80" s="619">
        <v>0.5</v>
      </c>
      <c r="AE80" s="620"/>
      <c r="AF80" s="620"/>
      <c r="AG80" s="620"/>
      <c r="AH80" s="620"/>
      <c r="AI80" s="620"/>
      <c r="AJ80" s="620"/>
      <c r="AK80" s="620"/>
      <c r="AL80" s="620"/>
      <c r="AM80" s="620"/>
      <c r="AN80" s="620"/>
      <c r="AO80" s="620"/>
      <c r="AP80" s="620"/>
      <c r="AQ80" s="620"/>
      <c r="AR80" s="620"/>
      <c r="AS80" s="621"/>
      <c r="AT80" s="562">
        <f t="shared" ref="AT80" si="18">BK80+CC80+CV80</f>
        <v>20113.983</v>
      </c>
      <c r="AU80" s="563"/>
      <c r="AV80" s="563"/>
      <c r="AW80" s="563"/>
      <c r="AX80" s="563"/>
      <c r="AY80" s="563"/>
      <c r="AZ80" s="563"/>
      <c r="BA80" s="563"/>
      <c r="BB80" s="563"/>
      <c r="BC80" s="563"/>
      <c r="BD80" s="563"/>
      <c r="BE80" s="563"/>
      <c r="BF80" s="563"/>
      <c r="BG80" s="563"/>
      <c r="BH80" s="563"/>
      <c r="BI80" s="563"/>
      <c r="BJ80" s="564"/>
      <c r="BK80" s="570">
        <v>7498</v>
      </c>
      <c r="BL80" s="570"/>
      <c r="BM80" s="570"/>
      <c r="BN80" s="570"/>
      <c r="BO80" s="570"/>
      <c r="BP80" s="570"/>
      <c r="BQ80" s="570"/>
      <c r="BR80" s="570"/>
      <c r="BS80" s="570"/>
      <c r="BT80" s="570"/>
      <c r="BU80" s="570"/>
      <c r="BV80" s="570"/>
      <c r="BW80" s="570"/>
      <c r="BX80" s="570"/>
      <c r="BY80" s="570"/>
      <c r="BZ80" s="570"/>
      <c r="CA80" s="570"/>
      <c r="CB80" s="570"/>
      <c r="CC80" s="562"/>
      <c r="CD80" s="563"/>
      <c r="CE80" s="563"/>
      <c r="CF80" s="563"/>
      <c r="CG80" s="563"/>
      <c r="CH80" s="563"/>
      <c r="CI80" s="563"/>
      <c r="CJ80" s="563"/>
      <c r="CK80" s="563"/>
      <c r="CL80" s="563"/>
      <c r="CM80" s="563"/>
      <c r="CN80" s="563"/>
      <c r="CO80" s="563"/>
      <c r="CP80" s="563"/>
      <c r="CQ80" s="563"/>
      <c r="CR80" s="563"/>
      <c r="CS80" s="563"/>
      <c r="CT80" s="563"/>
      <c r="CU80" s="564"/>
      <c r="CV80" s="562">
        <v>12615.983</v>
      </c>
      <c r="CW80" s="563"/>
      <c r="CX80" s="563"/>
      <c r="CY80" s="563"/>
      <c r="CZ80" s="563"/>
      <c r="DA80" s="563"/>
      <c r="DB80" s="563"/>
      <c r="DC80" s="563"/>
      <c r="DD80" s="563"/>
      <c r="DE80" s="563"/>
      <c r="DF80" s="563"/>
      <c r="DG80" s="563"/>
      <c r="DH80" s="563"/>
      <c r="DI80" s="563"/>
      <c r="DJ80" s="563"/>
      <c r="DK80" s="563"/>
      <c r="DL80" s="563"/>
      <c r="DM80" s="564"/>
      <c r="DN80" s="562">
        <f t="shared" ref="DN80" si="19">AT80*80%</f>
        <v>16091.186400000001</v>
      </c>
      <c r="DO80" s="563"/>
      <c r="DP80" s="563"/>
      <c r="DQ80" s="563"/>
      <c r="DR80" s="563"/>
      <c r="DS80" s="563"/>
      <c r="DT80" s="563"/>
      <c r="DU80" s="563"/>
      <c r="DV80" s="563"/>
      <c r="DW80" s="563"/>
      <c r="DX80" s="563"/>
      <c r="DY80" s="563"/>
      <c r="DZ80" s="563"/>
      <c r="EA80" s="563"/>
      <c r="EB80" s="563"/>
      <c r="EC80" s="564"/>
      <c r="ED80" s="562">
        <f t="shared" ref="ED80" si="20">AT80*50%</f>
        <v>10056.9915</v>
      </c>
      <c r="EE80" s="563"/>
      <c r="EF80" s="563"/>
      <c r="EG80" s="563"/>
      <c r="EH80" s="563"/>
      <c r="EI80" s="563"/>
      <c r="EJ80" s="563"/>
      <c r="EK80" s="563"/>
      <c r="EL80" s="563"/>
      <c r="EM80" s="563"/>
      <c r="EN80" s="563"/>
      <c r="EO80" s="563"/>
      <c r="EP80" s="563"/>
      <c r="EQ80" s="563"/>
      <c r="ER80" s="563"/>
      <c r="ES80" s="564"/>
      <c r="ET80" s="562">
        <f t="shared" ref="ET80" si="21">(AT80+DN80+ED80)*12*AD80</f>
        <v>277572.96539999999</v>
      </c>
      <c r="EU80" s="563"/>
      <c r="EV80" s="563"/>
      <c r="EW80" s="563"/>
      <c r="EX80" s="563"/>
      <c r="EY80" s="563"/>
      <c r="EZ80" s="563"/>
      <c r="FA80" s="563"/>
      <c r="FB80" s="563"/>
      <c r="FC80" s="563"/>
      <c r="FD80" s="563"/>
      <c r="FE80" s="563"/>
      <c r="FF80" s="563"/>
      <c r="FG80" s="563"/>
      <c r="FH80" s="563"/>
      <c r="FI80" s="563"/>
      <c r="FJ80" s="564"/>
      <c r="FK80" s="180">
        <v>662561.23153200001</v>
      </c>
      <c r="FN80" s="171"/>
    </row>
    <row r="81" spans="1:170" s="16" customFormat="1" x14ac:dyDescent="0.3">
      <c r="A81" s="612" t="s">
        <v>257</v>
      </c>
      <c r="B81" s="613"/>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4"/>
      <c r="AD81" s="537">
        <f>AD80</f>
        <v>0.5</v>
      </c>
      <c r="AE81" s="537"/>
      <c r="AF81" s="537"/>
      <c r="AG81" s="537"/>
      <c r="AH81" s="537"/>
      <c r="AI81" s="537"/>
      <c r="AJ81" s="537"/>
      <c r="AK81" s="537"/>
      <c r="AL81" s="537"/>
      <c r="AM81" s="537"/>
      <c r="AN81" s="537"/>
      <c r="AO81" s="537"/>
      <c r="AP81" s="537"/>
      <c r="AQ81" s="537"/>
      <c r="AR81" s="537"/>
      <c r="AS81" s="537"/>
      <c r="AT81" s="538"/>
      <c r="AU81" s="538"/>
      <c r="AV81" s="538"/>
      <c r="AW81" s="538"/>
      <c r="AX81" s="538"/>
      <c r="AY81" s="538"/>
      <c r="AZ81" s="538"/>
      <c r="BA81" s="538"/>
      <c r="BB81" s="538"/>
      <c r="BC81" s="538"/>
      <c r="BD81" s="538"/>
      <c r="BE81" s="538"/>
      <c r="BF81" s="538"/>
      <c r="BG81" s="538"/>
      <c r="BH81" s="538"/>
      <c r="BI81" s="538"/>
      <c r="BJ81" s="538"/>
      <c r="BK81" s="537"/>
      <c r="BL81" s="537"/>
      <c r="BM81" s="537"/>
      <c r="BN81" s="537"/>
      <c r="BO81" s="537"/>
      <c r="BP81" s="537"/>
      <c r="BQ81" s="537"/>
      <c r="BR81" s="537"/>
      <c r="BS81" s="537"/>
      <c r="BT81" s="537"/>
      <c r="BU81" s="537"/>
      <c r="BV81" s="537"/>
      <c r="BW81" s="537"/>
      <c r="BX81" s="537"/>
      <c r="BY81" s="537"/>
      <c r="BZ81" s="537"/>
      <c r="CA81" s="537"/>
      <c r="CB81" s="537"/>
      <c r="CC81" s="536"/>
      <c r="CD81" s="536"/>
      <c r="CE81" s="536"/>
      <c r="CF81" s="536"/>
      <c r="CG81" s="536"/>
      <c r="CH81" s="536"/>
      <c r="CI81" s="536"/>
      <c r="CJ81" s="536"/>
      <c r="CK81" s="536"/>
      <c r="CL81" s="536"/>
      <c r="CM81" s="536"/>
      <c r="CN81" s="536"/>
      <c r="CO81" s="536"/>
      <c r="CP81" s="536"/>
      <c r="CQ81" s="536"/>
      <c r="CR81" s="536"/>
      <c r="CS81" s="536"/>
      <c r="CT81" s="536"/>
      <c r="CU81" s="536"/>
      <c r="CV81" s="536"/>
      <c r="CW81" s="536"/>
      <c r="CX81" s="536"/>
      <c r="CY81" s="536"/>
      <c r="CZ81" s="536"/>
      <c r="DA81" s="536"/>
      <c r="DB81" s="536"/>
      <c r="DC81" s="536"/>
      <c r="DD81" s="536"/>
      <c r="DE81" s="536"/>
      <c r="DF81" s="536"/>
      <c r="DG81" s="536"/>
      <c r="DH81" s="536"/>
      <c r="DI81" s="536"/>
      <c r="DJ81" s="536"/>
      <c r="DK81" s="536"/>
      <c r="DL81" s="536"/>
      <c r="DM81" s="536"/>
      <c r="DN81" s="538"/>
      <c r="DO81" s="538"/>
      <c r="DP81" s="538"/>
      <c r="DQ81" s="538"/>
      <c r="DR81" s="538"/>
      <c r="DS81" s="538"/>
      <c r="DT81" s="538"/>
      <c r="DU81" s="538"/>
      <c r="DV81" s="538"/>
      <c r="DW81" s="538"/>
      <c r="DX81" s="538"/>
      <c r="DY81" s="538"/>
      <c r="DZ81" s="538"/>
      <c r="EA81" s="538"/>
      <c r="EB81" s="538"/>
      <c r="EC81" s="538"/>
      <c r="ED81" s="538"/>
      <c r="EE81" s="538"/>
      <c r="EF81" s="538"/>
      <c r="EG81" s="538"/>
      <c r="EH81" s="538"/>
      <c r="EI81" s="538"/>
      <c r="EJ81" s="538"/>
      <c r="EK81" s="538"/>
      <c r="EL81" s="538"/>
      <c r="EM81" s="538"/>
      <c r="EN81" s="538"/>
      <c r="EO81" s="538"/>
      <c r="EP81" s="538"/>
      <c r="EQ81" s="538"/>
      <c r="ER81" s="538"/>
      <c r="ES81" s="538"/>
      <c r="ET81" s="536">
        <f>ET80</f>
        <v>277572.96539999999</v>
      </c>
      <c r="EU81" s="536"/>
      <c r="EV81" s="536"/>
      <c r="EW81" s="536"/>
      <c r="EX81" s="536"/>
      <c r="EY81" s="536"/>
      <c r="EZ81" s="536"/>
      <c r="FA81" s="536"/>
      <c r="FB81" s="536"/>
      <c r="FC81" s="536"/>
      <c r="FD81" s="536"/>
      <c r="FE81" s="536"/>
      <c r="FF81" s="536"/>
      <c r="FG81" s="536"/>
      <c r="FH81" s="536"/>
      <c r="FI81" s="536"/>
      <c r="FJ81" s="536"/>
      <c r="FK81" s="171"/>
      <c r="FN81" s="171"/>
    </row>
    <row r="82" spans="1:170" s="16" customFormat="1" x14ac:dyDescent="0.3">
      <c r="A82" s="622" t="s">
        <v>56</v>
      </c>
      <c r="B82" s="623"/>
      <c r="C82" s="623"/>
      <c r="D82" s="623"/>
      <c r="E82" s="623"/>
      <c r="F82" s="623"/>
      <c r="G82" s="623"/>
      <c r="H82" s="623"/>
      <c r="I82" s="623"/>
      <c r="J82" s="623"/>
      <c r="K82" s="623"/>
      <c r="L82" s="623"/>
      <c r="M82" s="623"/>
      <c r="N82" s="623"/>
      <c r="O82" s="623"/>
      <c r="P82" s="623"/>
      <c r="Q82" s="623"/>
      <c r="R82" s="623"/>
      <c r="S82" s="623"/>
      <c r="T82" s="623"/>
      <c r="U82" s="623"/>
      <c r="V82" s="623"/>
      <c r="W82" s="623"/>
      <c r="X82" s="623"/>
      <c r="Y82" s="623"/>
      <c r="Z82" s="623"/>
      <c r="AA82" s="623"/>
      <c r="AB82" s="623"/>
      <c r="AC82" s="624"/>
      <c r="AD82" s="539">
        <f>AD78+AD81</f>
        <v>0.5</v>
      </c>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c r="BB82" s="539"/>
      <c r="BC82" s="539"/>
      <c r="BD82" s="539"/>
      <c r="BE82" s="539"/>
      <c r="BF82" s="539"/>
      <c r="BG82" s="539"/>
      <c r="BH82" s="539"/>
      <c r="BI82" s="539"/>
      <c r="BJ82" s="539"/>
      <c r="BK82" s="539"/>
      <c r="BL82" s="539"/>
      <c r="BM82" s="539"/>
      <c r="BN82" s="539"/>
      <c r="BO82" s="539"/>
      <c r="BP82" s="539"/>
      <c r="BQ82" s="539"/>
      <c r="BR82" s="539"/>
      <c r="BS82" s="539"/>
      <c r="BT82" s="539"/>
      <c r="BU82" s="539"/>
      <c r="BV82" s="539"/>
      <c r="BW82" s="539"/>
      <c r="BX82" s="539"/>
      <c r="BY82" s="539"/>
      <c r="BZ82" s="539"/>
      <c r="CA82" s="539"/>
      <c r="CB82" s="539"/>
      <c r="CC82" s="540"/>
      <c r="CD82" s="540"/>
      <c r="CE82" s="540"/>
      <c r="CF82" s="540"/>
      <c r="CG82" s="540"/>
      <c r="CH82" s="540"/>
      <c r="CI82" s="540"/>
      <c r="CJ82" s="540"/>
      <c r="CK82" s="540"/>
      <c r="CL82" s="540"/>
      <c r="CM82" s="540"/>
      <c r="CN82" s="540"/>
      <c r="CO82" s="540"/>
      <c r="CP82" s="540"/>
      <c r="CQ82" s="540"/>
      <c r="CR82" s="540"/>
      <c r="CS82" s="540"/>
      <c r="CT82" s="540"/>
      <c r="CU82" s="540"/>
      <c r="CV82" s="540"/>
      <c r="CW82" s="540"/>
      <c r="CX82" s="540"/>
      <c r="CY82" s="540"/>
      <c r="CZ82" s="540"/>
      <c r="DA82" s="540"/>
      <c r="DB82" s="540"/>
      <c r="DC82" s="540"/>
      <c r="DD82" s="540"/>
      <c r="DE82" s="540"/>
      <c r="DF82" s="540"/>
      <c r="DG82" s="540"/>
      <c r="DH82" s="540"/>
      <c r="DI82" s="540"/>
      <c r="DJ82" s="540"/>
      <c r="DK82" s="540"/>
      <c r="DL82" s="540"/>
      <c r="DM82" s="540"/>
      <c r="DN82" s="540"/>
      <c r="DO82" s="540"/>
      <c r="DP82" s="540"/>
      <c r="DQ82" s="540"/>
      <c r="DR82" s="540"/>
      <c r="DS82" s="540"/>
      <c r="DT82" s="540"/>
      <c r="DU82" s="540"/>
      <c r="DV82" s="540"/>
      <c r="DW82" s="540"/>
      <c r="DX82" s="540"/>
      <c r="DY82" s="540"/>
      <c r="DZ82" s="540"/>
      <c r="EA82" s="540"/>
      <c r="EB82" s="540"/>
      <c r="EC82" s="540"/>
      <c r="ED82" s="540"/>
      <c r="EE82" s="540"/>
      <c r="EF82" s="540"/>
      <c r="EG82" s="540"/>
      <c r="EH82" s="540"/>
      <c r="EI82" s="540"/>
      <c r="EJ82" s="540"/>
      <c r="EK82" s="540"/>
      <c r="EL82" s="540"/>
      <c r="EM82" s="540"/>
      <c r="EN82" s="540"/>
      <c r="EO82" s="540"/>
      <c r="EP82" s="540"/>
      <c r="EQ82" s="540"/>
      <c r="ER82" s="540"/>
      <c r="ES82" s="540"/>
      <c r="ET82" s="540">
        <f>ET75+ET78+ET81</f>
        <v>277572.96539999999</v>
      </c>
      <c r="EU82" s="540"/>
      <c r="EV82" s="540"/>
      <c r="EW82" s="540"/>
      <c r="EX82" s="540"/>
      <c r="EY82" s="540"/>
      <c r="EZ82" s="540"/>
      <c r="FA82" s="540"/>
      <c r="FB82" s="540"/>
      <c r="FC82" s="540"/>
      <c r="FD82" s="540"/>
      <c r="FE82" s="540"/>
      <c r="FF82" s="540"/>
      <c r="FG82" s="540"/>
      <c r="FH82" s="540"/>
      <c r="FI82" s="540"/>
      <c r="FJ82" s="540"/>
      <c r="FK82" s="171">
        <f>662561.23+47474.34+1730094.42</f>
        <v>2440129.9899999998</v>
      </c>
      <c r="FN82" s="171"/>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81"/>
      <c r="CD83" s="181"/>
      <c r="CE83" s="181"/>
      <c r="CF83" s="181"/>
      <c r="CG83" s="181"/>
      <c r="CH83" s="181"/>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81"/>
      <c r="DF83" s="181"/>
      <c r="DG83" s="181"/>
      <c r="DH83" s="181"/>
      <c r="DI83" s="181"/>
      <c r="DJ83" s="181"/>
      <c r="DK83" s="181"/>
      <c r="DL83" s="181"/>
      <c r="DM83" s="181"/>
      <c r="DN83" s="181"/>
      <c r="DO83" s="181"/>
      <c r="DP83" s="181"/>
      <c r="DQ83" s="181"/>
      <c r="DR83" s="181"/>
      <c r="DS83" s="181"/>
      <c r="DT83" s="181"/>
      <c r="DU83" s="181"/>
      <c r="DV83" s="181"/>
      <c r="DW83" s="181"/>
      <c r="DX83" s="181"/>
      <c r="DY83" s="181"/>
      <c r="DZ83" s="181"/>
      <c r="EA83" s="181"/>
      <c r="EB83" s="181"/>
      <c r="EC83" s="181"/>
      <c r="ED83" s="181"/>
      <c r="EE83" s="181"/>
      <c r="EF83" s="181"/>
      <c r="EG83" s="181"/>
      <c r="EH83" s="181"/>
      <c r="EI83" s="181"/>
      <c r="EJ83" s="181"/>
      <c r="EK83" s="181"/>
      <c r="EL83" s="181"/>
      <c r="EM83" s="181"/>
      <c r="EN83" s="181"/>
      <c r="EO83" s="181"/>
      <c r="EP83" s="181"/>
      <c r="EQ83" s="181"/>
      <c r="ER83" s="181"/>
      <c r="ES83" s="181"/>
      <c r="ET83" s="534"/>
      <c r="EU83" s="534"/>
      <c r="EV83" s="534"/>
      <c r="EW83" s="534"/>
      <c r="EX83" s="534"/>
      <c r="EY83" s="534"/>
      <c r="EZ83" s="534"/>
      <c r="FA83" s="534"/>
      <c r="FB83" s="534"/>
      <c r="FC83" s="534"/>
      <c r="FD83" s="534"/>
      <c r="FE83" s="534"/>
      <c r="FF83" s="534"/>
      <c r="FG83" s="534"/>
      <c r="FH83" s="534"/>
      <c r="FI83" s="534"/>
      <c r="FJ83" s="534"/>
      <c r="FN83" s="171"/>
    </row>
    <row r="85" spans="1:170" x14ac:dyDescent="0.25">
      <c r="ET85" s="615"/>
      <c r="EU85" s="615"/>
      <c r="EV85" s="615"/>
      <c r="EW85" s="615"/>
      <c r="EX85" s="615"/>
      <c r="EY85" s="615"/>
      <c r="EZ85" s="615"/>
      <c r="FA85" s="615"/>
      <c r="FB85" s="615"/>
      <c r="FC85" s="615"/>
      <c r="FD85" s="615"/>
      <c r="FE85" s="615"/>
      <c r="FF85" s="615"/>
      <c r="FG85" s="615"/>
      <c r="FH85" s="615"/>
      <c r="FI85" s="615"/>
      <c r="FJ85" s="615"/>
      <c r="FK85" s="152"/>
      <c r="FL85" s="152"/>
    </row>
    <row r="86" spans="1:170" ht="14.4" x14ac:dyDescent="0.3">
      <c r="AD86" s="526"/>
      <c r="AE86" s="527"/>
      <c r="AF86" s="527"/>
      <c r="AG86" s="527"/>
      <c r="AH86" s="527"/>
      <c r="AI86" s="527"/>
      <c r="AJ86" s="527"/>
      <c r="AK86" s="527"/>
      <c r="AL86" s="527"/>
      <c r="AM86" s="527"/>
      <c r="AN86" s="527"/>
      <c r="AO86" s="527"/>
      <c r="AP86" s="527"/>
      <c r="AQ86" s="527"/>
      <c r="AR86" s="527"/>
      <c r="AS86" s="527"/>
      <c r="DN86" s="528"/>
      <c r="DO86" s="529"/>
      <c r="DP86" s="529"/>
      <c r="DQ86" s="529"/>
      <c r="DR86" s="529"/>
      <c r="DS86" s="529"/>
      <c r="DT86" s="529"/>
      <c r="DU86" s="529"/>
      <c r="DV86" s="529"/>
      <c r="DW86" s="529"/>
      <c r="DX86" s="529"/>
      <c r="DY86" s="529"/>
      <c r="DZ86" s="529"/>
      <c r="EA86" s="529"/>
      <c r="EB86" s="529"/>
      <c r="EC86" s="529"/>
      <c r="ED86" s="529"/>
      <c r="EE86" s="529"/>
      <c r="EF86" s="529"/>
      <c r="EG86" s="529"/>
      <c r="EH86" s="529"/>
      <c r="EI86" s="529"/>
      <c r="EJ86" s="529"/>
      <c r="EK86" s="529"/>
      <c r="EL86" s="529"/>
      <c r="EM86" s="529"/>
      <c r="EN86" s="529"/>
      <c r="EO86" s="529"/>
      <c r="EP86" s="529"/>
      <c r="EQ86" s="529"/>
      <c r="ER86" s="529"/>
      <c r="ES86" s="529"/>
      <c r="ET86" s="533">
        <f>ET82+ET63</f>
        <v>87090889.725400001</v>
      </c>
      <c r="EU86" s="529"/>
      <c r="EV86" s="529"/>
      <c r="EW86" s="529"/>
      <c r="EX86" s="529"/>
      <c r="EY86" s="529"/>
      <c r="EZ86" s="529"/>
      <c r="FA86" s="529"/>
      <c r="FB86" s="529"/>
      <c r="FC86" s="529"/>
      <c r="FD86" s="529"/>
      <c r="FE86" s="529"/>
      <c r="FF86" s="529"/>
      <c r="FG86" s="529"/>
      <c r="FH86" s="529"/>
      <c r="FI86" s="529"/>
      <c r="FJ86" s="529"/>
      <c r="FN86" s="182"/>
    </row>
    <row r="87" spans="1:170" ht="14.4" x14ac:dyDescent="0.3">
      <c r="DN87" s="530"/>
      <c r="DO87" s="531"/>
      <c r="DP87" s="531"/>
      <c r="DQ87" s="531"/>
      <c r="DR87" s="531"/>
      <c r="DS87" s="531"/>
      <c r="DT87" s="531"/>
      <c r="DU87" s="531"/>
      <c r="DV87" s="531"/>
      <c r="DW87" s="531"/>
      <c r="DX87" s="531"/>
      <c r="DY87" s="531"/>
      <c r="DZ87" s="531"/>
      <c r="EA87" s="531"/>
      <c r="EB87" s="531"/>
      <c r="EC87" s="531"/>
      <c r="ED87" s="531"/>
      <c r="EE87" s="531"/>
      <c r="EF87" s="531"/>
      <c r="EG87" s="531"/>
      <c r="EH87" s="531"/>
      <c r="EI87" s="531"/>
      <c r="EJ87" s="531"/>
      <c r="EK87" s="531"/>
      <c r="EL87" s="531"/>
      <c r="EM87" s="531"/>
      <c r="EN87" s="531"/>
      <c r="EO87" s="531"/>
      <c r="EP87" s="531"/>
      <c r="EQ87" s="531"/>
      <c r="ER87" s="531"/>
      <c r="ES87" s="532"/>
      <c r="ET87" s="533">
        <f>ET82+ET61</f>
        <v>65356116.417000018</v>
      </c>
      <c r="EU87" s="529"/>
      <c r="EV87" s="529"/>
      <c r="EW87" s="529"/>
      <c r="EX87" s="529"/>
      <c r="EY87" s="529"/>
      <c r="EZ87" s="529"/>
      <c r="FA87" s="529"/>
      <c r="FB87" s="529"/>
      <c r="FC87" s="529"/>
      <c r="FD87" s="529"/>
      <c r="FE87" s="529"/>
      <c r="FF87" s="529"/>
      <c r="FG87" s="529"/>
      <c r="FH87" s="529"/>
      <c r="FI87" s="529"/>
      <c r="FJ87" s="529"/>
      <c r="FK87" s="183"/>
    </row>
    <row r="88" spans="1:170" ht="14.4" x14ac:dyDescent="0.3">
      <c r="DN88" s="530"/>
      <c r="DO88" s="531"/>
      <c r="DP88" s="531"/>
      <c r="DQ88" s="531"/>
      <c r="DR88" s="531"/>
      <c r="DS88" s="531"/>
      <c r="DT88" s="531"/>
      <c r="DU88" s="531"/>
      <c r="DV88" s="531"/>
      <c r="DW88" s="531"/>
      <c r="DX88" s="531"/>
      <c r="DY88" s="531"/>
      <c r="DZ88" s="531"/>
      <c r="EA88" s="531"/>
      <c r="EB88" s="531"/>
      <c r="EC88" s="531"/>
      <c r="ED88" s="531"/>
      <c r="EE88" s="531"/>
      <c r="EF88" s="531"/>
      <c r="EG88" s="531"/>
      <c r="EH88" s="531"/>
      <c r="EI88" s="531"/>
      <c r="EJ88" s="531"/>
      <c r="EK88" s="531"/>
      <c r="EL88" s="531"/>
      <c r="EM88" s="531"/>
      <c r="EN88" s="531"/>
      <c r="EO88" s="531"/>
      <c r="EP88" s="531"/>
      <c r="EQ88" s="531"/>
      <c r="ER88" s="531"/>
      <c r="ES88" s="532"/>
      <c r="ET88" s="533">
        <f>ET87/ET86</f>
        <v>0.7504357415921421</v>
      </c>
      <c r="EU88" s="529"/>
      <c r="EV88" s="529"/>
      <c r="EW88" s="529"/>
      <c r="EX88" s="529"/>
      <c r="EY88" s="529"/>
      <c r="EZ88" s="529"/>
      <c r="FA88" s="529"/>
      <c r="FB88" s="529"/>
      <c r="FC88" s="529"/>
      <c r="FD88" s="529"/>
      <c r="FE88" s="529"/>
      <c r="FF88" s="529"/>
      <c r="FG88" s="529"/>
      <c r="FH88" s="529"/>
      <c r="FI88" s="529"/>
      <c r="FJ88" s="529"/>
      <c r="FK88" s="183"/>
    </row>
    <row r="91" spans="1:170" x14ac:dyDescent="0.25">
      <c r="EW91" s="184"/>
      <c r="EX91" s="185"/>
      <c r="EY91" s="185"/>
      <c r="EZ91" s="185"/>
      <c r="FA91" s="185"/>
      <c r="FB91" s="185"/>
      <c r="FC91" s="185"/>
    </row>
    <row r="92" spans="1:170" x14ac:dyDescent="0.25">
      <c r="EW92" s="535"/>
      <c r="EX92" s="535"/>
      <c r="EY92" s="535"/>
      <c r="EZ92" s="535"/>
      <c r="FA92" s="535"/>
      <c r="FB92" s="535"/>
      <c r="FC92" s="535"/>
    </row>
    <row r="93" spans="1:170" x14ac:dyDescent="0.25">
      <c r="FK93" s="186"/>
    </row>
    <row r="94" spans="1:170" x14ac:dyDescent="0.25">
      <c r="FK94" s="187"/>
    </row>
    <row r="95" spans="1:170" x14ac:dyDescent="0.25">
      <c r="FK95" s="186"/>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35433070866141736" bottom="0" header="0.11811023622047245" footer="0"/>
  <pageSetup paperSize="9" scale="79" fitToHeight="0" orientation="landscape" r:id="rId1"/>
  <rowBreaks count="2" manualBreakCount="2">
    <brk id="38" max="165" man="1"/>
    <brk id="61" max="16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V114"/>
  <sheetViews>
    <sheetView view="pageBreakPreview" zoomScale="80" zoomScaleNormal="100" zoomScaleSheetLayoutView="80" workbookViewId="0">
      <selection activeCell="FV33" sqref="FV33"/>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2"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172" s="13" customFormat="1" ht="13.8" x14ac:dyDescent="0.25">
      <c r="A2" s="593" t="s">
        <v>950</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c r="DK2" s="593"/>
      <c r="DL2" s="593"/>
      <c r="DM2" s="593"/>
      <c r="DN2" s="593"/>
      <c r="DO2" s="593"/>
      <c r="DP2" s="593"/>
      <c r="DQ2" s="593"/>
      <c r="DR2" s="593"/>
      <c r="DS2" s="593"/>
      <c r="DT2" s="593"/>
      <c r="DU2" s="593"/>
      <c r="DV2" s="593"/>
      <c r="DW2" s="593"/>
      <c r="DX2" s="593"/>
      <c r="DY2" s="593"/>
      <c r="DZ2" s="593"/>
      <c r="EA2" s="593"/>
      <c r="EB2" s="593"/>
      <c r="EC2" s="593"/>
      <c r="ED2" s="593"/>
      <c r="EE2" s="593"/>
      <c r="EF2" s="593"/>
      <c r="EG2" s="593"/>
      <c r="EH2" s="593"/>
      <c r="EI2" s="593"/>
      <c r="EJ2" s="593"/>
      <c r="EK2" s="593"/>
      <c r="EL2" s="593"/>
      <c r="EM2" s="593"/>
      <c r="EN2" s="593"/>
      <c r="EO2" s="593"/>
      <c r="EP2" s="593"/>
      <c r="EQ2" s="593"/>
      <c r="ER2" s="593"/>
      <c r="ES2" s="593"/>
      <c r="ET2" s="593"/>
      <c r="EU2" s="593"/>
      <c r="EV2" s="593"/>
      <c r="EW2" s="593"/>
      <c r="EX2" s="593"/>
      <c r="EY2" s="593"/>
      <c r="EZ2" s="593"/>
      <c r="FA2" s="593"/>
      <c r="FB2" s="593"/>
      <c r="FC2" s="593"/>
      <c r="FD2" s="593"/>
      <c r="FE2" s="593"/>
      <c r="FF2" s="593"/>
      <c r="FG2" s="593"/>
      <c r="FH2" s="593"/>
      <c r="FI2" s="593"/>
      <c r="FJ2" s="593"/>
      <c r="FN2" s="153"/>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3"/>
    </row>
    <row r="4" spans="1:172" s="13" customFormat="1" ht="13.8" x14ac:dyDescent="0.25">
      <c r="A4" s="594" t="s">
        <v>273</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4"/>
      <c r="ED4" s="594"/>
      <c r="EE4" s="594"/>
      <c r="EF4" s="594"/>
      <c r="EG4" s="594"/>
      <c r="EH4" s="594"/>
      <c r="EI4" s="594"/>
      <c r="EJ4" s="594"/>
      <c r="EK4" s="594"/>
      <c r="EL4" s="594"/>
      <c r="EM4" s="594"/>
      <c r="EN4" s="594"/>
      <c r="EO4" s="594"/>
      <c r="EP4" s="594"/>
      <c r="EQ4" s="594"/>
      <c r="ER4" s="594"/>
      <c r="ES4" s="594"/>
      <c r="ET4" s="594"/>
      <c r="EU4" s="594"/>
      <c r="EV4" s="594"/>
      <c r="EW4" s="594"/>
      <c r="EX4" s="594"/>
      <c r="EY4" s="594"/>
      <c r="EZ4" s="594"/>
      <c r="FA4" s="594"/>
      <c r="FB4" s="594"/>
      <c r="FC4" s="594"/>
      <c r="FD4" s="594"/>
      <c r="FE4" s="594"/>
      <c r="FF4" s="594"/>
      <c r="FG4" s="594"/>
      <c r="FH4" s="594"/>
      <c r="FI4" s="594"/>
      <c r="FJ4" s="594"/>
      <c r="FK4" s="594"/>
      <c r="FL4" s="594"/>
      <c r="FM4" s="594"/>
      <c r="FN4" s="594"/>
      <c r="FO4" s="594"/>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4"/>
      <c r="FO5" s="20"/>
    </row>
    <row r="6" spans="1:172" s="13" customFormat="1" ht="13.8" x14ac:dyDescent="0.25">
      <c r="A6" s="594" t="s">
        <v>274</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4"/>
      <c r="DF6" s="594"/>
      <c r="DG6" s="594"/>
      <c r="DH6" s="594"/>
      <c r="DI6" s="594"/>
      <c r="DJ6" s="594"/>
      <c r="DK6" s="594"/>
      <c r="DL6" s="594"/>
      <c r="DM6" s="594"/>
      <c r="DN6" s="594"/>
      <c r="DO6" s="594"/>
      <c r="DP6" s="594"/>
      <c r="DQ6" s="594"/>
      <c r="DR6" s="594"/>
      <c r="DS6" s="594"/>
      <c r="DT6" s="594"/>
      <c r="DU6" s="594"/>
      <c r="DV6" s="594"/>
      <c r="DW6" s="594"/>
      <c r="DX6" s="594"/>
      <c r="DY6" s="594"/>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c r="FH6" s="594"/>
      <c r="FI6" s="594"/>
      <c r="FJ6" s="594"/>
      <c r="FK6" s="594"/>
      <c r="FL6" s="594"/>
      <c r="FM6" s="594"/>
      <c r="FN6" s="594"/>
      <c r="FO6" s="594"/>
    </row>
    <row r="7" spans="1:172" ht="7.2" customHeight="1" x14ac:dyDescent="0.25"/>
    <row r="8" spans="1:172" s="20" customFormat="1" ht="13.8" x14ac:dyDescent="0.25">
      <c r="A8" s="20" t="s">
        <v>47</v>
      </c>
      <c r="AC8" s="595" t="s">
        <v>466</v>
      </c>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c r="CP8" s="595"/>
      <c r="CQ8" s="595"/>
      <c r="CR8" s="595"/>
      <c r="CS8" s="595"/>
      <c r="CT8" s="595"/>
      <c r="CU8" s="595"/>
      <c r="CV8" s="595"/>
      <c r="CW8" s="595"/>
      <c r="CX8" s="595"/>
      <c r="CY8" s="595"/>
      <c r="CZ8" s="595"/>
      <c r="DA8" s="595"/>
      <c r="DB8" s="595"/>
      <c r="DC8" s="595"/>
      <c r="DD8" s="595"/>
      <c r="DE8" s="595"/>
      <c r="DF8" s="595"/>
      <c r="DG8" s="595"/>
      <c r="DH8" s="595"/>
      <c r="DI8" s="595"/>
      <c r="DJ8" s="595"/>
      <c r="DK8" s="595"/>
      <c r="DL8" s="595"/>
      <c r="DM8" s="595"/>
      <c r="DN8" s="595"/>
      <c r="DO8" s="595"/>
      <c r="DP8" s="595"/>
      <c r="DQ8" s="595"/>
      <c r="DR8" s="595"/>
      <c r="DS8" s="595"/>
      <c r="DT8" s="595"/>
      <c r="DU8" s="595"/>
      <c r="DV8" s="595"/>
      <c r="DW8" s="595"/>
      <c r="DX8" s="595"/>
      <c r="DY8" s="595"/>
      <c r="DZ8" s="595"/>
      <c r="EA8" s="595"/>
      <c r="EB8" s="595"/>
      <c r="EC8" s="595"/>
      <c r="ED8" s="595"/>
      <c r="EE8" s="595"/>
      <c r="EF8" s="595"/>
      <c r="EG8" s="595"/>
      <c r="EH8" s="595"/>
      <c r="EI8" s="595"/>
      <c r="EJ8" s="595"/>
      <c r="EK8" s="595"/>
      <c r="EL8" s="595"/>
      <c r="EM8" s="595"/>
      <c r="EN8" s="595"/>
      <c r="EO8" s="595"/>
      <c r="EP8" s="595"/>
      <c r="EQ8" s="595"/>
      <c r="ER8" s="595"/>
      <c r="ES8" s="595"/>
      <c r="ET8" s="595"/>
      <c r="EU8" s="595"/>
      <c r="EV8" s="595"/>
      <c r="EW8" s="595"/>
      <c r="EX8" s="595"/>
      <c r="EY8" s="595"/>
      <c r="EZ8" s="595"/>
      <c r="FA8" s="595"/>
      <c r="FB8" s="595"/>
      <c r="FC8" s="595"/>
      <c r="FD8" s="595"/>
      <c r="FE8" s="595"/>
      <c r="FF8" s="595"/>
      <c r="FG8" s="595"/>
      <c r="FH8" s="595"/>
      <c r="FI8" s="595"/>
      <c r="FJ8" s="595"/>
      <c r="FN8" s="154"/>
    </row>
    <row r="9" spans="1:172" customFormat="1" ht="6" customHeight="1" x14ac:dyDescent="0.3">
      <c r="FN9" s="155"/>
    </row>
    <row r="10" spans="1:172" s="20" customFormat="1" ht="13.8" x14ac:dyDescent="0.25">
      <c r="A10" s="594" t="s">
        <v>48</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6" t="s">
        <v>467</v>
      </c>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596"/>
      <c r="DG10" s="596"/>
      <c r="DH10" s="596"/>
      <c r="DI10" s="596"/>
      <c r="DJ10" s="596"/>
      <c r="DK10" s="596"/>
      <c r="DL10" s="596"/>
      <c r="DM10" s="596"/>
      <c r="DN10" s="596"/>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596"/>
      <c r="ES10" s="596"/>
      <c r="ET10" s="596"/>
      <c r="EU10" s="596"/>
      <c r="EV10" s="596"/>
      <c r="EW10" s="596"/>
      <c r="EX10" s="596"/>
      <c r="EY10" s="596"/>
      <c r="EZ10" s="596"/>
      <c r="FA10" s="596"/>
      <c r="FB10" s="596"/>
      <c r="FC10" s="596"/>
      <c r="FD10" s="596"/>
      <c r="FE10" s="596"/>
      <c r="FF10" s="596"/>
      <c r="FG10" s="596"/>
      <c r="FH10" s="596"/>
      <c r="FI10" s="596"/>
      <c r="FJ10" s="596"/>
      <c r="FN10" s="154"/>
    </row>
    <row r="11" spans="1:172" ht="6" customHeight="1" x14ac:dyDescent="0.25"/>
    <row r="12" spans="1:172" ht="5.4" customHeight="1" x14ac:dyDescent="0.25">
      <c r="FK12" s="156" t="s">
        <v>468</v>
      </c>
      <c r="FL12" s="156" t="s">
        <v>469</v>
      </c>
      <c r="FM12" s="156"/>
      <c r="FN12" s="157"/>
      <c r="FO12" s="156"/>
    </row>
    <row r="13" spans="1:172" s="18" customFormat="1" ht="12.75" customHeight="1" x14ac:dyDescent="0.3">
      <c r="A13" s="597" t="s">
        <v>49</v>
      </c>
      <c r="B13" s="598"/>
      <c r="C13" s="598"/>
      <c r="D13" s="598"/>
      <c r="E13" s="598"/>
      <c r="F13" s="599"/>
      <c r="G13" s="597" t="s">
        <v>251</v>
      </c>
      <c r="H13" s="598"/>
      <c r="I13" s="598"/>
      <c r="J13" s="598"/>
      <c r="K13" s="598"/>
      <c r="L13" s="598"/>
      <c r="M13" s="598"/>
      <c r="N13" s="598"/>
      <c r="O13" s="598"/>
      <c r="P13" s="598"/>
      <c r="Q13" s="598"/>
      <c r="R13" s="598"/>
      <c r="S13" s="598"/>
      <c r="T13" s="598"/>
      <c r="U13" s="598"/>
      <c r="V13" s="598"/>
      <c r="W13" s="598"/>
      <c r="X13" s="598"/>
      <c r="Y13" s="598"/>
      <c r="Z13" s="598"/>
      <c r="AA13" s="598"/>
      <c r="AB13" s="598"/>
      <c r="AC13" s="599"/>
      <c r="AD13" s="597" t="s">
        <v>50</v>
      </c>
      <c r="AE13" s="598"/>
      <c r="AF13" s="598"/>
      <c r="AG13" s="598"/>
      <c r="AH13" s="598"/>
      <c r="AI13" s="598"/>
      <c r="AJ13" s="598"/>
      <c r="AK13" s="598"/>
      <c r="AL13" s="598"/>
      <c r="AM13" s="598"/>
      <c r="AN13" s="598"/>
      <c r="AO13" s="598"/>
      <c r="AP13" s="598"/>
      <c r="AQ13" s="598"/>
      <c r="AR13" s="598"/>
      <c r="AS13" s="599"/>
      <c r="AT13" s="475" t="s">
        <v>51</v>
      </c>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7"/>
      <c r="DN13" s="597" t="s">
        <v>52</v>
      </c>
      <c r="DO13" s="598"/>
      <c r="DP13" s="598"/>
      <c r="DQ13" s="598"/>
      <c r="DR13" s="598"/>
      <c r="DS13" s="598"/>
      <c r="DT13" s="598"/>
      <c r="DU13" s="598"/>
      <c r="DV13" s="598"/>
      <c r="DW13" s="598"/>
      <c r="DX13" s="598"/>
      <c r="DY13" s="598"/>
      <c r="DZ13" s="598"/>
      <c r="EA13" s="598"/>
      <c r="EB13" s="598"/>
      <c r="EC13" s="599"/>
      <c r="ED13" s="597" t="s">
        <v>100</v>
      </c>
      <c r="EE13" s="598"/>
      <c r="EF13" s="598"/>
      <c r="EG13" s="598"/>
      <c r="EH13" s="598"/>
      <c r="EI13" s="598"/>
      <c r="EJ13" s="598"/>
      <c r="EK13" s="598"/>
      <c r="EL13" s="598"/>
      <c r="EM13" s="598"/>
      <c r="EN13" s="598"/>
      <c r="EO13" s="598"/>
      <c r="EP13" s="598"/>
      <c r="EQ13" s="598"/>
      <c r="ER13" s="598"/>
      <c r="ES13" s="599"/>
      <c r="ET13" s="597" t="s">
        <v>101</v>
      </c>
      <c r="EU13" s="598"/>
      <c r="EV13" s="598"/>
      <c r="EW13" s="598"/>
      <c r="EX13" s="598"/>
      <c r="EY13" s="598"/>
      <c r="EZ13" s="598"/>
      <c r="FA13" s="598"/>
      <c r="FB13" s="598"/>
      <c r="FC13" s="598"/>
      <c r="FD13" s="598"/>
      <c r="FE13" s="598"/>
      <c r="FF13" s="598"/>
      <c r="FG13" s="598"/>
      <c r="FH13" s="598"/>
      <c r="FI13" s="598"/>
      <c r="FJ13" s="599"/>
      <c r="FK13" s="158"/>
      <c r="FL13" s="158"/>
      <c r="FM13" s="158"/>
      <c r="FN13" s="159"/>
      <c r="FO13" s="158"/>
    </row>
    <row r="14" spans="1:172" s="18" customFormat="1" ht="24.9" customHeight="1" x14ac:dyDescent="0.3">
      <c r="A14" s="600"/>
      <c r="B14" s="601"/>
      <c r="C14" s="601"/>
      <c r="D14" s="601"/>
      <c r="E14" s="601"/>
      <c r="F14" s="602"/>
      <c r="G14" s="600"/>
      <c r="H14" s="601"/>
      <c r="I14" s="601"/>
      <c r="J14" s="601"/>
      <c r="K14" s="601"/>
      <c r="L14" s="601"/>
      <c r="M14" s="601"/>
      <c r="N14" s="601"/>
      <c r="O14" s="601"/>
      <c r="P14" s="601"/>
      <c r="Q14" s="601"/>
      <c r="R14" s="601"/>
      <c r="S14" s="601"/>
      <c r="T14" s="601"/>
      <c r="U14" s="601"/>
      <c r="V14" s="601"/>
      <c r="W14" s="601"/>
      <c r="X14" s="601"/>
      <c r="Y14" s="601"/>
      <c r="Z14" s="601"/>
      <c r="AA14" s="601"/>
      <c r="AB14" s="601"/>
      <c r="AC14" s="602"/>
      <c r="AD14" s="600"/>
      <c r="AE14" s="601"/>
      <c r="AF14" s="601"/>
      <c r="AG14" s="601"/>
      <c r="AH14" s="601"/>
      <c r="AI14" s="601"/>
      <c r="AJ14" s="601"/>
      <c r="AK14" s="601"/>
      <c r="AL14" s="601"/>
      <c r="AM14" s="601"/>
      <c r="AN14" s="601"/>
      <c r="AO14" s="601"/>
      <c r="AP14" s="601"/>
      <c r="AQ14" s="601"/>
      <c r="AR14" s="601"/>
      <c r="AS14" s="602"/>
      <c r="AT14" s="597" t="s">
        <v>2</v>
      </c>
      <c r="AU14" s="598"/>
      <c r="AV14" s="598"/>
      <c r="AW14" s="598"/>
      <c r="AX14" s="598"/>
      <c r="AY14" s="598"/>
      <c r="AZ14" s="598"/>
      <c r="BA14" s="598"/>
      <c r="BB14" s="598"/>
      <c r="BC14" s="598"/>
      <c r="BD14" s="598"/>
      <c r="BE14" s="598"/>
      <c r="BF14" s="598"/>
      <c r="BG14" s="598"/>
      <c r="BH14" s="598"/>
      <c r="BI14" s="598"/>
      <c r="BJ14" s="599"/>
      <c r="BK14" s="475" t="s">
        <v>3</v>
      </c>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7"/>
      <c r="DN14" s="600"/>
      <c r="DO14" s="601"/>
      <c r="DP14" s="601"/>
      <c r="DQ14" s="601"/>
      <c r="DR14" s="601"/>
      <c r="DS14" s="601"/>
      <c r="DT14" s="601"/>
      <c r="DU14" s="601"/>
      <c r="DV14" s="601"/>
      <c r="DW14" s="601"/>
      <c r="DX14" s="601"/>
      <c r="DY14" s="601"/>
      <c r="DZ14" s="601"/>
      <c r="EA14" s="601"/>
      <c r="EB14" s="601"/>
      <c r="EC14" s="602"/>
      <c r="ED14" s="600"/>
      <c r="EE14" s="601"/>
      <c r="EF14" s="601"/>
      <c r="EG14" s="601"/>
      <c r="EH14" s="601"/>
      <c r="EI14" s="601"/>
      <c r="EJ14" s="601"/>
      <c r="EK14" s="601"/>
      <c r="EL14" s="601"/>
      <c r="EM14" s="601"/>
      <c r="EN14" s="601"/>
      <c r="EO14" s="601"/>
      <c r="EP14" s="601"/>
      <c r="EQ14" s="601"/>
      <c r="ER14" s="601"/>
      <c r="ES14" s="602"/>
      <c r="ET14" s="600"/>
      <c r="EU14" s="601"/>
      <c r="EV14" s="601"/>
      <c r="EW14" s="601"/>
      <c r="EX14" s="601"/>
      <c r="EY14" s="601"/>
      <c r="EZ14" s="601"/>
      <c r="FA14" s="601"/>
      <c r="FB14" s="601"/>
      <c r="FC14" s="601"/>
      <c r="FD14" s="601"/>
      <c r="FE14" s="601"/>
      <c r="FF14" s="601"/>
      <c r="FG14" s="601"/>
      <c r="FH14" s="601"/>
      <c r="FI14" s="601"/>
      <c r="FJ14" s="602"/>
      <c r="FK14" s="160"/>
      <c r="FL14" s="158"/>
      <c r="FM14" s="158"/>
      <c r="FN14" s="161">
        <f>ET18+ET19+ET20</f>
        <v>5235674.5999999996</v>
      </c>
      <c r="FO14" s="158"/>
    </row>
    <row r="15" spans="1:172" s="18" customFormat="1" ht="45.75" customHeight="1" x14ac:dyDescent="0.3">
      <c r="A15" s="603"/>
      <c r="B15" s="604"/>
      <c r="C15" s="604"/>
      <c r="D15" s="604"/>
      <c r="E15" s="604"/>
      <c r="F15" s="605"/>
      <c r="G15" s="603"/>
      <c r="H15" s="604"/>
      <c r="I15" s="604"/>
      <c r="J15" s="604"/>
      <c r="K15" s="604"/>
      <c r="L15" s="604"/>
      <c r="M15" s="604"/>
      <c r="N15" s="604"/>
      <c r="O15" s="604"/>
      <c r="P15" s="604"/>
      <c r="Q15" s="604"/>
      <c r="R15" s="604"/>
      <c r="S15" s="604"/>
      <c r="T15" s="604"/>
      <c r="U15" s="604"/>
      <c r="V15" s="604"/>
      <c r="W15" s="604"/>
      <c r="X15" s="604"/>
      <c r="Y15" s="604"/>
      <c r="Z15" s="604"/>
      <c r="AA15" s="604"/>
      <c r="AB15" s="604"/>
      <c r="AC15" s="605"/>
      <c r="AD15" s="603"/>
      <c r="AE15" s="604"/>
      <c r="AF15" s="604"/>
      <c r="AG15" s="604"/>
      <c r="AH15" s="604"/>
      <c r="AI15" s="604"/>
      <c r="AJ15" s="604"/>
      <c r="AK15" s="604"/>
      <c r="AL15" s="604"/>
      <c r="AM15" s="604"/>
      <c r="AN15" s="604"/>
      <c r="AO15" s="604"/>
      <c r="AP15" s="604"/>
      <c r="AQ15" s="604"/>
      <c r="AR15" s="604"/>
      <c r="AS15" s="605"/>
      <c r="AT15" s="603"/>
      <c r="AU15" s="604"/>
      <c r="AV15" s="604"/>
      <c r="AW15" s="604"/>
      <c r="AX15" s="604"/>
      <c r="AY15" s="604"/>
      <c r="AZ15" s="604"/>
      <c r="BA15" s="604"/>
      <c r="BB15" s="604"/>
      <c r="BC15" s="604"/>
      <c r="BD15" s="604"/>
      <c r="BE15" s="604"/>
      <c r="BF15" s="604"/>
      <c r="BG15" s="604"/>
      <c r="BH15" s="604"/>
      <c r="BI15" s="604"/>
      <c r="BJ15" s="605"/>
      <c r="BK15" s="606" t="s">
        <v>53</v>
      </c>
      <c r="BL15" s="606"/>
      <c r="BM15" s="606"/>
      <c r="BN15" s="606"/>
      <c r="BO15" s="606"/>
      <c r="BP15" s="606"/>
      <c r="BQ15" s="606"/>
      <c r="BR15" s="606"/>
      <c r="BS15" s="606"/>
      <c r="BT15" s="606"/>
      <c r="BU15" s="606"/>
      <c r="BV15" s="606"/>
      <c r="BW15" s="606"/>
      <c r="BX15" s="606"/>
      <c r="BY15" s="606"/>
      <c r="BZ15" s="606"/>
      <c r="CA15" s="606"/>
      <c r="CB15" s="606"/>
      <c r="CC15" s="606" t="s">
        <v>54</v>
      </c>
      <c r="CD15" s="606"/>
      <c r="CE15" s="606"/>
      <c r="CF15" s="606"/>
      <c r="CG15" s="606"/>
      <c r="CH15" s="606"/>
      <c r="CI15" s="606"/>
      <c r="CJ15" s="606"/>
      <c r="CK15" s="606"/>
      <c r="CL15" s="606"/>
      <c r="CM15" s="606"/>
      <c r="CN15" s="606"/>
      <c r="CO15" s="606"/>
      <c r="CP15" s="606"/>
      <c r="CQ15" s="606"/>
      <c r="CR15" s="606"/>
      <c r="CS15" s="606"/>
      <c r="CT15" s="606"/>
      <c r="CU15" s="606"/>
      <c r="CV15" s="606" t="s">
        <v>55</v>
      </c>
      <c r="CW15" s="606"/>
      <c r="CX15" s="606"/>
      <c r="CY15" s="606"/>
      <c r="CZ15" s="606"/>
      <c r="DA15" s="606"/>
      <c r="DB15" s="606"/>
      <c r="DC15" s="606"/>
      <c r="DD15" s="606"/>
      <c r="DE15" s="606"/>
      <c r="DF15" s="606"/>
      <c r="DG15" s="606"/>
      <c r="DH15" s="606"/>
      <c r="DI15" s="606"/>
      <c r="DJ15" s="606"/>
      <c r="DK15" s="606"/>
      <c r="DL15" s="606"/>
      <c r="DM15" s="606"/>
      <c r="DN15" s="603"/>
      <c r="DO15" s="604"/>
      <c r="DP15" s="604"/>
      <c r="DQ15" s="604"/>
      <c r="DR15" s="604"/>
      <c r="DS15" s="604"/>
      <c r="DT15" s="604"/>
      <c r="DU15" s="604"/>
      <c r="DV15" s="604"/>
      <c r="DW15" s="604"/>
      <c r="DX15" s="604"/>
      <c r="DY15" s="604"/>
      <c r="DZ15" s="604"/>
      <c r="EA15" s="604"/>
      <c r="EB15" s="604"/>
      <c r="EC15" s="605"/>
      <c r="ED15" s="603"/>
      <c r="EE15" s="604"/>
      <c r="EF15" s="604"/>
      <c r="EG15" s="604"/>
      <c r="EH15" s="604"/>
      <c r="EI15" s="604"/>
      <c r="EJ15" s="604"/>
      <c r="EK15" s="604"/>
      <c r="EL15" s="604"/>
      <c r="EM15" s="604"/>
      <c r="EN15" s="604"/>
      <c r="EO15" s="604"/>
      <c r="EP15" s="604"/>
      <c r="EQ15" s="604"/>
      <c r="ER15" s="604"/>
      <c r="ES15" s="605"/>
      <c r="ET15" s="603"/>
      <c r="EU15" s="604"/>
      <c r="EV15" s="604"/>
      <c r="EW15" s="604"/>
      <c r="EX15" s="604"/>
      <c r="EY15" s="604"/>
      <c r="EZ15" s="604"/>
      <c r="FA15" s="604"/>
      <c r="FB15" s="604"/>
      <c r="FC15" s="604"/>
      <c r="FD15" s="604"/>
      <c r="FE15" s="604"/>
      <c r="FF15" s="604"/>
      <c r="FG15" s="604"/>
      <c r="FH15" s="604"/>
      <c r="FI15" s="604"/>
      <c r="FJ15" s="605"/>
      <c r="FK15" s="162">
        <f>ET18+ET19+ET20</f>
        <v>5235674.5999999996</v>
      </c>
      <c r="FL15" s="163">
        <f>CV18+CV19+CV20</f>
        <v>82727.355072463775</v>
      </c>
      <c r="FM15" s="158"/>
      <c r="FN15" s="164">
        <f>(CV18+CV19+CV20)*12</f>
        <v>992728.2608695653</v>
      </c>
      <c r="FO15" s="158"/>
    </row>
    <row r="16" spans="1:172" s="15" customFormat="1" x14ac:dyDescent="0.2">
      <c r="A16" s="591">
        <v>1</v>
      </c>
      <c r="B16" s="591"/>
      <c r="C16" s="591"/>
      <c r="D16" s="591"/>
      <c r="E16" s="591"/>
      <c r="F16" s="591"/>
      <c r="G16" s="591">
        <v>2</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v>3</v>
      </c>
      <c r="AE16" s="591"/>
      <c r="AF16" s="591"/>
      <c r="AG16" s="591"/>
      <c r="AH16" s="591"/>
      <c r="AI16" s="591"/>
      <c r="AJ16" s="591"/>
      <c r="AK16" s="591"/>
      <c r="AL16" s="591"/>
      <c r="AM16" s="591"/>
      <c r="AN16" s="591"/>
      <c r="AO16" s="591"/>
      <c r="AP16" s="591"/>
      <c r="AQ16" s="591"/>
      <c r="AR16" s="591"/>
      <c r="AS16" s="591"/>
      <c r="AT16" s="591">
        <v>4</v>
      </c>
      <c r="AU16" s="591"/>
      <c r="AV16" s="591"/>
      <c r="AW16" s="591"/>
      <c r="AX16" s="591"/>
      <c r="AY16" s="591"/>
      <c r="AZ16" s="591"/>
      <c r="BA16" s="591"/>
      <c r="BB16" s="591"/>
      <c r="BC16" s="591"/>
      <c r="BD16" s="591"/>
      <c r="BE16" s="591"/>
      <c r="BF16" s="591"/>
      <c r="BG16" s="591"/>
      <c r="BH16" s="591"/>
      <c r="BI16" s="591"/>
      <c r="BJ16" s="591"/>
      <c r="BK16" s="591">
        <v>5</v>
      </c>
      <c r="BL16" s="591"/>
      <c r="BM16" s="591"/>
      <c r="BN16" s="591"/>
      <c r="BO16" s="591"/>
      <c r="BP16" s="591"/>
      <c r="BQ16" s="591"/>
      <c r="BR16" s="591"/>
      <c r="BS16" s="591"/>
      <c r="BT16" s="591"/>
      <c r="BU16" s="591"/>
      <c r="BV16" s="591"/>
      <c r="BW16" s="591"/>
      <c r="BX16" s="591"/>
      <c r="BY16" s="591"/>
      <c r="BZ16" s="591"/>
      <c r="CA16" s="591"/>
      <c r="CB16" s="591"/>
      <c r="CC16" s="591">
        <v>6</v>
      </c>
      <c r="CD16" s="591"/>
      <c r="CE16" s="591"/>
      <c r="CF16" s="591"/>
      <c r="CG16" s="591"/>
      <c r="CH16" s="591"/>
      <c r="CI16" s="591"/>
      <c r="CJ16" s="591"/>
      <c r="CK16" s="591"/>
      <c r="CL16" s="591"/>
      <c r="CM16" s="591"/>
      <c r="CN16" s="591"/>
      <c r="CO16" s="591"/>
      <c r="CP16" s="591"/>
      <c r="CQ16" s="591"/>
      <c r="CR16" s="591"/>
      <c r="CS16" s="591"/>
      <c r="CT16" s="591"/>
      <c r="CU16" s="591"/>
      <c r="CV16" s="591">
        <v>7</v>
      </c>
      <c r="CW16" s="591"/>
      <c r="CX16" s="591"/>
      <c r="CY16" s="591"/>
      <c r="CZ16" s="591"/>
      <c r="DA16" s="591"/>
      <c r="DB16" s="591"/>
      <c r="DC16" s="591"/>
      <c r="DD16" s="591"/>
      <c r="DE16" s="591"/>
      <c r="DF16" s="591"/>
      <c r="DG16" s="591"/>
      <c r="DH16" s="591"/>
      <c r="DI16" s="591"/>
      <c r="DJ16" s="591"/>
      <c r="DK16" s="591"/>
      <c r="DL16" s="591"/>
      <c r="DM16" s="591"/>
      <c r="DN16" s="591">
        <v>8</v>
      </c>
      <c r="DO16" s="591"/>
      <c r="DP16" s="591"/>
      <c r="DQ16" s="591"/>
      <c r="DR16" s="591"/>
      <c r="DS16" s="591"/>
      <c r="DT16" s="591"/>
      <c r="DU16" s="591"/>
      <c r="DV16" s="591"/>
      <c r="DW16" s="591"/>
      <c r="DX16" s="591"/>
      <c r="DY16" s="591"/>
      <c r="DZ16" s="591"/>
      <c r="EA16" s="591"/>
      <c r="EB16" s="591"/>
      <c r="EC16" s="591"/>
      <c r="ED16" s="591">
        <v>9</v>
      </c>
      <c r="EE16" s="591"/>
      <c r="EF16" s="591"/>
      <c r="EG16" s="591"/>
      <c r="EH16" s="591"/>
      <c r="EI16" s="591"/>
      <c r="EJ16" s="591"/>
      <c r="EK16" s="591"/>
      <c r="EL16" s="591"/>
      <c r="EM16" s="591"/>
      <c r="EN16" s="591"/>
      <c r="EO16" s="591"/>
      <c r="EP16" s="591"/>
      <c r="EQ16" s="591"/>
      <c r="ER16" s="591"/>
      <c r="ES16" s="591"/>
      <c r="ET16" s="591">
        <v>10</v>
      </c>
      <c r="EU16" s="591"/>
      <c r="EV16" s="591"/>
      <c r="EW16" s="591"/>
      <c r="EX16" s="591"/>
      <c r="EY16" s="591"/>
      <c r="EZ16" s="591"/>
      <c r="FA16" s="591"/>
      <c r="FB16" s="591"/>
      <c r="FC16" s="591"/>
      <c r="FD16" s="591"/>
      <c r="FE16" s="591"/>
      <c r="FF16" s="591"/>
      <c r="FG16" s="591"/>
      <c r="FH16" s="591"/>
      <c r="FI16" s="591"/>
      <c r="FJ16" s="591"/>
      <c r="FK16" s="165" t="s">
        <v>470</v>
      </c>
      <c r="FL16" s="165" t="s">
        <v>471</v>
      </c>
      <c r="FM16" s="165"/>
      <c r="FN16" s="166"/>
      <c r="FO16" s="156" t="s">
        <v>468</v>
      </c>
      <c r="FP16" s="156" t="s">
        <v>469</v>
      </c>
    </row>
    <row r="17" spans="1:172" s="16" customFormat="1" ht="15" customHeight="1" x14ac:dyDescent="0.3">
      <c r="A17" s="541" t="s">
        <v>255</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3"/>
      <c r="FK17" s="167">
        <v>1292000</v>
      </c>
      <c r="FL17" s="167">
        <f>(ET18-FK17)+(ET19-FK17)</f>
        <v>955930.60000000009</v>
      </c>
      <c r="FM17" s="168"/>
      <c r="FN17" s="169"/>
      <c r="FO17" s="170">
        <f>ET18+ET19+ET20</f>
        <v>5235674.5999999996</v>
      </c>
      <c r="FP17" s="170">
        <f>CV18+CV19+CV20</f>
        <v>82727.355072463775</v>
      </c>
    </row>
    <row r="18" spans="1:172" s="16" customFormat="1" ht="13.2" customHeight="1" x14ac:dyDescent="0.3">
      <c r="A18" s="571" t="s">
        <v>67</v>
      </c>
      <c r="B18" s="571"/>
      <c r="C18" s="571"/>
      <c r="D18" s="571"/>
      <c r="E18" s="571"/>
      <c r="F18" s="571"/>
      <c r="G18" s="577" t="s">
        <v>472</v>
      </c>
      <c r="H18" s="577"/>
      <c r="I18" s="577"/>
      <c r="J18" s="577"/>
      <c r="K18" s="577"/>
      <c r="L18" s="577"/>
      <c r="M18" s="577"/>
      <c r="N18" s="577"/>
      <c r="O18" s="577"/>
      <c r="P18" s="577"/>
      <c r="Q18" s="577"/>
      <c r="R18" s="577"/>
      <c r="S18" s="577"/>
      <c r="T18" s="577"/>
      <c r="U18" s="577"/>
      <c r="V18" s="577"/>
      <c r="W18" s="577"/>
      <c r="X18" s="577"/>
      <c r="Y18" s="577"/>
      <c r="Z18" s="577"/>
      <c r="AA18" s="577"/>
      <c r="AB18" s="577"/>
      <c r="AC18" s="577"/>
      <c r="AD18" s="582">
        <v>1</v>
      </c>
      <c r="AE18" s="582"/>
      <c r="AF18" s="582"/>
      <c r="AG18" s="582"/>
      <c r="AH18" s="582"/>
      <c r="AI18" s="582"/>
      <c r="AJ18" s="582"/>
      <c r="AK18" s="582"/>
      <c r="AL18" s="582"/>
      <c r="AM18" s="582"/>
      <c r="AN18" s="582"/>
      <c r="AO18" s="582"/>
      <c r="AP18" s="582"/>
      <c r="AQ18" s="582"/>
      <c r="AR18" s="582"/>
      <c r="AS18" s="582"/>
      <c r="AT18" s="573">
        <f>BK18+CC18+CV18</f>
        <v>66818.355072463775</v>
      </c>
      <c r="AU18" s="573"/>
      <c r="AV18" s="573"/>
      <c r="AW18" s="573"/>
      <c r="AX18" s="573"/>
      <c r="AY18" s="573"/>
      <c r="AZ18" s="573"/>
      <c r="BA18" s="573"/>
      <c r="BB18" s="573"/>
      <c r="BC18" s="573"/>
      <c r="BD18" s="573"/>
      <c r="BE18" s="573"/>
      <c r="BF18" s="573"/>
      <c r="BG18" s="573"/>
      <c r="BH18" s="573"/>
      <c r="BI18" s="573"/>
      <c r="BJ18" s="573"/>
      <c r="BK18" s="583">
        <v>40091</v>
      </c>
      <c r="BL18" s="583"/>
      <c r="BM18" s="583"/>
      <c r="BN18" s="583"/>
      <c r="BO18" s="583"/>
      <c r="BP18" s="583"/>
      <c r="BQ18" s="583"/>
      <c r="BR18" s="583"/>
      <c r="BS18" s="583"/>
      <c r="BT18" s="583"/>
      <c r="BU18" s="583"/>
      <c r="BV18" s="583"/>
      <c r="BW18" s="583"/>
      <c r="BX18" s="583"/>
      <c r="BY18" s="583"/>
      <c r="BZ18" s="583"/>
      <c r="CA18" s="583"/>
      <c r="CB18" s="583"/>
      <c r="CC18" s="573"/>
      <c r="CD18" s="573"/>
      <c r="CE18" s="573"/>
      <c r="CF18" s="573"/>
      <c r="CG18" s="573"/>
      <c r="CH18" s="573"/>
      <c r="CI18" s="573"/>
      <c r="CJ18" s="573"/>
      <c r="CK18" s="573"/>
      <c r="CL18" s="573"/>
      <c r="CM18" s="573"/>
      <c r="CN18" s="573"/>
      <c r="CO18" s="573"/>
      <c r="CP18" s="573"/>
      <c r="CQ18" s="573"/>
      <c r="CR18" s="573"/>
      <c r="CS18" s="573"/>
      <c r="CT18" s="573"/>
      <c r="CU18" s="573"/>
      <c r="CV18" s="626">
        <f>737675/12/2.3</f>
        <v>26727.355072463768</v>
      </c>
      <c r="CW18" s="626"/>
      <c r="CX18" s="626"/>
      <c r="CY18" s="626"/>
      <c r="CZ18" s="626"/>
      <c r="DA18" s="626"/>
      <c r="DB18" s="626"/>
      <c r="DC18" s="626"/>
      <c r="DD18" s="626"/>
      <c r="DE18" s="626"/>
      <c r="DF18" s="626"/>
      <c r="DG18" s="626"/>
      <c r="DH18" s="626"/>
      <c r="DI18" s="626"/>
      <c r="DJ18" s="626"/>
      <c r="DK18" s="626"/>
      <c r="DL18" s="626"/>
      <c r="DM18" s="626"/>
      <c r="DN18" s="573">
        <f>AT18*80%</f>
        <v>53454.684057971026</v>
      </c>
      <c r="DO18" s="573"/>
      <c r="DP18" s="573"/>
      <c r="DQ18" s="573"/>
      <c r="DR18" s="573"/>
      <c r="DS18" s="573"/>
      <c r="DT18" s="573"/>
      <c r="DU18" s="573"/>
      <c r="DV18" s="573"/>
      <c r="DW18" s="573"/>
      <c r="DX18" s="573"/>
      <c r="DY18" s="573"/>
      <c r="DZ18" s="573"/>
      <c r="EA18" s="573"/>
      <c r="EB18" s="573"/>
      <c r="EC18" s="573"/>
      <c r="ED18" s="573">
        <f>AT18*50%</f>
        <v>33409.177536231888</v>
      </c>
      <c r="EE18" s="573"/>
      <c r="EF18" s="573"/>
      <c r="EG18" s="573"/>
      <c r="EH18" s="573"/>
      <c r="EI18" s="573"/>
      <c r="EJ18" s="573"/>
      <c r="EK18" s="573"/>
      <c r="EL18" s="573"/>
      <c r="EM18" s="573"/>
      <c r="EN18" s="573"/>
      <c r="EO18" s="573"/>
      <c r="EP18" s="573"/>
      <c r="EQ18" s="573"/>
      <c r="ER18" s="573"/>
      <c r="ES18" s="573"/>
      <c r="ET18" s="573">
        <f>(AT18+DN18+ED18)*12*AD18</f>
        <v>1844186.6</v>
      </c>
      <c r="EU18" s="573"/>
      <c r="EV18" s="573"/>
      <c r="EW18" s="573"/>
      <c r="EX18" s="573"/>
      <c r="EY18" s="573"/>
      <c r="EZ18" s="573"/>
      <c r="FA18" s="573"/>
      <c r="FB18" s="573"/>
      <c r="FC18" s="573"/>
      <c r="FD18" s="573"/>
      <c r="FE18" s="573"/>
      <c r="FF18" s="573"/>
      <c r="FG18" s="573"/>
      <c r="FH18" s="573"/>
      <c r="FI18" s="573"/>
      <c r="FJ18" s="573"/>
      <c r="FK18" s="165"/>
      <c r="FL18" s="165"/>
      <c r="FM18" s="168"/>
      <c r="FN18" s="171"/>
      <c r="FO18" s="159"/>
      <c r="FP18" s="170"/>
    </row>
    <row r="19" spans="1:172" s="16" customFormat="1" ht="13.2" customHeight="1" x14ac:dyDescent="0.3">
      <c r="A19" s="571" t="s">
        <v>71</v>
      </c>
      <c r="B19" s="571"/>
      <c r="C19" s="571"/>
      <c r="D19" s="571"/>
      <c r="E19" s="571"/>
      <c r="F19" s="571"/>
      <c r="G19" s="577" t="s">
        <v>473</v>
      </c>
      <c r="H19" s="577"/>
      <c r="I19" s="577"/>
      <c r="J19" s="577"/>
      <c r="K19" s="577"/>
      <c r="L19" s="577"/>
      <c r="M19" s="577"/>
      <c r="N19" s="577"/>
      <c r="O19" s="577"/>
      <c r="P19" s="577"/>
      <c r="Q19" s="577"/>
      <c r="R19" s="577"/>
      <c r="S19" s="577"/>
      <c r="T19" s="577"/>
      <c r="U19" s="577"/>
      <c r="V19" s="577"/>
      <c r="W19" s="577"/>
      <c r="X19" s="577"/>
      <c r="Y19" s="577"/>
      <c r="Z19" s="577"/>
      <c r="AA19" s="577"/>
      <c r="AB19" s="577"/>
      <c r="AC19" s="577"/>
      <c r="AD19" s="582">
        <v>1</v>
      </c>
      <c r="AE19" s="582"/>
      <c r="AF19" s="582"/>
      <c r="AG19" s="582"/>
      <c r="AH19" s="582"/>
      <c r="AI19" s="582"/>
      <c r="AJ19" s="582"/>
      <c r="AK19" s="582"/>
      <c r="AL19" s="582"/>
      <c r="AM19" s="582"/>
      <c r="AN19" s="582"/>
      <c r="AO19" s="582"/>
      <c r="AP19" s="582"/>
      <c r="AQ19" s="582"/>
      <c r="AR19" s="582"/>
      <c r="AS19" s="582"/>
      <c r="AT19" s="573">
        <f t="shared" ref="AT19:AT29" si="0">BK19+CC19+CV19</f>
        <v>61440</v>
      </c>
      <c r="AU19" s="573"/>
      <c r="AV19" s="573"/>
      <c r="AW19" s="573"/>
      <c r="AX19" s="573"/>
      <c r="AY19" s="573"/>
      <c r="AZ19" s="573"/>
      <c r="BA19" s="573"/>
      <c r="BB19" s="573"/>
      <c r="BC19" s="573"/>
      <c r="BD19" s="573"/>
      <c r="BE19" s="573"/>
      <c r="BF19" s="573"/>
      <c r="BG19" s="573"/>
      <c r="BH19" s="573"/>
      <c r="BI19" s="573"/>
      <c r="BJ19" s="573"/>
      <c r="BK19" s="583">
        <v>33440</v>
      </c>
      <c r="BL19" s="583"/>
      <c r="BM19" s="583"/>
      <c r="BN19" s="583"/>
      <c r="BO19" s="583"/>
      <c r="BP19" s="583"/>
      <c r="BQ19" s="583"/>
      <c r="BR19" s="583"/>
      <c r="BS19" s="583"/>
      <c r="BT19" s="583"/>
      <c r="BU19" s="583"/>
      <c r="BV19" s="583"/>
      <c r="BW19" s="583"/>
      <c r="BX19" s="583"/>
      <c r="BY19" s="583"/>
      <c r="BZ19" s="583"/>
      <c r="CA19" s="583"/>
      <c r="CB19" s="583"/>
      <c r="CC19" s="573"/>
      <c r="CD19" s="573"/>
      <c r="CE19" s="573"/>
      <c r="CF19" s="573"/>
      <c r="CG19" s="573"/>
      <c r="CH19" s="573"/>
      <c r="CI19" s="573"/>
      <c r="CJ19" s="573"/>
      <c r="CK19" s="573"/>
      <c r="CL19" s="573"/>
      <c r="CM19" s="573"/>
      <c r="CN19" s="573"/>
      <c r="CO19" s="573"/>
      <c r="CP19" s="573"/>
      <c r="CQ19" s="573"/>
      <c r="CR19" s="573"/>
      <c r="CS19" s="573"/>
      <c r="CT19" s="573"/>
      <c r="CU19" s="573"/>
      <c r="CV19" s="547">
        <v>28000</v>
      </c>
      <c r="CW19" s="548"/>
      <c r="CX19" s="548"/>
      <c r="CY19" s="548"/>
      <c r="CZ19" s="548"/>
      <c r="DA19" s="548"/>
      <c r="DB19" s="548"/>
      <c r="DC19" s="548"/>
      <c r="DD19" s="548"/>
      <c r="DE19" s="548"/>
      <c r="DF19" s="548"/>
      <c r="DG19" s="548"/>
      <c r="DH19" s="548"/>
      <c r="DI19" s="548"/>
      <c r="DJ19" s="548"/>
      <c r="DK19" s="548"/>
      <c r="DL19" s="548"/>
      <c r="DM19" s="549"/>
      <c r="DN19" s="573">
        <f t="shared" ref="DN19:DN29" si="1">AT19*80%</f>
        <v>49152</v>
      </c>
      <c r="DO19" s="573"/>
      <c r="DP19" s="573"/>
      <c r="DQ19" s="573"/>
      <c r="DR19" s="573"/>
      <c r="DS19" s="573"/>
      <c r="DT19" s="573"/>
      <c r="DU19" s="573"/>
      <c r="DV19" s="573"/>
      <c r="DW19" s="573"/>
      <c r="DX19" s="573"/>
      <c r="DY19" s="573"/>
      <c r="DZ19" s="573"/>
      <c r="EA19" s="573"/>
      <c r="EB19" s="573"/>
      <c r="EC19" s="573"/>
      <c r="ED19" s="573">
        <f t="shared" ref="ED19:ED29" si="2">AT19*50%</f>
        <v>30720</v>
      </c>
      <c r="EE19" s="573"/>
      <c r="EF19" s="573"/>
      <c r="EG19" s="573"/>
      <c r="EH19" s="573"/>
      <c r="EI19" s="573"/>
      <c r="EJ19" s="573"/>
      <c r="EK19" s="573"/>
      <c r="EL19" s="573"/>
      <c r="EM19" s="573"/>
      <c r="EN19" s="573"/>
      <c r="EO19" s="573"/>
      <c r="EP19" s="573"/>
      <c r="EQ19" s="573"/>
      <c r="ER19" s="573"/>
      <c r="ES19" s="573"/>
      <c r="ET19" s="573">
        <f t="shared" ref="ET19:ET29" si="3">(AT19+DN19+ED19)*12*AD19</f>
        <v>1695744</v>
      </c>
      <c r="EU19" s="573"/>
      <c r="EV19" s="573"/>
      <c r="EW19" s="573"/>
      <c r="EX19" s="573"/>
      <c r="EY19" s="573"/>
      <c r="EZ19" s="573"/>
      <c r="FA19" s="573"/>
      <c r="FB19" s="573"/>
      <c r="FC19" s="573"/>
      <c r="FD19" s="573"/>
      <c r="FE19" s="573"/>
      <c r="FF19" s="573"/>
      <c r="FG19" s="573"/>
      <c r="FH19" s="573"/>
      <c r="FI19" s="573"/>
      <c r="FJ19" s="573"/>
      <c r="FK19" s="165" t="s">
        <v>474</v>
      </c>
      <c r="FL19" s="165" t="s">
        <v>475</v>
      </c>
      <c r="FM19" s="168"/>
      <c r="FN19" s="171"/>
      <c r="FO19" s="172"/>
      <c r="FP19" s="172"/>
    </row>
    <row r="20" spans="1:172" s="16" customFormat="1" ht="13.2" customHeight="1" x14ac:dyDescent="0.3">
      <c r="A20" s="571" t="s">
        <v>462</v>
      </c>
      <c r="B20" s="571"/>
      <c r="C20" s="571"/>
      <c r="D20" s="571"/>
      <c r="E20" s="571"/>
      <c r="F20" s="571"/>
      <c r="G20" s="577" t="s">
        <v>476</v>
      </c>
      <c r="H20" s="577"/>
      <c r="I20" s="577"/>
      <c r="J20" s="577"/>
      <c r="K20" s="577"/>
      <c r="L20" s="577"/>
      <c r="M20" s="577"/>
      <c r="N20" s="577"/>
      <c r="O20" s="577"/>
      <c r="P20" s="577"/>
      <c r="Q20" s="577"/>
      <c r="R20" s="577"/>
      <c r="S20" s="577"/>
      <c r="T20" s="577"/>
      <c r="U20" s="577"/>
      <c r="V20" s="577"/>
      <c r="W20" s="577"/>
      <c r="X20" s="577"/>
      <c r="Y20" s="577"/>
      <c r="Z20" s="577"/>
      <c r="AA20" s="577"/>
      <c r="AB20" s="577"/>
      <c r="AC20" s="577"/>
      <c r="AD20" s="582">
        <v>1</v>
      </c>
      <c r="AE20" s="582"/>
      <c r="AF20" s="582"/>
      <c r="AG20" s="582"/>
      <c r="AH20" s="582"/>
      <c r="AI20" s="582"/>
      <c r="AJ20" s="582"/>
      <c r="AK20" s="582"/>
      <c r="AL20" s="582"/>
      <c r="AM20" s="582"/>
      <c r="AN20" s="582"/>
      <c r="AO20" s="582"/>
      <c r="AP20" s="582"/>
      <c r="AQ20" s="582"/>
      <c r="AR20" s="582"/>
      <c r="AS20" s="582"/>
      <c r="AT20" s="573">
        <f t="shared" si="0"/>
        <v>61440</v>
      </c>
      <c r="AU20" s="573"/>
      <c r="AV20" s="573"/>
      <c r="AW20" s="573"/>
      <c r="AX20" s="573"/>
      <c r="AY20" s="573"/>
      <c r="AZ20" s="573"/>
      <c r="BA20" s="573"/>
      <c r="BB20" s="573"/>
      <c r="BC20" s="573"/>
      <c r="BD20" s="573"/>
      <c r="BE20" s="573"/>
      <c r="BF20" s="573"/>
      <c r="BG20" s="573"/>
      <c r="BH20" s="573"/>
      <c r="BI20" s="573"/>
      <c r="BJ20" s="573"/>
      <c r="BK20" s="583">
        <v>33440</v>
      </c>
      <c r="BL20" s="583"/>
      <c r="BM20" s="583"/>
      <c r="BN20" s="583"/>
      <c r="BO20" s="583"/>
      <c r="BP20" s="583"/>
      <c r="BQ20" s="583"/>
      <c r="BR20" s="583"/>
      <c r="BS20" s="583"/>
      <c r="BT20" s="583"/>
      <c r="BU20" s="583"/>
      <c r="BV20" s="583"/>
      <c r="BW20" s="583"/>
      <c r="BX20" s="583"/>
      <c r="BY20" s="583"/>
      <c r="BZ20" s="583"/>
      <c r="CA20" s="583"/>
      <c r="CB20" s="583"/>
      <c r="CC20" s="573"/>
      <c r="CD20" s="573"/>
      <c r="CE20" s="573"/>
      <c r="CF20" s="573"/>
      <c r="CG20" s="573"/>
      <c r="CH20" s="573"/>
      <c r="CI20" s="573"/>
      <c r="CJ20" s="573"/>
      <c r="CK20" s="573"/>
      <c r="CL20" s="573"/>
      <c r="CM20" s="573"/>
      <c r="CN20" s="573"/>
      <c r="CO20" s="573"/>
      <c r="CP20" s="573"/>
      <c r="CQ20" s="573"/>
      <c r="CR20" s="573"/>
      <c r="CS20" s="573"/>
      <c r="CT20" s="573"/>
      <c r="CU20" s="573"/>
      <c r="CV20" s="547">
        <v>28000</v>
      </c>
      <c r="CW20" s="548"/>
      <c r="CX20" s="548"/>
      <c r="CY20" s="548"/>
      <c r="CZ20" s="548"/>
      <c r="DA20" s="548"/>
      <c r="DB20" s="548"/>
      <c r="DC20" s="548"/>
      <c r="DD20" s="548"/>
      <c r="DE20" s="548"/>
      <c r="DF20" s="548"/>
      <c r="DG20" s="548"/>
      <c r="DH20" s="548"/>
      <c r="DI20" s="548"/>
      <c r="DJ20" s="548"/>
      <c r="DK20" s="548"/>
      <c r="DL20" s="548"/>
      <c r="DM20" s="549"/>
      <c r="DN20" s="573">
        <f t="shared" si="1"/>
        <v>49152</v>
      </c>
      <c r="DO20" s="573"/>
      <c r="DP20" s="573"/>
      <c r="DQ20" s="573"/>
      <c r="DR20" s="573"/>
      <c r="DS20" s="573"/>
      <c r="DT20" s="573"/>
      <c r="DU20" s="573"/>
      <c r="DV20" s="573"/>
      <c r="DW20" s="573"/>
      <c r="DX20" s="573"/>
      <c r="DY20" s="573"/>
      <c r="DZ20" s="573"/>
      <c r="EA20" s="573"/>
      <c r="EB20" s="573"/>
      <c r="EC20" s="573"/>
      <c r="ED20" s="573">
        <f t="shared" si="2"/>
        <v>30720</v>
      </c>
      <c r="EE20" s="573"/>
      <c r="EF20" s="573"/>
      <c r="EG20" s="573"/>
      <c r="EH20" s="573"/>
      <c r="EI20" s="573"/>
      <c r="EJ20" s="573"/>
      <c r="EK20" s="573"/>
      <c r="EL20" s="573"/>
      <c r="EM20" s="573"/>
      <c r="EN20" s="573"/>
      <c r="EO20" s="573"/>
      <c r="EP20" s="573"/>
      <c r="EQ20" s="573"/>
      <c r="ER20" s="573"/>
      <c r="ES20" s="573"/>
      <c r="ET20" s="573">
        <f t="shared" si="3"/>
        <v>1695744</v>
      </c>
      <c r="EU20" s="573"/>
      <c r="EV20" s="573"/>
      <c r="EW20" s="573"/>
      <c r="EX20" s="573"/>
      <c r="EY20" s="573"/>
      <c r="EZ20" s="573"/>
      <c r="FA20" s="573"/>
      <c r="FB20" s="573"/>
      <c r="FC20" s="573"/>
      <c r="FD20" s="573"/>
      <c r="FE20" s="573"/>
      <c r="FF20" s="573"/>
      <c r="FG20" s="573"/>
      <c r="FH20" s="573"/>
      <c r="FI20" s="573"/>
      <c r="FJ20" s="573"/>
      <c r="FK20" s="167">
        <v>912000</v>
      </c>
      <c r="FL20" s="167">
        <f>(ET18-FK20)+(ET19-FK20)+(ET20-FK20)</f>
        <v>2499674.6</v>
      </c>
      <c r="FM20" s="168"/>
      <c r="FN20" s="171"/>
      <c r="FO20" s="172"/>
      <c r="FP20" s="172"/>
    </row>
    <row r="21" spans="1:172" s="16" customFormat="1" ht="13.2" customHeight="1" x14ac:dyDescent="0.3">
      <c r="A21" s="571" t="s">
        <v>477</v>
      </c>
      <c r="B21" s="571"/>
      <c r="C21" s="571"/>
      <c r="D21" s="571"/>
      <c r="E21" s="571"/>
      <c r="F21" s="571"/>
      <c r="G21" s="587" t="s">
        <v>478</v>
      </c>
      <c r="H21" s="588"/>
      <c r="I21" s="588"/>
      <c r="J21" s="588"/>
      <c r="K21" s="588"/>
      <c r="L21" s="588"/>
      <c r="M21" s="588"/>
      <c r="N21" s="588"/>
      <c r="O21" s="588"/>
      <c r="P21" s="588"/>
      <c r="Q21" s="588"/>
      <c r="R21" s="588"/>
      <c r="S21" s="588"/>
      <c r="T21" s="588"/>
      <c r="U21" s="588"/>
      <c r="V21" s="588"/>
      <c r="W21" s="588"/>
      <c r="X21" s="588"/>
      <c r="Y21" s="588"/>
      <c r="Z21" s="588"/>
      <c r="AA21" s="588"/>
      <c r="AB21" s="588"/>
      <c r="AC21" s="589"/>
      <c r="AD21" s="582">
        <v>1</v>
      </c>
      <c r="AE21" s="582"/>
      <c r="AF21" s="582"/>
      <c r="AG21" s="582"/>
      <c r="AH21" s="582"/>
      <c r="AI21" s="582"/>
      <c r="AJ21" s="582"/>
      <c r="AK21" s="582"/>
      <c r="AL21" s="582"/>
      <c r="AM21" s="582"/>
      <c r="AN21" s="582"/>
      <c r="AO21" s="582"/>
      <c r="AP21" s="582"/>
      <c r="AQ21" s="582"/>
      <c r="AR21" s="582"/>
      <c r="AS21" s="582"/>
      <c r="AT21" s="573">
        <f t="shared" si="0"/>
        <v>28457.181489999999</v>
      </c>
      <c r="AU21" s="573"/>
      <c r="AV21" s="573"/>
      <c r="AW21" s="573"/>
      <c r="AX21" s="573"/>
      <c r="AY21" s="573"/>
      <c r="AZ21" s="573"/>
      <c r="BA21" s="573"/>
      <c r="BB21" s="573"/>
      <c r="BC21" s="573"/>
      <c r="BD21" s="573"/>
      <c r="BE21" s="573"/>
      <c r="BF21" s="573"/>
      <c r="BG21" s="573"/>
      <c r="BH21" s="573"/>
      <c r="BI21" s="573"/>
      <c r="BJ21" s="573"/>
      <c r="BK21" s="583">
        <v>8250</v>
      </c>
      <c r="BL21" s="583"/>
      <c r="BM21" s="583"/>
      <c r="BN21" s="583"/>
      <c r="BO21" s="583"/>
      <c r="BP21" s="583"/>
      <c r="BQ21" s="583"/>
      <c r="BR21" s="583"/>
      <c r="BS21" s="583"/>
      <c r="BT21" s="583"/>
      <c r="BU21" s="583"/>
      <c r="BV21" s="583"/>
      <c r="BW21" s="583"/>
      <c r="BX21" s="583"/>
      <c r="BY21" s="583"/>
      <c r="BZ21" s="583"/>
      <c r="CA21" s="583"/>
      <c r="CB21" s="583"/>
      <c r="CC21" s="573">
        <v>725</v>
      </c>
      <c r="CD21" s="573"/>
      <c r="CE21" s="573"/>
      <c r="CF21" s="573"/>
      <c r="CG21" s="573"/>
      <c r="CH21" s="573"/>
      <c r="CI21" s="573"/>
      <c r="CJ21" s="573"/>
      <c r="CK21" s="573"/>
      <c r="CL21" s="573"/>
      <c r="CM21" s="573"/>
      <c r="CN21" s="573"/>
      <c r="CO21" s="573"/>
      <c r="CP21" s="573"/>
      <c r="CQ21" s="573"/>
      <c r="CR21" s="573"/>
      <c r="CS21" s="573"/>
      <c r="CT21" s="573"/>
      <c r="CU21" s="573"/>
      <c r="CV21" s="573">
        <v>19482.181489999999</v>
      </c>
      <c r="CW21" s="573"/>
      <c r="CX21" s="573"/>
      <c r="CY21" s="573"/>
      <c r="CZ21" s="573"/>
      <c r="DA21" s="573"/>
      <c r="DB21" s="573"/>
      <c r="DC21" s="573"/>
      <c r="DD21" s="573"/>
      <c r="DE21" s="573"/>
      <c r="DF21" s="573"/>
      <c r="DG21" s="573"/>
      <c r="DH21" s="573"/>
      <c r="DI21" s="573"/>
      <c r="DJ21" s="573"/>
      <c r="DK21" s="573"/>
      <c r="DL21" s="573"/>
      <c r="DM21" s="573"/>
      <c r="DN21" s="573">
        <f t="shared" si="1"/>
        <v>22765.745192000002</v>
      </c>
      <c r="DO21" s="573"/>
      <c r="DP21" s="573"/>
      <c r="DQ21" s="573"/>
      <c r="DR21" s="573"/>
      <c r="DS21" s="573"/>
      <c r="DT21" s="573"/>
      <c r="DU21" s="573"/>
      <c r="DV21" s="573"/>
      <c r="DW21" s="573"/>
      <c r="DX21" s="573"/>
      <c r="DY21" s="573"/>
      <c r="DZ21" s="573"/>
      <c r="EA21" s="573"/>
      <c r="EB21" s="573"/>
      <c r="EC21" s="573"/>
      <c r="ED21" s="573">
        <f t="shared" si="2"/>
        <v>14228.590745</v>
      </c>
      <c r="EE21" s="573"/>
      <c r="EF21" s="573"/>
      <c r="EG21" s="573"/>
      <c r="EH21" s="573"/>
      <c r="EI21" s="573"/>
      <c r="EJ21" s="573"/>
      <c r="EK21" s="573"/>
      <c r="EL21" s="573"/>
      <c r="EM21" s="573"/>
      <c r="EN21" s="573"/>
      <c r="EO21" s="573"/>
      <c r="EP21" s="573"/>
      <c r="EQ21" s="573"/>
      <c r="ER21" s="573"/>
      <c r="ES21" s="573"/>
      <c r="ET21" s="573">
        <f t="shared" si="3"/>
        <v>785418.20912400004</v>
      </c>
      <c r="EU21" s="573"/>
      <c r="EV21" s="573"/>
      <c r="EW21" s="573"/>
      <c r="EX21" s="573"/>
      <c r="EY21" s="573"/>
      <c r="EZ21" s="573"/>
      <c r="FA21" s="573"/>
      <c r="FB21" s="573"/>
      <c r="FC21" s="573"/>
      <c r="FD21" s="573"/>
      <c r="FE21" s="573"/>
      <c r="FF21" s="573"/>
      <c r="FG21" s="573"/>
      <c r="FH21" s="573"/>
      <c r="FI21" s="573"/>
      <c r="FJ21" s="573"/>
      <c r="FK21" s="171"/>
      <c r="FN21" s="171"/>
      <c r="FO21" s="172"/>
      <c r="FP21" s="172"/>
    </row>
    <row r="22" spans="1:172" s="16" customFormat="1" ht="13.2" customHeight="1" x14ac:dyDescent="0.3">
      <c r="A22" s="571" t="s">
        <v>479</v>
      </c>
      <c r="B22" s="571"/>
      <c r="C22" s="571"/>
      <c r="D22" s="571"/>
      <c r="E22" s="571"/>
      <c r="F22" s="571"/>
      <c r="G22" s="587" t="s">
        <v>480</v>
      </c>
      <c r="H22" s="588"/>
      <c r="I22" s="588"/>
      <c r="J22" s="588"/>
      <c r="K22" s="588"/>
      <c r="L22" s="588"/>
      <c r="M22" s="588"/>
      <c r="N22" s="588"/>
      <c r="O22" s="588"/>
      <c r="P22" s="588"/>
      <c r="Q22" s="588"/>
      <c r="R22" s="588"/>
      <c r="S22" s="588"/>
      <c r="T22" s="588"/>
      <c r="U22" s="588"/>
      <c r="V22" s="588"/>
      <c r="W22" s="588"/>
      <c r="X22" s="588"/>
      <c r="Y22" s="588"/>
      <c r="Z22" s="588"/>
      <c r="AA22" s="588"/>
      <c r="AB22" s="588"/>
      <c r="AC22" s="589"/>
      <c r="AD22" s="582">
        <v>1</v>
      </c>
      <c r="AE22" s="582"/>
      <c r="AF22" s="582"/>
      <c r="AG22" s="582"/>
      <c r="AH22" s="582"/>
      <c r="AI22" s="582"/>
      <c r="AJ22" s="582"/>
      <c r="AK22" s="582"/>
      <c r="AL22" s="582"/>
      <c r="AM22" s="582"/>
      <c r="AN22" s="582"/>
      <c r="AO22" s="582"/>
      <c r="AP22" s="582"/>
      <c r="AQ22" s="582"/>
      <c r="AR22" s="582"/>
      <c r="AS22" s="582"/>
      <c r="AT22" s="573">
        <f t="shared" si="0"/>
        <v>28788</v>
      </c>
      <c r="AU22" s="573"/>
      <c r="AV22" s="573"/>
      <c r="AW22" s="573"/>
      <c r="AX22" s="573"/>
      <c r="AY22" s="573"/>
      <c r="AZ22" s="573"/>
      <c r="BA22" s="573"/>
      <c r="BB22" s="573"/>
      <c r="BC22" s="573"/>
      <c r="BD22" s="573"/>
      <c r="BE22" s="573"/>
      <c r="BF22" s="573"/>
      <c r="BG22" s="573"/>
      <c r="BH22" s="573"/>
      <c r="BI22" s="573"/>
      <c r="BJ22" s="573"/>
      <c r="BK22" s="583">
        <v>7063</v>
      </c>
      <c r="BL22" s="583"/>
      <c r="BM22" s="583"/>
      <c r="BN22" s="583"/>
      <c r="BO22" s="583"/>
      <c r="BP22" s="583"/>
      <c r="BQ22" s="583"/>
      <c r="BR22" s="583"/>
      <c r="BS22" s="583"/>
      <c r="BT22" s="583"/>
      <c r="BU22" s="583"/>
      <c r="BV22" s="583"/>
      <c r="BW22" s="583"/>
      <c r="BX22" s="583"/>
      <c r="BY22" s="583"/>
      <c r="BZ22" s="583"/>
      <c r="CA22" s="583"/>
      <c r="CB22" s="583"/>
      <c r="CC22" s="625">
        <v>725</v>
      </c>
      <c r="CD22" s="625"/>
      <c r="CE22" s="625"/>
      <c r="CF22" s="625"/>
      <c r="CG22" s="625"/>
      <c r="CH22" s="625"/>
      <c r="CI22" s="625"/>
      <c r="CJ22" s="625"/>
      <c r="CK22" s="625"/>
      <c r="CL22" s="625"/>
      <c r="CM22" s="625"/>
      <c r="CN22" s="625"/>
      <c r="CO22" s="625"/>
      <c r="CP22" s="625"/>
      <c r="CQ22" s="625"/>
      <c r="CR22" s="625"/>
      <c r="CS22" s="625"/>
      <c r="CT22" s="625"/>
      <c r="CU22" s="625"/>
      <c r="CV22" s="573">
        <v>21000</v>
      </c>
      <c r="CW22" s="573"/>
      <c r="CX22" s="573"/>
      <c r="CY22" s="573"/>
      <c r="CZ22" s="573"/>
      <c r="DA22" s="573"/>
      <c r="DB22" s="573"/>
      <c r="DC22" s="573"/>
      <c r="DD22" s="573"/>
      <c r="DE22" s="573"/>
      <c r="DF22" s="573"/>
      <c r="DG22" s="573"/>
      <c r="DH22" s="573"/>
      <c r="DI22" s="573"/>
      <c r="DJ22" s="573"/>
      <c r="DK22" s="573"/>
      <c r="DL22" s="573"/>
      <c r="DM22" s="573"/>
      <c r="DN22" s="573">
        <f t="shared" si="1"/>
        <v>23030.400000000001</v>
      </c>
      <c r="DO22" s="573"/>
      <c r="DP22" s="573"/>
      <c r="DQ22" s="573"/>
      <c r="DR22" s="573"/>
      <c r="DS22" s="573"/>
      <c r="DT22" s="573"/>
      <c r="DU22" s="573"/>
      <c r="DV22" s="573"/>
      <c r="DW22" s="573"/>
      <c r="DX22" s="573"/>
      <c r="DY22" s="573"/>
      <c r="DZ22" s="573"/>
      <c r="EA22" s="573"/>
      <c r="EB22" s="573"/>
      <c r="EC22" s="573"/>
      <c r="ED22" s="573">
        <f t="shared" si="2"/>
        <v>14394</v>
      </c>
      <c r="EE22" s="573"/>
      <c r="EF22" s="573"/>
      <c r="EG22" s="573"/>
      <c r="EH22" s="573"/>
      <c r="EI22" s="573"/>
      <c r="EJ22" s="573"/>
      <c r="EK22" s="573"/>
      <c r="EL22" s="573"/>
      <c r="EM22" s="573"/>
      <c r="EN22" s="573"/>
      <c r="EO22" s="573"/>
      <c r="EP22" s="573"/>
      <c r="EQ22" s="573"/>
      <c r="ER22" s="573"/>
      <c r="ES22" s="573"/>
      <c r="ET22" s="573">
        <f t="shared" si="3"/>
        <v>794548.79999999993</v>
      </c>
      <c r="EU22" s="573"/>
      <c r="EV22" s="573"/>
      <c r="EW22" s="573"/>
      <c r="EX22" s="573"/>
      <c r="EY22" s="573"/>
      <c r="EZ22" s="573"/>
      <c r="FA22" s="573"/>
      <c r="FB22" s="573"/>
      <c r="FC22" s="573"/>
      <c r="FD22" s="573"/>
      <c r="FE22" s="573"/>
      <c r="FF22" s="573"/>
      <c r="FG22" s="573"/>
      <c r="FH22" s="573"/>
      <c r="FI22" s="573"/>
      <c r="FJ22" s="573"/>
      <c r="FK22" s="171"/>
      <c r="FN22" s="171"/>
      <c r="FO22" s="165"/>
      <c r="FP22" s="165"/>
    </row>
    <row r="23" spans="1:172" s="16" customFormat="1" ht="13.2" customHeight="1" x14ac:dyDescent="0.3">
      <c r="A23" s="581" t="s">
        <v>481</v>
      </c>
      <c r="B23" s="581"/>
      <c r="C23" s="581"/>
      <c r="D23" s="581"/>
      <c r="E23" s="581"/>
      <c r="F23" s="581"/>
      <c r="G23" s="584" t="s">
        <v>482</v>
      </c>
      <c r="H23" s="585"/>
      <c r="I23" s="585"/>
      <c r="J23" s="585"/>
      <c r="K23" s="585"/>
      <c r="L23" s="585"/>
      <c r="M23" s="585"/>
      <c r="N23" s="585"/>
      <c r="O23" s="585"/>
      <c r="P23" s="585"/>
      <c r="Q23" s="585"/>
      <c r="R23" s="585"/>
      <c r="S23" s="585"/>
      <c r="T23" s="585"/>
      <c r="U23" s="585"/>
      <c r="V23" s="585"/>
      <c r="W23" s="585"/>
      <c r="X23" s="585"/>
      <c r="Y23" s="585"/>
      <c r="Z23" s="585"/>
      <c r="AA23" s="585"/>
      <c r="AB23" s="585"/>
      <c r="AC23" s="586"/>
      <c r="AD23" s="582">
        <v>1</v>
      </c>
      <c r="AE23" s="582"/>
      <c r="AF23" s="582"/>
      <c r="AG23" s="582"/>
      <c r="AH23" s="582"/>
      <c r="AI23" s="582"/>
      <c r="AJ23" s="582"/>
      <c r="AK23" s="582"/>
      <c r="AL23" s="582"/>
      <c r="AM23" s="582"/>
      <c r="AN23" s="582"/>
      <c r="AO23" s="582"/>
      <c r="AP23" s="582"/>
      <c r="AQ23" s="582"/>
      <c r="AR23" s="582"/>
      <c r="AS23" s="582"/>
      <c r="AT23" s="573">
        <f t="shared" si="0"/>
        <v>29975</v>
      </c>
      <c r="AU23" s="573"/>
      <c r="AV23" s="573"/>
      <c r="AW23" s="573"/>
      <c r="AX23" s="573"/>
      <c r="AY23" s="573"/>
      <c r="AZ23" s="573"/>
      <c r="BA23" s="573"/>
      <c r="BB23" s="573"/>
      <c r="BC23" s="573"/>
      <c r="BD23" s="573"/>
      <c r="BE23" s="573"/>
      <c r="BF23" s="573"/>
      <c r="BG23" s="573"/>
      <c r="BH23" s="573"/>
      <c r="BI23" s="573"/>
      <c r="BJ23" s="573"/>
      <c r="BK23" s="583">
        <v>8250</v>
      </c>
      <c r="BL23" s="583"/>
      <c r="BM23" s="583"/>
      <c r="BN23" s="583"/>
      <c r="BO23" s="583"/>
      <c r="BP23" s="583"/>
      <c r="BQ23" s="583"/>
      <c r="BR23" s="583"/>
      <c r="BS23" s="583"/>
      <c r="BT23" s="583"/>
      <c r="BU23" s="583"/>
      <c r="BV23" s="583"/>
      <c r="BW23" s="583"/>
      <c r="BX23" s="583"/>
      <c r="BY23" s="583"/>
      <c r="BZ23" s="583"/>
      <c r="CA23" s="583"/>
      <c r="CB23" s="583"/>
      <c r="CC23" s="573">
        <v>725</v>
      </c>
      <c r="CD23" s="573"/>
      <c r="CE23" s="573"/>
      <c r="CF23" s="573"/>
      <c r="CG23" s="573"/>
      <c r="CH23" s="573"/>
      <c r="CI23" s="573"/>
      <c r="CJ23" s="573"/>
      <c r="CK23" s="573"/>
      <c r="CL23" s="573"/>
      <c r="CM23" s="573"/>
      <c r="CN23" s="573"/>
      <c r="CO23" s="573"/>
      <c r="CP23" s="573"/>
      <c r="CQ23" s="573"/>
      <c r="CR23" s="573"/>
      <c r="CS23" s="573"/>
      <c r="CT23" s="573"/>
      <c r="CU23" s="573"/>
      <c r="CV23" s="573">
        <v>21000</v>
      </c>
      <c r="CW23" s="573"/>
      <c r="CX23" s="573"/>
      <c r="CY23" s="573"/>
      <c r="CZ23" s="573"/>
      <c r="DA23" s="573"/>
      <c r="DB23" s="573"/>
      <c r="DC23" s="573"/>
      <c r="DD23" s="573"/>
      <c r="DE23" s="573"/>
      <c r="DF23" s="573"/>
      <c r="DG23" s="573"/>
      <c r="DH23" s="573"/>
      <c r="DI23" s="573"/>
      <c r="DJ23" s="573"/>
      <c r="DK23" s="573"/>
      <c r="DL23" s="573"/>
      <c r="DM23" s="573"/>
      <c r="DN23" s="573">
        <f t="shared" si="1"/>
        <v>23980</v>
      </c>
      <c r="DO23" s="573"/>
      <c r="DP23" s="573"/>
      <c r="DQ23" s="573"/>
      <c r="DR23" s="573"/>
      <c r="DS23" s="573"/>
      <c r="DT23" s="573"/>
      <c r="DU23" s="573"/>
      <c r="DV23" s="573"/>
      <c r="DW23" s="573"/>
      <c r="DX23" s="573"/>
      <c r="DY23" s="573"/>
      <c r="DZ23" s="573"/>
      <c r="EA23" s="573"/>
      <c r="EB23" s="573"/>
      <c r="EC23" s="573"/>
      <c r="ED23" s="573">
        <f t="shared" si="2"/>
        <v>14987.5</v>
      </c>
      <c r="EE23" s="573"/>
      <c r="EF23" s="573"/>
      <c r="EG23" s="573"/>
      <c r="EH23" s="573"/>
      <c r="EI23" s="573"/>
      <c r="EJ23" s="573"/>
      <c r="EK23" s="573"/>
      <c r="EL23" s="573"/>
      <c r="EM23" s="573"/>
      <c r="EN23" s="573"/>
      <c r="EO23" s="573"/>
      <c r="EP23" s="573"/>
      <c r="EQ23" s="573"/>
      <c r="ER23" s="573"/>
      <c r="ES23" s="573"/>
      <c r="ET23" s="573">
        <f t="shared" si="3"/>
        <v>827310</v>
      </c>
      <c r="EU23" s="573"/>
      <c r="EV23" s="573"/>
      <c r="EW23" s="573"/>
      <c r="EX23" s="573"/>
      <c r="EY23" s="573"/>
      <c r="EZ23" s="573"/>
      <c r="FA23" s="573"/>
      <c r="FB23" s="573"/>
      <c r="FC23" s="573"/>
      <c r="FD23" s="573"/>
      <c r="FE23" s="573"/>
      <c r="FF23" s="573"/>
      <c r="FG23" s="573"/>
      <c r="FH23" s="573"/>
      <c r="FI23" s="573"/>
      <c r="FJ23" s="573"/>
      <c r="FK23" s="171"/>
      <c r="FN23" s="171"/>
      <c r="FO23" s="167"/>
      <c r="FP23" s="173"/>
    </row>
    <row r="24" spans="1:172" s="16" customFormat="1" ht="13.2" customHeight="1" x14ac:dyDescent="0.3">
      <c r="A24" s="581" t="s">
        <v>483</v>
      </c>
      <c r="B24" s="581"/>
      <c r="C24" s="581"/>
      <c r="D24" s="581"/>
      <c r="E24" s="581"/>
      <c r="F24" s="581"/>
      <c r="G24" s="584" t="s">
        <v>484</v>
      </c>
      <c r="H24" s="585"/>
      <c r="I24" s="585"/>
      <c r="J24" s="585"/>
      <c r="K24" s="585"/>
      <c r="L24" s="585"/>
      <c r="M24" s="585"/>
      <c r="N24" s="585"/>
      <c r="O24" s="585"/>
      <c r="P24" s="585"/>
      <c r="Q24" s="585"/>
      <c r="R24" s="585"/>
      <c r="S24" s="585"/>
      <c r="T24" s="585"/>
      <c r="U24" s="585"/>
      <c r="V24" s="585"/>
      <c r="W24" s="585"/>
      <c r="X24" s="585"/>
      <c r="Y24" s="585"/>
      <c r="Z24" s="585"/>
      <c r="AA24" s="585"/>
      <c r="AB24" s="585"/>
      <c r="AC24" s="586"/>
      <c r="AD24" s="582">
        <v>3</v>
      </c>
      <c r="AE24" s="582"/>
      <c r="AF24" s="582"/>
      <c r="AG24" s="582"/>
      <c r="AH24" s="582"/>
      <c r="AI24" s="582"/>
      <c r="AJ24" s="582"/>
      <c r="AK24" s="582"/>
      <c r="AL24" s="582"/>
      <c r="AM24" s="582"/>
      <c r="AN24" s="582"/>
      <c r="AO24" s="582"/>
      <c r="AP24" s="582"/>
      <c r="AQ24" s="582"/>
      <c r="AR24" s="582"/>
      <c r="AS24" s="582"/>
      <c r="AT24" s="573">
        <f t="shared" si="0"/>
        <v>30575</v>
      </c>
      <c r="AU24" s="573"/>
      <c r="AV24" s="573"/>
      <c r="AW24" s="573"/>
      <c r="AX24" s="573"/>
      <c r="AY24" s="573"/>
      <c r="AZ24" s="573"/>
      <c r="BA24" s="573"/>
      <c r="BB24" s="573"/>
      <c r="BC24" s="573"/>
      <c r="BD24" s="573"/>
      <c r="BE24" s="573"/>
      <c r="BF24" s="573"/>
      <c r="BG24" s="573"/>
      <c r="BH24" s="573"/>
      <c r="BI24" s="573"/>
      <c r="BJ24" s="573"/>
      <c r="BK24" s="583">
        <v>8250</v>
      </c>
      <c r="BL24" s="583"/>
      <c r="BM24" s="583"/>
      <c r="BN24" s="583"/>
      <c r="BO24" s="583"/>
      <c r="BP24" s="583"/>
      <c r="BQ24" s="583"/>
      <c r="BR24" s="583"/>
      <c r="BS24" s="583"/>
      <c r="BT24" s="583"/>
      <c r="BU24" s="583"/>
      <c r="BV24" s="583"/>
      <c r="BW24" s="583"/>
      <c r="BX24" s="583"/>
      <c r="BY24" s="583"/>
      <c r="BZ24" s="583"/>
      <c r="CA24" s="583"/>
      <c r="CB24" s="583"/>
      <c r="CC24" s="573">
        <v>725</v>
      </c>
      <c r="CD24" s="573"/>
      <c r="CE24" s="573"/>
      <c r="CF24" s="573"/>
      <c r="CG24" s="573"/>
      <c r="CH24" s="573"/>
      <c r="CI24" s="573"/>
      <c r="CJ24" s="573"/>
      <c r="CK24" s="573"/>
      <c r="CL24" s="573"/>
      <c r="CM24" s="573"/>
      <c r="CN24" s="573"/>
      <c r="CO24" s="573"/>
      <c r="CP24" s="573"/>
      <c r="CQ24" s="573"/>
      <c r="CR24" s="573"/>
      <c r="CS24" s="573"/>
      <c r="CT24" s="573"/>
      <c r="CU24" s="573"/>
      <c r="CV24" s="573">
        <v>21600</v>
      </c>
      <c r="CW24" s="573"/>
      <c r="CX24" s="573"/>
      <c r="CY24" s="573"/>
      <c r="CZ24" s="573"/>
      <c r="DA24" s="573"/>
      <c r="DB24" s="573"/>
      <c r="DC24" s="573"/>
      <c r="DD24" s="573"/>
      <c r="DE24" s="573"/>
      <c r="DF24" s="573"/>
      <c r="DG24" s="573"/>
      <c r="DH24" s="573"/>
      <c r="DI24" s="573"/>
      <c r="DJ24" s="573"/>
      <c r="DK24" s="573"/>
      <c r="DL24" s="573"/>
      <c r="DM24" s="573"/>
      <c r="DN24" s="573">
        <f t="shared" si="1"/>
        <v>24460</v>
      </c>
      <c r="DO24" s="573"/>
      <c r="DP24" s="573"/>
      <c r="DQ24" s="573"/>
      <c r="DR24" s="573"/>
      <c r="DS24" s="573"/>
      <c r="DT24" s="573"/>
      <c r="DU24" s="573"/>
      <c r="DV24" s="573"/>
      <c r="DW24" s="573"/>
      <c r="DX24" s="573"/>
      <c r="DY24" s="573"/>
      <c r="DZ24" s="573"/>
      <c r="EA24" s="573"/>
      <c r="EB24" s="573"/>
      <c r="EC24" s="573"/>
      <c r="ED24" s="573">
        <f t="shared" si="2"/>
        <v>15287.5</v>
      </c>
      <c r="EE24" s="573"/>
      <c r="EF24" s="573"/>
      <c r="EG24" s="573"/>
      <c r="EH24" s="573"/>
      <c r="EI24" s="573"/>
      <c r="EJ24" s="573"/>
      <c r="EK24" s="573"/>
      <c r="EL24" s="573"/>
      <c r="EM24" s="573"/>
      <c r="EN24" s="573"/>
      <c r="EO24" s="573"/>
      <c r="EP24" s="573"/>
      <c r="EQ24" s="573"/>
      <c r="ER24" s="573"/>
      <c r="ES24" s="573"/>
      <c r="ET24" s="573">
        <f>(AT24+DN24+ED24)*12*AD24</f>
        <v>2531610</v>
      </c>
      <c r="EU24" s="573"/>
      <c r="EV24" s="573"/>
      <c r="EW24" s="573"/>
      <c r="EX24" s="573"/>
      <c r="EY24" s="573"/>
      <c r="EZ24" s="573"/>
      <c r="FA24" s="573"/>
      <c r="FB24" s="573"/>
      <c r="FC24" s="573"/>
      <c r="FD24" s="573"/>
      <c r="FE24" s="573"/>
      <c r="FF24" s="573"/>
      <c r="FG24" s="573"/>
      <c r="FH24" s="573"/>
      <c r="FI24" s="573"/>
      <c r="FJ24" s="573"/>
      <c r="FK24" s="171"/>
      <c r="FN24" s="171"/>
      <c r="FO24" s="174"/>
      <c r="FP24" s="175"/>
    </row>
    <row r="25" spans="1:172" s="16" customFormat="1" ht="15" customHeight="1" x14ac:dyDescent="0.3">
      <c r="A25" s="581" t="s">
        <v>485</v>
      </c>
      <c r="B25" s="581"/>
      <c r="C25" s="581"/>
      <c r="D25" s="581"/>
      <c r="E25" s="581"/>
      <c r="F25" s="581"/>
      <c r="G25" s="584" t="s">
        <v>486</v>
      </c>
      <c r="H25" s="585"/>
      <c r="I25" s="585"/>
      <c r="J25" s="585"/>
      <c r="K25" s="585"/>
      <c r="L25" s="585"/>
      <c r="M25" s="585"/>
      <c r="N25" s="585"/>
      <c r="O25" s="585"/>
      <c r="P25" s="585"/>
      <c r="Q25" s="585"/>
      <c r="R25" s="585"/>
      <c r="S25" s="585"/>
      <c r="T25" s="585"/>
      <c r="U25" s="585"/>
      <c r="V25" s="585"/>
      <c r="W25" s="585"/>
      <c r="X25" s="585"/>
      <c r="Y25" s="585"/>
      <c r="Z25" s="585"/>
      <c r="AA25" s="585"/>
      <c r="AB25" s="585"/>
      <c r="AC25" s="586"/>
      <c r="AD25" s="582">
        <v>1</v>
      </c>
      <c r="AE25" s="582"/>
      <c r="AF25" s="582"/>
      <c r="AG25" s="582"/>
      <c r="AH25" s="582"/>
      <c r="AI25" s="582"/>
      <c r="AJ25" s="582"/>
      <c r="AK25" s="582"/>
      <c r="AL25" s="582"/>
      <c r="AM25" s="582"/>
      <c r="AN25" s="582"/>
      <c r="AO25" s="582"/>
      <c r="AP25" s="582"/>
      <c r="AQ25" s="582"/>
      <c r="AR25" s="582"/>
      <c r="AS25" s="582"/>
      <c r="AT25" s="573">
        <f t="shared" si="0"/>
        <v>34607</v>
      </c>
      <c r="AU25" s="573"/>
      <c r="AV25" s="573"/>
      <c r="AW25" s="573"/>
      <c r="AX25" s="573"/>
      <c r="AY25" s="573"/>
      <c r="AZ25" s="573"/>
      <c r="BA25" s="573"/>
      <c r="BB25" s="573"/>
      <c r="BC25" s="573"/>
      <c r="BD25" s="573"/>
      <c r="BE25" s="573"/>
      <c r="BF25" s="573"/>
      <c r="BG25" s="573"/>
      <c r="BH25" s="573"/>
      <c r="BI25" s="573"/>
      <c r="BJ25" s="573"/>
      <c r="BK25" s="583">
        <v>9607</v>
      </c>
      <c r="BL25" s="583"/>
      <c r="BM25" s="583"/>
      <c r="BN25" s="583"/>
      <c r="BO25" s="583"/>
      <c r="BP25" s="583"/>
      <c r="BQ25" s="583"/>
      <c r="BR25" s="583"/>
      <c r="BS25" s="583"/>
      <c r="BT25" s="583"/>
      <c r="BU25" s="583"/>
      <c r="BV25" s="583"/>
      <c r="BW25" s="583"/>
      <c r="BX25" s="583"/>
      <c r="BY25" s="583"/>
      <c r="BZ25" s="583"/>
      <c r="CA25" s="583"/>
      <c r="CB25" s="583"/>
      <c r="CC25" s="573"/>
      <c r="CD25" s="573"/>
      <c r="CE25" s="573"/>
      <c r="CF25" s="573"/>
      <c r="CG25" s="573"/>
      <c r="CH25" s="573"/>
      <c r="CI25" s="573"/>
      <c r="CJ25" s="573"/>
      <c r="CK25" s="573"/>
      <c r="CL25" s="573"/>
      <c r="CM25" s="573"/>
      <c r="CN25" s="573"/>
      <c r="CO25" s="573"/>
      <c r="CP25" s="573"/>
      <c r="CQ25" s="573"/>
      <c r="CR25" s="573"/>
      <c r="CS25" s="573"/>
      <c r="CT25" s="573"/>
      <c r="CU25" s="573"/>
      <c r="CV25" s="573">
        <v>25000</v>
      </c>
      <c r="CW25" s="573"/>
      <c r="CX25" s="573"/>
      <c r="CY25" s="573"/>
      <c r="CZ25" s="573"/>
      <c r="DA25" s="573"/>
      <c r="DB25" s="573"/>
      <c r="DC25" s="573"/>
      <c r="DD25" s="573"/>
      <c r="DE25" s="573"/>
      <c r="DF25" s="573"/>
      <c r="DG25" s="573"/>
      <c r="DH25" s="573"/>
      <c r="DI25" s="573"/>
      <c r="DJ25" s="573"/>
      <c r="DK25" s="573"/>
      <c r="DL25" s="573"/>
      <c r="DM25" s="573"/>
      <c r="DN25" s="573">
        <f t="shared" si="1"/>
        <v>27685.600000000002</v>
      </c>
      <c r="DO25" s="573"/>
      <c r="DP25" s="573"/>
      <c r="DQ25" s="573"/>
      <c r="DR25" s="573"/>
      <c r="DS25" s="573"/>
      <c r="DT25" s="573"/>
      <c r="DU25" s="573"/>
      <c r="DV25" s="573"/>
      <c r="DW25" s="573"/>
      <c r="DX25" s="573"/>
      <c r="DY25" s="573"/>
      <c r="DZ25" s="573"/>
      <c r="EA25" s="573"/>
      <c r="EB25" s="573"/>
      <c r="EC25" s="573"/>
      <c r="ED25" s="573">
        <f t="shared" si="2"/>
        <v>17303.5</v>
      </c>
      <c r="EE25" s="573"/>
      <c r="EF25" s="573"/>
      <c r="EG25" s="573"/>
      <c r="EH25" s="573"/>
      <c r="EI25" s="573"/>
      <c r="EJ25" s="573"/>
      <c r="EK25" s="573"/>
      <c r="EL25" s="573"/>
      <c r="EM25" s="573"/>
      <c r="EN25" s="573"/>
      <c r="EO25" s="573"/>
      <c r="EP25" s="573"/>
      <c r="EQ25" s="573"/>
      <c r="ER25" s="573"/>
      <c r="ES25" s="573"/>
      <c r="ET25" s="573">
        <f t="shared" si="3"/>
        <v>955153.20000000007</v>
      </c>
      <c r="EU25" s="573"/>
      <c r="EV25" s="573"/>
      <c r="EW25" s="573"/>
      <c r="EX25" s="573"/>
      <c r="EY25" s="573"/>
      <c r="EZ25" s="573"/>
      <c r="FA25" s="573"/>
      <c r="FB25" s="573"/>
      <c r="FC25" s="573"/>
      <c r="FD25" s="573"/>
      <c r="FE25" s="573"/>
      <c r="FF25" s="573"/>
      <c r="FG25" s="573"/>
      <c r="FH25" s="573"/>
      <c r="FI25" s="573"/>
      <c r="FJ25" s="573"/>
      <c r="FK25" s="171"/>
      <c r="FN25" s="171"/>
      <c r="FO25" s="173"/>
      <c r="FP25" s="173"/>
    </row>
    <row r="26" spans="1:172" s="16" customFormat="1" ht="15" customHeight="1" x14ac:dyDescent="0.3">
      <c r="A26" s="581" t="s">
        <v>487</v>
      </c>
      <c r="B26" s="581"/>
      <c r="C26" s="581"/>
      <c r="D26" s="581"/>
      <c r="E26" s="581"/>
      <c r="F26" s="581"/>
      <c r="G26" s="584" t="s">
        <v>488</v>
      </c>
      <c r="H26" s="585"/>
      <c r="I26" s="585"/>
      <c r="J26" s="585"/>
      <c r="K26" s="585"/>
      <c r="L26" s="585"/>
      <c r="M26" s="585"/>
      <c r="N26" s="585"/>
      <c r="O26" s="585"/>
      <c r="P26" s="585"/>
      <c r="Q26" s="585"/>
      <c r="R26" s="585"/>
      <c r="S26" s="585"/>
      <c r="T26" s="585"/>
      <c r="U26" s="585"/>
      <c r="V26" s="585"/>
      <c r="W26" s="585"/>
      <c r="X26" s="585"/>
      <c r="Y26" s="585"/>
      <c r="Z26" s="585"/>
      <c r="AA26" s="585"/>
      <c r="AB26" s="585"/>
      <c r="AC26" s="586"/>
      <c r="AD26" s="582">
        <v>1</v>
      </c>
      <c r="AE26" s="582"/>
      <c r="AF26" s="582"/>
      <c r="AG26" s="582"/>
      <c r="AH26" s="582"/>
      <c r="AI26" s="582"/>
      <c r="AJ26" s="582"/>
      <c r="AK26" s="582"/>
      <c r="AL26" s="582"/>
      <c r="AM26" s="582"/>
      <c r="AN26" s="582"/>
      <c r="AO26" s="582"/>
      <c r="AP26" s="582"/>
      <c r="AQ26" s="582"/>
      <c r="AR26" s="582"/>
      <c r="AS26" s="582"/>
      <c r="AT26" s="573">
        <f t="shared" si="0"/>
        <v>28750</v>
      </c>
      <c r="AU26" s="573"/>
      <c r="AV26" s="573"/>
      <c r="AW26" s="573"/>
      <c r="AX26" s="573"/>
      <c r="AY26" s="573"/>
      <c r="AZ26" s="573"/>
      <c r="BA26" s="573"/>
      <c r="BB26" s="573"/>
      <c r="BC26" s="573"/>
      <c r="BD26" s="573"/>
      <c r="BE26" s="573"/>
      <c r="BF26" s="573"/>
      <c r="BG26" s="573"/>
      <c r="BH26" s="573"/>
      <c r="BI26" s="573"/>
      <c r="BJ26" s="573"/>
      <c r="BK26" s="583">
        <v>8250</v>
      </c>
      <c r="BL26" s="583"/>
      <c r="BM26" s="583"/>
      <c r="BN26" s="583"/>
      <c r="BO26" s="583"/>
      <c r="BP26" s="583"/>
      <c r="BQ26" s="583"/>
      <c r="BR26" s="583"/>
      <c r="BS26" s="583"/>
      <c r="BT26" s="583"/>
      <c r="BU26" s="583"/>
      <c r="BV26" s="583"/>
      <c r="BW26" s="583"/>
      <c r="BX26" s="583"/>
      <c r="BY26" s="583"/>
      <c r="BZ26" s="583"/>
      <c r="CA26" s="583"/>
      <c r="CB26" s="583"/>
      <c r="CC26" s="573"/>
      <c r="CD26" s="573"/>
      <c r="CE26" s="573"/>
      <c r="CF26" s="573"/>
      <c r="CG26" s="573"/>
      <c r="CH26" s="573"/>
      <c r="CI26" s="573"/>
      <c r="CJ26" s="573"/>
      <c r="CK26" s="573"/>
      <c r="CL26" s="573"/>
      <c r="CM26" s="573"/>
      <c r="CN26" s="573"/>
      <c r="CO26" s="573"/>
      <c r="CP26" s="573"/>
      <c r="CQ26" s="573"/>
      <c r="CR26" s="573"/>
      <c r="CS26" s="573"/>
      <c r="CT26" s="573"/>
      <c r="CU26" s="573"/>
      <c r="CV26" s="573">
        <v>20500</v>
      </c>
      <c r="CW26" s="573"/>
      <c r="CX26" s="573"/>
      <c r="CY26" s="573"/>
      <c r="CZ26" s="573"/>
      <c r="DA26" s="573"/>
      <c r="DB26" s="573"/>
      <c r="DC26" s="573"/>
      <c r="DD26" s="573"/>
      <c r="DE26" s="573"/>
      <c r="DF26" s="573"/>
      <c r="DG26" s="573"/>
      <c r="DH26" s="573"/>
      <c r="DI26" s="573"/>
      <c r="DJ26" s="573"/>
      <c r="DK26" s="573"/>
      <c r="DL26" s="573"/>
      <c r="DM26" s="573"/>
      <c r="DN26" s="573">
        <f t="shared" si="1"/>
        <v>23000</v>
      </c>
      <c r="DO26" s="573"/>
      <c r="DP26" s="573"/>
      <c r="DQ26" s="573"/>
      <c r="DR26" s="573"/>
      <c r="DS26" s="573"/>
      <c r="DT26" s="573"/>
      <c r="DU26" s="573"/>
      <c r="DV26" s="573"/>
      <c r="DW26" s="573"/>
      <c r="DX26" s="573"/>
      <c r="DY26" s="573"/>
      <c r="DZ26" s="573"/>
      <c r="EA26" s="573"/>
      <c r="EB26" s="573"/>
      <c r="EC26" s="573"/>
      <c r="ED26" s="573">
        <f t="shared" si="2"/>
        <v>14375</v>
      </c>
      <c r="EE26" s="573"/>
      <c r="EF26" s="573"/>
      <c r="EG26" s="573"/>
      <c r="EH26" s="573"/>
      <c r="EI26" s="573"/>
      <c r="EJ26" s="573"/>
      <c r="EK26" s="573"/>
      <c r="EL26" s="573"/>
      <c r="EM26" s="573"/>
      <c r="EN26" s="573"/>
      <c r="EO26" s="573"/>
      <c r="EP26" s="573"/>
      <c r="EQ26" s="573"/>
      <c r="ER26" s="573"/>
      <c r="ES26" s="573"/>
      <c r="ET26" s="573">
        <f t="shared" si="3"/>
        <v>793500</v>
      </c>
      <c r="EU26" s="573"/>
      <c r="EV26" s="573"/>
      <c r="EW26" s="573"/>
      <c r="EX26" s="573"/>
      <c r="EY26" s="573"/>
      <c r="EZ26" s="573"/>
      <c r="FA26" s="573"/>
      <c r="FB26" s="573"/>
      <c r="FC26" s="573"/>
      <c r="FD26" s="573"/>
      <c r="FE26" s="573"/>
      <c r="FF26" s="573"/>
      <c r="FG26" s="573"/>
      <c r="FH26" s="573"/>
      <c r="FI26" s="573"/>
      <c r="FJ26" s="573"/>
      <c r="FK26" s="171"/>
      <c r="FN26" s="171"/>
    </row>
    <row r="27" spans="1:172" s="16" customFormat="1" ht="19.2" customHeight="1" x14ac:dyDescent="0.3">
      <c r="A27" s="581" t="s">
        <v>489</v>
      </c>
      <c r="B27" s="581"/>
      <c r="C27" s="581"/>
      <c r="D27" s="581"/>
      <c r="E27" s="581"/>
      <c r="F27" s="581"/>
      <c r="G27" s="584" t="s">
        <v>490</v>
      </c>
      <c r="H27" s="585"/>
      <c r="I27" s="585"/>
      <c r="J27" s="585"/>
      <c r="K27" s="585"/>
      <c r="L27" s="585"/>
      <c r="M27" s="585"/>
      <c r="N27" s="585"/>
      <c r="O27" s="585"/>
      <c r="P27" s="585"/>
      <c r="Q27" s="585"/>
      <c r="R27" s="585"/>
      <c r="S27" s="585"/>
      <c r="T27" s="585"/>
      <c r="U27" s="585"/>
      <c r="V27" s="585"/>
      <c r="W27" s="585"/>
      <c r="X27" s="585"/>
      <c r="Y27" s="585"/>
      <c r="Z27" s="585"/>
      <c r="AA27" s="585"/>
      <c r="AB27" s="585"/>
      <c r="AC27" s="586"/>
      <c r="AD27" s="582">
        <v>1</v>
      </c>
      <c r="AE27" s="582"/>
      <c r="AF27" s="582"/>
      <c r="AG27" s="582"/>
      <c r="AH27" s="582"/>
      <c r="AI27" s="582"/>
      <c r="AJ27" s="582"/>
      <c r="AK27" s="582"/>
      <c r="AL27" s="582"/>
      <c r="AM27" s="582"/>
      <c r="AN27" s="582"/>
      <c r="AO27" s="582"/>
      <c r="AP27" s="582"/>
      <c r="AQ27" s="582"/>
      <c r="AR27" s="582"/>
      <c r="AS27" s="582"/>
      <c r="AT27" s="573">
        <f t="shared" si="0"/>
        <v>28750</v>
      </c>
      <c r="AU27" s="573"/>
      <c r="AV27" s="573"/>
      <c r="AW27" s="573"/>
      <c r="AX27" s="573"/>
      <c r="AY27" s="573"/>
      <c r="AZ27" s="573"/>
      <c r="BA27" s="573"/>
      <c r="BB27" s="573"/>
      <c r="BC27" s="573"/>
      <c r="BD27" s="573"/>
      <c r="BE27" s="573"/>
      <c r="BF27" s="573"/>
      <c r="BG27" s="573"/>
      <c r="BH27" s="573"/>
      <c r="BI27" s="573"/>
      <c r="BJ27" s="573"/>
      <c r="BK27" s="583">
        <v>8250</v>
      </c>
      <c r="BL27" s="583"/>
      <c r="BM27" s="583"/>
      <c r="BN27" s="583"/>
      <c r="BO27" s="583"/>
      <c r="BP27" s="583"/>
      <c r="BQ27" s="583"/>
      <c r="BR27" s="583"/>
      <c r="BS27" s="583"/>
      <c r="BT27" s="583"/>
      <c r="BU27" s="583"/>
      <c r="BV27" s="583"/>
      <c r="BW27" s="583"/>
      <c r="BX27" s="583"/>
      <c r="BY27" s="583"/>
      <c r="BZ27" s="583"/>
      <c r="CA27" s="583"/>
      <c r="CB27" s="583"/>
      <c r="CC27" s="573"/>
      <c r="CD27" s="573"/>
      <c r="CE27" s="573"/>
      <c r="CF27" s="573"/>
      <c r="CG27" s="573"/>
      <c r="CH27" s="573"/>
      <c r="CI27" s="573"/>
      <c r="CJ27" s="573"/>
      <c r="CK27" s="573"/>
      <c r="CL27" s="573"/>
      <c r="CM27" s="573"/>
      <c r="CN27" s="573"/>
      <c r="CO27" s="573"/>
      <c r="CP27" s="573"/>
      <c r="CQ27" s="573"/>
      <c r="CR27" s="573"/>
      <c r="CS27" s="573"/>
      <c r="CT27" s="573"/>
      <c r="CU27" s="573"/>
      <c r="CV27" s="573">
        <v>20500</v>
      </c>
      <c r="CW27" s="573"/>
      <c r="CX27" s="573"/>
      <c r="CY27" s="573"/>
      <c r="CZ27" s="573"/>
      <c r="DA27" s="573"/>
      <c r="DB27" s="573"/>
      <c r="DC27" s="573"/>
      <c r="DD27" s="573"/>
      <c r="DE27" s="573"/>
      <c r="DF27" s="573"/>
      <c r="DG27" s="573"/>
      <c r="DH27" s="573"/>
      <c r="DI27" s="573"/>
      <c r="DJ27" s="573"/>
      <c r="DK27" s="573"/>
      <c r="DL27" s="573"/>
      <c r="DM27" s="573"/>
      <c r="DN27" s="573">
        <f t="shared" si="1"/>
        <v>23000</v>
      </c>
      <c r="DO27" s="573"/>
      <c r="DP27" s="573"/>
      <c r="DQ27" s="573"/>
      <c r="DR27" s="573"/>
      <c r="DS27" s="573"/>
      <c r="DT27" s="573"/>
      <c r="DU27" s="573"/>
      <c r="DV27" s="573"/>
      <c r="DW27" s="573"/>
      <c r="DX27" s="573"/>
      <c r="DY27" s="573"/>
      <c r="DZ27" s="573"/>
      <c r="EA27" s="573"/>
      <c r="EB27" s="573"/>
      <c r="EC27" s="573"/>
      <c r="ED27" s="573">
        <f t="shared" si="2"/>
        <v>14375</v>
      </c>
      <c r="EE27" s="573"/>
      <c r="EF27" s="573"/>
      <c r="EG27" s="573"/>
      <c r="EH27" s="573"/>
      <c r="EI27" s="573"/>
      <c r="EJ27" s="573"/>
      <c r="EK27" s="573"/>
      <c r="EL27" s="573"/>
      <c r="EM27" s="573"/>
      <c r="EN27" s="573"/>
      <c r="EO27" s="573"/>
      <c r="EP27" s="573"/>
      <c r="EQ27" s="573"/>
      <c r="ER27" s="573"/>
      <c r="ES27" s="573"/>
      <c r="ET27" s="573">
        <f t="shared" si="3"/>
        <v>793500</v>
      </c>
      <c r="EU27" s="573"/>
      <c r="EV27" s="573"/>
      <c r="EW27" s="573"/>
      <c r="EX27" s="573"/>
      <c r="EY27" s="573"/>
      <c r="EZ27" s="573"/>
      <c r="FA27" s="573"/>
      <c r="FB27" s="573"/>
      <c r="FC27" s="573"/>
      <c r="FD27" s="573"/>
      <c r="FE27" s="573"/>
      <c r="FF27" s="573"/>
      <c r="FG27" s="573"/>
      <c r="FH27" s="573"/>
      <c r="FI27" s="573"/>
      <c r="FJ27" s="573"/>
      <c r="FK27" s="171"/>
      <c r="FN27" s="171"/>
      <c r="FO27" s="60"/>
      <c r="FP27" s="60"/>
    </row>
    <row r="28" spans="1:172" s="16" customFormat="1" ht="25.5" customHeight="1" x14ac:dyDescent="0.3">
      <c r="A28" s="581" t="s">
        <v>491</v>
      </c>
      <c r="B28" s="581"/>
      <c r="C28" s="581"/>
      <c r="D28" s="581"/>
      <c r="E28" s="581"/>
      <c r="F28" s="581"/>
      <c r="G28" s="584" t="s">
        <v>492</v>
      </c>
      <c r="H28" s="585"/>
      <c r="I28" s="585"/>
      <c r="J28" s="585"/>
      <c r="K28" s="585"/>
      <c r="L28" s="585"/>
      <c r="M28" s="585"/>
      <c r="N28" s="585"/>
      <c r="O28" s="585"/>
      <c r="P28" s="585"/>
      <c r="Q28" s="585"/>
      <c r="R28" s="585"/>
      <c r="S28" s="585"/>
      <c r="T28" s="585"/>
      <c r="U28" s="585"/>
      <c r="V28" s="585"/>
      <c r="W28" s="585"/>
      <c r="X28" s="585"/>
      <c r="Y28" s="585"/>
      <c r="Z28" s="585"/>
      <c r="AA28" s="585"/>
      <c r="AB28" s="585"/>
      <c r="AC28" s="586"/>
      <c r="AD28" s="582">
        <v>1</v>
      </c>
      <c r="AE28" s="582"/>
      <c r="AF28" s="582"/>
      <c r="AG28" s="582"/>
      <c r="AH28" s="582"/>
      <c r="AI28" s="582"/>
      <c r="AJ28" s="582"/>
      <c r="AK28" s="582"/>
      <c r="AL28" s="582"/>
      <c r="AM28" s="582"/>
      <c r="AN28" s="582"/>
      <c r="AO28" s="582"/>
      <c r="AP28" s="582"/>
      <c r="AQ28" s="582"/>
      <c r="AR28" s="582"/>
      <c r="AS28" s="582"/>
      <c r="AT28" s="573">
        <f t="shared" si="0"/>
        <v>28750</v>
      </c>
      <c r="AU28" s="573"/>
      <c r="AV28" s="573"/>
      <c r="AW28" s="573"/>
      <c r="AX28" s="573"/>
      <c r="AY28" s="573"/>
      <c r="AZ28" s="573"/>
      <c r="BA28" s="573"/>
      <c r="BB28" s="573"/>
      <c r="BC28" s="573"/>
      <c r="BD28" s="573"/>
      <c r="BE28" s="573"/>
      <c r="BF28" s="573"/>
      <c r="BG28" s="573"/>
      <c r="BH28" s="573"/>
      <c r="BI28" s="573"/>
      <c r="BJ28" s="573"/>
      <c r="BK28" s="583">
        <v>8250</v>
      </c>
      <c r="BL28" s="583"/>
      <c r="BM28" s="583"/>
      <c r="BN28" s="583"/>
      <c r="BO28" s="583"/>
      <c r="BP28" s="583"/>
      <c r="BQ28" s="583"/>
      <c r="BR28" s="583"/>
      <c r="BS28" s="583"/>
      <c r="BT28" s="583"/>
      <c r="BU28" s="583"/>
      <c r="BV28" s="583"/>
      <c r="BW28" s="583"/>
      <c r="BX28" s="583"/>
      <c r="BY28" s="583"/>
      <c r="BZ28" s="583"/>
      <c r="CA28" s="583"/>
      <c r="CB28" s="583"/>
      <c r="CC28" s="573"/>
      <c r="CD28" s="573"/>
      <c r="CE28" s="573"/>
      <c r="CF28" s="573"/>
      <c r="CG28" s="573"/>
      <c r="CH28" s="573"/>
      <c r="CI28" s="573"/>
      <c r="CJ28" s="573"/>
      <c r="CK28" s="573"/>
      <c r="CL28" s="573"/>
      <c r="CM28" s="573"/>
      <c r="CN28" s="573"/>
      <c r="CO28" s="573"/>
      <c r="CP28" s="573"/>
      <c r="CQ28" s="573"/>
      <c r="CR28" s="573"/>
      <c r="CS28" s="573"/>
      <c r="CT28" s="573"/>
      <c r="CU28" s="573"/>
      <c r="CV28" s="573">
        <v>20500</v>
      </c>
      <c r="CW28" s="573"/>
      <c r="CX28" s="573"/>
      <c r="CY28" s="573"/>
      <c r="CZ28" s="573"/>
      <c r="DA28" s="573"/>
      <c r="DB28" s="573"/>
      <c r="DC28" s="573"/>
      <c r="DD28" s="573"/>
      <c r="DE28" s="573"/>
      <c r="DF28" s="573"/>
      <c r="DG28" s="573"/>
      <c r="DH28" s="573"/>
      <c r="DI28" s="573"/>
      <c r="DJ28" s="573"/>
      <c r="DK28" s="573"/>
      <c r="DL28" s="573"/>
      <c r="DM28" s="573"/>
      <c r="DN28" s="573">
        <f t="shared" si="1"/>
        <v>23000</v>
      </c>
      <c r="DO28" s="573"/>
      <c r="DP28" s="573"/>
      <c r="DQ28" s="573"/>
      <c r="DR28" s="573"/>
      <c r="DS28" s="573"/>
      <c r="DT28" s="573"/>
      <c r="DU28" s="573"/>
      <c r="DV28" s="573"/>
      <c r="DW28" s="573"/>
      <c r="DX28" s="573"/>
      <c r="DY28" s="573"/>
      <c r="DZ28" s="573"/>
      <c r="EA28" s="573"/>
      <c r="EB28" s="573"/>
      <c r="EC28" s="573"/>
      <c r="ED28" s="573">
        <f t="shared" si="2"/>
        <v>14375</v>
      </c>
      <c r="EE28" s="573"/>
      <c r="EF28" s="573"/>
      <c r="EG28" s="573"/>
      <c r="EH28" s="573"/>
      <c r="EI28" s="573"/>
      <c r="EJ28" s="573"/>
      <c r="EK28" s="573"/>
      <c r="EL28" s="573"/>
      <c r="EM28" s="573"/>
      <c r="EN28" s="573"/>
      <c r="EO28" s="573"/>
      <c r="EP28" s="573"/>
      <c r="EQ28" s="573"/>
      <c r="ER28" s="573"/>
      <c r="ES28" s="573"/>
      <c r="ET28" s="573">
        <f t="shared" si="3"/>
        <v>793500</v>
      </c>
      <c r="EU28" s="573"/>
      <c r="EV28" s="573"/>
      <c r="EW28" s="573"/>
      <c r="EX28" s="573"/>
      <c r="EY28" s="573"/>
      <c r="EZ28" s="573"/>
      <c r="FA28" s="573"/>
      <c r="FB28" s="573"/>
      <c r="FC28" s="573"/>
      <c r="FD28" s="573"/>
      <c r="FE28" s="573"/>
      <c r="FF28" s="573"/>
      <c r="FG28" s="573"/>
      <c r="FH28" s="573"/>
      <c r="FI28" s="573"/>
      <c r="FJ28" s="573"/>
      <c r="FK28" s="171"/>
      <c r="FN28" s="171"/>
    </row>
    <row r="29" spans="1:172" s="16" customFormat="1" ht="19.2" customHeight="1" x14ac:dyDescent="0.3">
      <c r="A29" s="581" t="s">
        <v>493</v>
      </c>
      <c r="B29" s="581"/>
      <c r="C29" s="581"/>
      <c r="D29" s="581"/>
      <c r="E29" s="581"/>
      <c r="F29" s="581"/>
      <c r="G29" s="556" t="s">
        <v>494</v>
      </c>
      <c r="H29" s="556"/>
      <c r="I29" s="556"/>
      <c r="J29" s="556"/>
      <c r="K29" s="556"/>
      <c r="L29" s="556"/>
      <c r="M29" s="556"/>
      <c r="N29" s="556"/>
      <c r="O29" s="556"/>
      <c r="P29" s="556"/>
      <c r="Q29" s="556"/>
      <c r="R29" s="556"/>
      <c r="S29" s="556"/>
      <c r="T29" s="556"/>
      <c r="U29" s="556"/>
      <c r="V29" s="556"/>
      <c r="W29" s="556"/>
      <c r="X29" s="556"/>
      <c r="Y29" s="556"/>
      <c r="Z29" s="556"/>
      <c r="AA29" s="556"/>
      <c r="AB29" s="556"/>
      <c r="AC29" s="556"/>
      <c r="AD29" s="582">
        <v>1</v>
      </c>
      <c r="AE29" s="582"/>
      <c r="AF29" s="582"/>
      <c r="AG29" s="582"/>
      <c r="AH29" s="582"/>
      <c r="AI29" s="582"/>
      <c r="AJ29" s="582"/>
      <c r="AK29" s="582"/>
      <c r="AL29" s="582"/>
      <c r="AM29" s="582"/>
      <c r="AN29" s="582"/>
      <c r="AO29" s="582"/>
      <c r="AP29" s="582"/>
      <c r="AQ29" s="582"/>
      <c r="AR29" s="582"/>
      <c r="AS29" s="582"/>
      <c r="AT29" s="573">
        <f t="shared" si="0"/>
        <v>29475</v>
      </c>
      <c r="AU29" s="573"/>
      <c r="AV29" s="573"/>
      <c r="AW29" s="573"/>
      <c r="AX29" s="573"/>
      <c r="AY29" s="573"/>
      <c r="AZ29" s="573"/>
      <c r="BA29" s="573"/>
      <c r="BB29" s="573"/>
      <c r="BC29" s="573"/>
      <c r="BD29" s="573"/>
      <c r="BE29" s="573"/>
      <c r="BF29" s="573"/>
      <c r="BG29" s="573"/>
      <c r="BH29" s="573"/>
      <c r="BI29" s="573"/>
      <c r="BJ29" s="573"/>
      <c r="BK29" s="583">
        <v>8250</v>
      </c>
      <c r="BL29" s="583"/>
      <c r="BM29" s="583"/>
      <c r="BN29" s="583"/>
      <c r="BO29" s="583"/>
      <c r="BP29" s="583"/>
      <c r="BQ29" s="583"/>
      <c r="BR29" s="583"/>
      <c r="BS29" s="583"/>
      <c r="BT29" s="583"/>
      <c r="BU29" s="583"/>
      <c r="BV29" s="583"/>
      <c r="BW29" s="583"/>
      <c r="BX29" s="583"/>
      <c r="BY29" s="583"/>
      <c r="BZ29" s="583"/>
      <c r="CA29" s="583"/>
      <c r="CB29" s="583"/>
      <c r="CC29" s="573">
        <v>725</v>
      </c>
      <c r="CD29" s="573"/>
      <c r="CE29" s="573"/>
      <c r="CF29" s="573"/>
      <c r="CG29" s="573"/>
      <c r="CH29" s="573"/>
      <c r="CI29" s="573"/>
      <c r="CJ29" s="573"/>
      <c r="CK29" s="573"/>
      <c r="CL29" s="573"/>
      <c r="CM29" s="573"/>
      <c r="CN29" s="573"/>
      <c r="CO29" s="573"/>
      <c r="CP29" s="573"/>
      <c r="CQ29" s="573"/>
      <c r="CR29" s="573"/>
      <c r="CS29" s="573"/>
      <c r="CT29" s="573"/>
      <c r="CU29" s="573"/>
      <c r="CV29" s="573">
        <v>20500</v>
      </c>
      <c r="CW29" s="573"/>
      <c r="CX29" s="573"/>
      <c r="CY29" s="573"/>
      <c r="CZ29" s="573"/>
      <c r="DA29" s="573"/>
      <c r="DB29" s="573"/>
      <c r="DC29" s="573"/>
      <c r="DD29" s="573"/>
      <c r="DE29" s="573"/>
      <c r="DF29" s="573"/>
      <c r="DG29" s="573"/>
      <c r="DH29" s="573"/>
      <c r="DI29" s="573"/>
      <c r="DJ29" s="573"/>
      <c r="DK29" s="573"/>
      <c r="DL29" s="573"/>
      <c r="DM29" s="573"/>
      <c r="DN29" s="573">
        <f t="shared" si="1"/>
        <v>23580</v>
      </c>
      <c r="DO29" s="573"/>
      <c r="DP29" s="573"/>
      <c r="DQ29" s="573"/>
      <c r="DR29" s="573"/>
      <c r="DS29" s="573"/>
      <c r="DT29" s="573"/>
      <c r="DU29" s="573"/>
      <c r="DV29" s="573"/>
      <c r="DW29" s="573"/>
      <c r="DX29" s="573"/>
      <c r="DY29" s="573"/>
      <c r="DZ29" s="573"/>
      <c r="EA29" s="573"/>
      <c r="EB29" s="573"/>
      <c r="EC29" s="573"/>
      <c r="ED29" s="573">
        <f t="shared" si="2"/>
        <v>14737.5</v>
      </c>
      <c r="EE29" s="573"/>
      <c r="EF29" s="573"/>
      <c r="EG29" s="573"/>
      <c r="EH29" s="573"/>
      <c r="EI29" s="573"/>
      <c r="EJ29" s="573"/>
      <c r="EK29" s="573"/>
      <c r="EL29" s="573"/>
      <c r="EM29" s="573"/>
      <c r="EN29" s="573"/>
      <c r="EO29" s="573"/>
      <c r="EP29" s="573"/>
      <c r="EQ29" s="573"/>
      <c r="ER29" s="573"/>
      <c r="ES29" s="573"/>
      <c r="ET29" s="573">
        <f t="shared" si="3"/>
        <v>813510</v>
      </c>
      <c r="EU29" s="573"/>
      <c r="EV29" s="573"/>
      <c r="EW29" s="573"/>
      <c r="EX29" s="573"/>
      <c r="EY29" s="573"/>
      <c r="EZ29" s="573"/>
      <c r="FA29" s="573"/>
      <c r="FB29" s="573"/>
      <c r="FC29" s="573"/>
      <c r="FD29" s="573"/>
      <c r="FE29" s="573"/>
      <c r="FF29" s="573"/>
      <c r="FG29" s="573"/>
      <c r="FH29" s="573"/>
      <c r="FI29" s="573"/>
      <c r="FJ29" s="573"/>
      <c r="FK29" s="171"/>
      <c r="FN29" s="171"/>
    </row>
    <row r="30" spans="1:172" s="16" customFormat="1" ht="15" customHeight="1" x14ac:dyDescent="0.3">
      <c r="A30" s="578" t="s">
        <v>252</v>
      </c>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80"/>
      <c r="AD30" s="539">
        <f>SUM(AD18:AD29)</f>
        <v>14</v>
      </c>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40"/>
      <c r="DA30" s="540"/>
      <c r="DB30" s="540"/>
      <c r="DC30" s="540"/>
      <c r="DD30" s="540"/>
      <c r="DE30" s="540"/>
      <c r="DF30" s="540"/>
      <c r="DG30" s="540"/>
      <c r="DH30" s="540"/>
      <c r="DI30" s="540"/>
      <c r="DJ30" s="540"/>
      <c r="DK30" s="540"/>
      <c r="DL30" s="540"/>
      <c r="DM30" s="540"/>
      <c r="DN30" s="540"/>
      <c r="DO30" s="540"/>
      <c r="DP30" s="540"/>
      <c r="DQ30" s="540"/>
      <c r="DR30" s="540"/>
      <c r="DS30" s="540"/>
      <c r="DT30" s="540"/>
      <c r="DU30" s="540"/>
      <c r="DV30" s="540"/>
      <c r="DW30" s="540"/>
      <c r="DX30" s="540"/>
      <c r="DY30" s="540"/>
      <c r="DZ30" s="540"/>
      <c r="EA30" s="540"/>
      <c r="EB30" s="540"/>
      <c r="EC30" s="540"/>
      <c r="ED30" s="540"/>
      <c r="EE30" s="540"/>
      <c r="EF30" s="540"/>
      <c r="EG30" s="540"/>
      <c r="EH30" s="540"/>
      <c r="EI30" s="540"/>
      <c r="EJ30" s="540"/>
      <c r="EK30" s="540"/>
      <c r="EL30" s="540"/>
      <c r="EM30" s="540"/>
      <c r="EN30" s="540"/>
      <c r="EO30" s="540"/>
      <c r="EP30" s="540"/>
      <c r="EQ30" s="540"/>
      <c r="ER30" s="540"/>
      <c r="ES30" s="540"/>
      <c r="ET30" s="540">
        <f>SUM(ET18:ET29)</f>
        <v>14323724.809123999</v>
      </c>
      <c r="EU30" s="540"/>
      <c r="EV30" s="540"/>
      <c r="EW30" s="540"/>
      <c r="EX30" s="540"/>
      <c r="EY30" s="540"/>
      <c r="EZ30" s="540"/>
      <c r="FA30" s="540"/>
      <c r="FB30" s="540"/>
      <c r="FC30" s="540"/>
      <c r="FD30" s="540"/>
      <c r="FE30" s="540"/>
      <c r="FF30" s="540"/>
      <c r="FG30" s="540"/>
      <c r="FH30" s="540"/>
      <c r="FI30" s="540"/>
      <c r="FJ30" s="540"/>
      <c r="FK30" s="171"/>
      <c r="FN30" s="171">
        <v>14323724.810000001</v>
      </c>
    </row>
    <row r="31" spans="1:172" s="16" customFormat="1" ht="14.25" customHeight="1" x14ac:dyDescent="0.3">
      <c r="A31" s="541" t="s">
        <v>253</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3"/>
      <c r="FN31" s="171"/>
    </row>
    <row r="32" spans="1:172" s="16" customFormat="1" ht="32.4" customHeight="1" x14ac:dyDescent="0.3">
      <c r="A32" s="571" t="s">
        <v>67</v>
      </c>
      <c r="B32" s="571"/>
      <c r="C32" s="571"/>
      <c r="D32" s="571"/>
      <c r="E32" s="571"/>
      <c r="F32" s="571"/>
      <c r="G32" s="577" t="s">
        <v>495</v>
      </c>
      <c r="H32" s="577"/>
      <c r="I32" s="577"/>
      <c r="J32" s="577"/>
      <c r="K32" s="577"/>
      <c r="L32" s="577"/>
      <c r="M32" s="577"/>
      <c r="N32" s="577"/>
      <c r="O32" s="577"/>
      <c r="P32" s="577"/>
      <c r="Q32" s="577"/>
      <c r="R32" s="577"/>
      <c r="S32" s="577"/>
      <c r="T32" s="577"/>
      <c r="U32" s="577"/>
      <c r="V32" s="577"/>
      <c r="W32" s="577"/>
      <c r="X32" s="577"/>
      <c r="Y32" s="577"/>
      <c r="Z32" s="577"/>
      <c r="AA32" s="577"/>
      <c r="AB32" s="577"/>
      <c r="AC32" s="577"/>
      <c r="AD32" s="569">
        <v>1</v>
      </c>
      <c r="AE32" s="569"/>
      <c r="AF32" s="569"/>
      <c r="AG32" s="569"/>
      <c r="AH32" s="569"/>
      <c r="AI32" s="569"/>
      <c r="AJ32" s="569"/>
      <c r="AK32" s="569"/>
      <c r="AL32" s="569"/>
      <c r="AM32" s="569"/>
      <c r="AN32" s="569"/>
      <c r="AO32" s="569"/>
      <c r="AP32" s="569"/>
      <c r="AQ32" s="569"/>
      <c r="AR32" s="569"/>
      <c r="AS32" s="569"/>
      <c r="AT32" s="538">
        <f t="shared" ref="AT32:AT38" si="4">BK32+CC32+CV32</f>
        <v>33601</v>
      </c>
      <c r="AU32" s="538"/>
      <c r="AV32" s="538"/>
      <c r="AW32" s="538"/>
      <c r="AX32" s="538"/>
      <c r="AY32" s="538"/>
      <c r="AZ32" s="538"/>
      <c r="BA32" s="538"/>
      <c r="BB32" s="538"/>
      <c r="BC32" s="538"/>
      <c r="BD32" s="538"/>
      <c r="BE32" s="538"/>
      <c r="BF32" s="538"/>
      <c r="BG32" s="538"/>
      <c r="BH32" s="538"/>
      <c r="BI32" s="538"/>
      <c r="BJ32" s="538"/>
      <c r="BK32" s="570">
        <v>9601</v>
      </c>
      <c r="BL32" s="570"/>
      <c r="BM32" s="570"/>
      <c r="BN32" s="570"/>
      <c r="BO32" s="570"/>
      <c r="BP32" s="570"/>
      <c r="BQ32" s="570"/>
      <c r="BR32" s="570"/>
      <c r="BS32" s="570"/>
      <c r="BT32" s="570"/>
      <c r="BU32" s="570"/>
      <c r="BV32" s="570"/>
      <c r="BW32" s="570"/>
      <c r="BX32" s="570"/>
      <c r="BY32" s="570"/>
      <c r="BZ32" s="570"/>
      <c r="CA32" s="570"/>
      <c r="CB32" s="570"/>
      <c r="CC32" s="538"/>
      <c r="CD32" s="538"/>
      <c r="CE32" s="538"/>
      <c r="CF32" s="538"/>
      <c r="CG32" s="538"/>
      <c r="CH32" s="538"/>
      <c r="CI32" s="538"/>
      <c r="CJ32" s="538"/>
      <c r="CK32" s="538"/>
      <c r="CL32" s="538"/>
      <c r="CM32" s="538"/>
      <c r="CN32" s="538"/>
      <c r="CO32" s="538"/>
      <c r="CP32" s="538"/>
      <c r="CQ32" s="538"/>
      <c r="CR32" s="538"/>
      <c r="CS32" s="538"/>
      <c r="CT32" s="538"/>
      <c r="CU32" s="538"/>
      <c r="CV32" s="538">
        <v>24000</v>
      </c>
      <c r="CW32" s="538"/>
      <c r="CX32" s="538"/>
      <c r="CY32" s="538"/>
      <c r="CZ32" s="538"/>
      <c r="DA32" s="538"/>
      <c r="DB32" s="538"/>
      <c r="DC32" s="538"/>
      <c r="DD32" s="538"/>
      <c r="DE32" s="538"/>
      <c r="DF32" s="538"/>
      <c r="DG32" s="538"/>
      <c r="DH32" s="538"/>
      <c r="DI32" s="538"/>
      <c r="DJ32" s="538"/>
      <c r="DK32" s="538"/>
      <c r="DL32" s="538"/>
      <c r="DM32" s="538"/>
      <c r="DN32" s="538">
        <f t="shared" ref="DN32:DN38" si="5">AT32*80%</f>
        <v>26880.800000000003</v>
      </c>
      <c r="DO32" s="538"/>
      <c r="DP32" s="538"/>
      <c r="DQ32" s="538"/>
      <c r="DR32" s="538"/>
      <c r="DS32" s="538"/>
      <c r="DT32" s="538"/>
      <c r="DU32" s="538"/>
      <c r="DV32" s="538"/>
      <c r="DW32" s="538"/>
      <c r="DX32" s="538"/>
      <c r="DY32" s="538"/>
      <c r="DZ32" s="538"/>
      <c r="EA32" s="538"/>
      <c r="EB32" s="538"/>
      <c r="EC32" s="538"/>
      <c r="ED32" s="538">
        <f t="shared" ref="ED32:ED38" si="6">AT32*50%</f>
        <v>16800.5</v>
      </c>
      <c r="EE32" s="538"/>
      <c r="EF32" s="538"/>
      <c r="EG32" s="538"/>
      <c r="EH32" s="538"/>
      <c r="EI32" s="538"/>
      <c r="EJ32" s="538"/>
      <c r="EK32" s="538"/>
      <c r="EL32" s="538"/>
      <c r="EM32" s="538"/>
      <c r="EN32" s="538"/>
      <c r="EO32" s="538"/>
      <c r="EP32" s="538"/>
      <c r="EQ32" s="538"/>
      <c r="ER32" s="538"/>
      <c r="ES32" s="538"/>
      <c r="ET32" s="538">
        <f t="shared" ref="ET32:ET38" si="7">(AT32+DN32+ED32)*12*AD32</f>
        <v>927387.60000000009</v>
      </c>
      <c r="EU32" s="538"/>
      <c r="EV32" s="538"/>
      <c r="EW32" s="538"/>
      <c r="EX32" s="538"/>
      <c r="EY32" s="538"/>
      <c r="EZ32" s="538"/>
      <c r="FA32" s="538"/>
      <c r="FB32" s="538"/>
      <c r="FC32" s="538"/>
      <c r="FD32" s="538"/>
      <c r="FE32" s="538"/>
      <c r="FF32" s="538"/>
      <c r="FG32" s="538"/>
      <c r="FH32" s="538"/>
      <c r="FI32" s="538"/>
      <c r="FJ32" s="538"/>
      <c r="FK32" s="171"/>
      <c r="FN32" s="171"/>
    </row>
    <row r="33" spans="1:178" s="16" customFormat="1" ht="32.4" customHeight="1" x14ac:dyDescent="0.3">
      <c r="A33" s="571" t="s">
        <v>71</v>
      </c>
      <c r="B33" s="571"/>
      <c r="C33" s="571"/>
      <c r="D33" s="571"/>
      <c r="E33" s="571"/>
      <c r="F33" s="571"/>
      <c r="G33" s="577" t="s">
        <v>496</v>
      </c>
      <c r="H33" s="577"/>
      <c r="I33" s="577"/>
      <c r="J33" s="577"/>
      <c r="K33" s="577"/>
      <c r="L33" s="577"/>
      <c r="M33" s="577"/>
      <c r="N33" s="577"/>
      <c r="O33" s="577"/>
      <c r="P33" s="577"/>
      <c r="Q33" s="577"/>
      <c r="R33" s="577"/>
      <c r="S33" s="577"/>
      <c r="T33" s="577"/>
      <c r="U33" s="577"/>
      <c r="V33" s="577"/>
      <c r="W33" s="577"/>
      <c r="X33" s="577"/>
      <c r="Y33" s="577"/>
      <c r="Z33" s="577"/>
      <c r="AA33" s="577"/>
      <c r="AB33" s="577"/>
      <c r="AC33" s="577"/>
      <c r="AD33" s="569">
        <v>1</v>
      </c>
      <c r="AE33" s="569"/>
      <c r="AF33" s="569"/>
      <c r="AG33" s="569"/>
      <c r="AH33" s="569"/>
      <c r="AI33" s="569"/>
      <c r="AJ33" s="569"/>
      <c r="AK33" s="569"/>
      <c r="AL33" s="569"/>
      <c r="AM33" s="569"/>
      <c r="AN33" s="569"/>
      <c r="AO33" s="569"/>
      <c r="AP33" s="569"/>
      <c r="AQ33" s="569"/>
      <c r="AR33" s="569"/>
      <c r="AS33" s="569"/>
      <c r="AT33" s="538">
        <f t="shared" si="4"/>
        <v>20592</v>
      </c>
      <c r="AU33" s="538"/>
      <c r="AV33" s="538"/>
      <c r="AW33" s="538"/>
      <c r="AX33" s="538"/>
      <c r="AY33" s="538"/>
      <c r="AZ33" s="538"/>
      <c r="BA33" s="538"/>
      <c r="BB33" s="538"/>
      <c r="BC33" s="538"/>
      <c r="BD33" s="538"/>
      <c r="BE33" s="538"/>
      <c r="BF33" s="538"/>
      <c r="BG33" s="538"/>
      <c r="BH33" s="538"/>
      <c r="BI33" s="538"/>
      <c r="BJ33" s="538"/>
      <c r="BK33" s="570">
        <v>5592</v>
      </c>
      <c r="BL33" s="570"/>
      <c r="BM33" s="570"/>
      <c r="BN33" s="570"/>
      <c r="BO33" s="570"/>
      <c r="BP33" s="570"/>
      <c r="BQ33" s="570"/>
      <c r="BR33" s="570"/>
      <c r="BS33" s="570"/>
      <c r="BT33" s="570"/>
      <c r="BU33" s="570"/>
      <c r="BV33" s="570"/>
      <c r="BW33" s="570"/>
      <c r="BX33" s="570"/>
      <c r="BY33" s="570"/>
      <c r="BZ33" s="570"/>
      <c r="CA33" s="570"/>
      <c r="CB33" s="570"/>
      <c r="CC33" s="538"/>
      <c r="CD33" s="538"/>
      <c r="CE33" s="538"/>
      <c r="CF33" s="538"/>
      <c r="CG33" s="538"/>
      <c r="CH33" s="538"/>
      <c r="CI33" s="538"/>
      <c r="CJ33" s="538"/>
      <c r="CK33" s="538"/>
      <c r="CL33" s="538"/>
      <c r="CM33" s="538"/>
      <c r="CN33" s="538"/>
      <c r="CO33" s="538"/>
      <c r="CP33" s="538"/>
      <c r="CQ33" s="538"/>
      <c r="CR33" s="538"/>
      <c r="CS33" s="538"/>
      <c r="CT33" s="538"/>
      <c r="CU33" s="538"/>
      <c r="CV33" s="538">
        <v>15000</v>
      </c>
      <c r="CW33" s="538"/>
      <c r="CX33" s="538"/>
      <c r="CY33" s="538"/>
      <c r="CZ33" s="538"/>
      <c r="DA33" s="538"/>
      <c r="DB33" s="538"/>
      <c r="DC33" s="538"/>
      <c r="DD33" s="538"/>
      <c r="DE33" s="538"/>
      <c r="DF33" s="538"/>
      <c r="DG33" s="538"/>
      <c r="DH33" s="538"/>
      <c r="DI33" s="538"/>
      <c r="DJ33" s="538"/>
      <c r="DK33" s="538"/>
      <c r="DL33" s="538"/>
      <c r="DM33" s="538"/>
      <c r="DN33" s="538">
        <f t="shared" si="5"/>
        <v>16473.600000000002</v>
      </c>
      <c r="DO33" s="538"/>
      <c r="DP33" s="538"/>
      <c r="DQ33" s="538"/>
      <c r="DR33" s="538"/>
      <c r="DS33" s="538"/>
      <c r="DT33" s="538"/>
      <c r="DU33" s="538"/>
      <c r="DV33" s="538"/>
      <c r="DW33" s="538"/>
      <c r="DX33" s="538"/>
      <c r="DY33" s="538"/>
      <c r="DZ33" s="538"/>
      <c r="EA33" s="538"/>
      <c r="EB33" s="538"/>
      <c r="EC33" s="538"/>
      <c r="ED33" s="538">
        <f t="shared" si="6"/>
        <v>10296</v>
      </c>
      <c r="EE33" s="538"/>
      <c r="EF33" s="538"/>
      <c r="EG33" s="538"/>
      <c r="EH33" s="538"/>
      <c r="EI33" s="538"/>
      <c r="EJ33" s="538"/>
      <c r="EK33" s="538"/>
      <c r="EL33" s="538"/>
      <c r="EM33" s="538"/>
      <c r="EN33" s="538"/>
      <c r="EO33" s="538"/>
      <c r="EP33" s="538"/>
      <c r="EQ33" s="538"/>
      <c r="ER33" s="538"/>
      <c r="ES33" s="538"/>
      <c r="ET33" s="538">
        <f t="shared" si="7"/>
        <v>568339.20000000007</v>
      </c>
      <c r="EU33" s="538"/>
      <c r="EV33" s="538"/>
      <c r="EW33" s="538"/>
      <c r="EX33" s="538"/>
      <c r="EY33" s="538"/>
      <c r="EZ33" s="538"/>
      <c r="FA33" s="538"/>
      <c r="FB33" s="538"/>
      <c r="FC33" s="538"/>
      <c r="FD33" s="538"/>
      <c r="FE33" s="538"/>
      <c r="FF33" s="538"/>
      <c r="FG33" s="538"/>
      <c r="FH33" s="538"/>
      <c r="FI33" s="538"/>
      <c r="FJ33" s="538"/>
      <c r="FK33" s="171"/>
      <c r="FN33" s="171"/>
      <c r="FO33" s="16" t="s">
        <v>996</v>
      </c>
    </row>
    <row r="34" spans="1:178" s="16" customFormat="1" ht="28.2" customHeight="1" x14ac:dyDescent="0.3">
      <c r="A34" s="571" t="s">
        <v>462</v>
      </c>
      <c r="B34" s="571"/>
      <c r="C34" s="571"/>
      <c r="D34" s="571"/>
      <c r="E34" s="571"/>
      <c r="F34" s="571"/>
      <c r="G34" s="577" t="s">
        <v>497</v>
      </c>
      <c r="H34" s="577"/>
      <c r="I34" s="577"/>
      <c r="J34" s="577"/>
      <c r="K34" s="577"/>
      <c r="L34" s="577"/>
      <c r="M34" s="577"/>
      <c r="N34" s="577"/>
      <c r="O34" s="577"/>
      <c r="P34" s="577"/>
      <c r="Q34" s="577"/>
      <c r="R34" s="577"/>
      <c r="S34" s="577"/>
      <c r="T34" s="577"/>
      <c r="U34" s="577"/>
      <c r="V34" s="577"/>
      <c r="W34" s="577"/>
      <c r="X34" s="577"/>
      <c r="Y34" s="577"/>
      <c r="Z34" s="577"/>
      <c r="AA34" s="577"/>
      <c r="AB34" s="577"/>
      <c r="AC34" s="577"/>
      <c r="AD34" s="569">
        <v>2</v>
      </c>
      <c r="AE34" s="569"/>
      <c r="AF34" s="569"/>
      <c r="AG34" s="569"/>
      <c r="AH34" s="569"/>
      <c r="AI34" s="569"/>
      <c r="AJ34" s="569"/>
      <c r="AK34" s="569"/>
      <c r="AL34" s="569"/>
      <c r="AM34" s="569"/>
      <c r="AN34" s="569"/>
      <c r="AO34" s="569"/>
      <c r="AP34" s="569"/>
      <c r="AQ34" s="569"/>
      <c r="AR34" s="569"/>
      <c r="AS34" s="569"/>
      <c r="AT34" s="538">
        <f t="shared" si="4"/>
        <v>21261</v>
      </c>
      <c r="AU34" s="538"/>
      <c r="AV34" s="538"/>
      <c r="AW34" s="538"/>
      <c r="AX34" s="538"/>
      <c r="AY34" s="538"/>
      <c r="AZ34" s="538"/>
      <c r="BA34" s="538"/>
      <c r="BB34" s="538"/>
      <c r="BC34" s="538"/>
      <c r="BD34" s="538"/>
      <c r="BE34" s="538"/>
      <c r="BF34" s="538"/>
      <c r="BG34" s="538"/>
      <c r="BH34" s="538"/>
      <c r="BI34" s="538"/>
      <c r="BJ34" s="538"/>
      <c r="BK34" s="570">
        <v>5381</v>
      </c>
      <c r="BL34" s="570"/>
      <c r="BM34" s="570"/>
      <c r="BN34" s="570"/>
      <c r="BO34" s="570"/>
      <c r="BP34" s="570"/>
      <c r="BQ34" s="570"/>
      <c r="BR34" s="570"/>
      <c r="BS34" s="570"/>
      <c r="BT34" s="570"/>
      <c r="BU34" s="570"/>
      <c r="BV34" s="570"/>
      <c r="BW34" s="570"/>
      <c r="BX34" s="570"/>
      <c r="BY34" s="570"/>
      <c r="BZ34" s="570"/>
      <c r="CA34" s="570"/>
      <c r="CB34" s="570"/>
      <c r="CC34" s="538">
        <v>180</v>
      </c>
      <c r="CD34" s="538"/>
      <c r="CE34" s="538"/>
      <c r="CF34" s="538"/>
      <c r="CG34" s="538"/>
      <c r="CH34" s="538"/>
      <c r="CI34" s="538"/>
      <c r="CJ34" s="538"/>
      <c r="CK34" s="538"/>
      <c r="CL34" s="538"/>
      <c r="CM34" s="538"/>
      <c r="CN34" s="538"/>
      <c r="CO34" s="538"/>
      <c r="CP34" s="538"/>
      <c r="CQ34" s="538"/>
      <c r="CR34" s="538"/>
      <c r="CS34" s="538"/>
      <c r="CT34" s="538"/>
      <c r="CU34" s="538"/>
      <c r="CV34" s="538">
        <v>15700</v>
      </c>
      <c r="CW34" s="538"/>
      <c r="CX34" s="538"/>
      <c r="CY34" s="538"/>
      <c r="CZ34" s="538"/>
      <c r="DA34" s="538"/>
      <c r="DB34" s="538"/>
      <c r="DC34" s="538"/>
      <c r="DD34" s="538"/>
      <c r="DE34" s="538"/>
      <c r="DF34" s="538"/>
      <c r="DG34" s="538"/>
      <c r="DH34" s="538"/>
      <c r="DI34" s="538"/>
      <c r="DJ34" s="538"/>
      <c r="DK34" s="538"/>
      <c r="DL34" s="538"/>
      <c r="DM34" s="538"/>
      <c r="DN34" s="538">
        <f t="shared" si="5"/>
        <v>17008.8</v>
      </c>
      <c r="DO34" s="538"/>
      <c r="DP34" s="538"/>
      <c r="DQ34" s="538"/>
      <c r="DR34" s="538"/>
      <c r="DS34" s="538"/>
      <c r="DT34" s="538"/>
      <c r="DU34" s="538"/>
      <c r="DV34" s="538"/>
      <c r="DW34" s="538"/>
      <c r="DX34" s="538"/>
      <c r="DY34" s="538"/>
      <c r="DZ34" s="538"/>
      <c r="EA34" s="538"/>
      <c r="EB34" s="538"/>
      <c r="EC34" s="538"/>
      <c r="ED34" s="538">
        <f t="shared" si="6"/>
        <v>10630.5</v>
      </c>
      <c r="EE34" s="538"/>
      <c r="EF34" s="538"/>
      <c r="EG34" s="538"/>
      <c r="EH34" s="538"/>
      <c r="EI34" s="538"/>
      <c r="EJ34" s="538"/>
      <c r="EK34" s="538"/>
      <c r="EL34" s="538"/>
      <c r="EM34" s="538"/>
      <c r="EN34" s="538"/>
      <c r="EO34" s="538"/>
      <c r="EP34" s="538"/>
      <c r="EQ34" s="538"/>
      <c r="ER34" s="538"/>
      <c r="ES34" s="538"/>
      <c r="ET34" s="538">
        <f t="shared" si="7"/>
        <v>1173607.2000000002</v>
      </c>
      <c r="EU34" s="538"/>
      <c r="EV34" s="538"/>
      <c r="EW34" s="538"/>
      <c r="EX34" s="538"/>
      <c r="EY34" s="538"/>
      <c r="EZ34" s="538"/>
      <c r="FA34" s="538"/>
      <c r="FB34" s="538"/>
      <c r="FC34" s="538"/>
      <c r="FD34" s="538"/>
      <c r="FE34" s="538"/>
      <c r="FF34" s="538"/>
      <c r="FG34" s="538"/>
      <c r="FH34" s="538"/>
      <c r="FI34" s="538"/>
      <c r="FJ34" s="538"/>
      <c r="FK34" s="171"/>
      <c r="FN34" s="171"/>
      <c r="FO34" s="16">
        <v>44256.6</v>
      </c>
    </row>
    <row r="35" spans="1:178" s="16" customFormat="1" ht="44.4" customHeight="1" x14ac:dyDescent="0.3">
      <c r="A35" s="571" t="s">
        <v>477</v>
      </c>
      <c r="B35" s="571"/>
      <c r="C35" s="571"/>
      <c r="D35" s="571"/>
      <c r="E35" s="571"/>
      <c r="F35" s="571"/>
      <c r="G35" s="577" t="s">
        <v>498</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69">
        <v>1</v>
      </c>
      <c r="AE35" s="569"/>
      <c r="AF35" s="569"/>
      <c r="AG35" s="569"/>
      <c r="AH35" s="569"/>
      <c r="AI35" s="569"/>
      <c r="AJ35" s="569"/>
      <c r="AK35" s="569"/>
      <c r="AL35" s="569"/>
      <c r="AM35" s="569"/>
      <c r="AN35" s="569"/>
      <c r="AO35" s="569"/>
      <c r="AP35" s="569"/>
      <c r="AQ35" s="569"/>
      <c r="AR35" s="569"/>
      <c r="AS35" s="569"/>
      <c r="AT35" s="538">
        <f t="shared" si="4"/>
        <v>20360</v>
      </c>
      <c r="AU35" s="538"/>
      <c r="AV35" s="538"/>
      <c r="AW35" s="538"/>
      <c r="AX35" s="538"/>
      <c r="AY35" s="538"/>
      <c r="AZ35" s="538"/>
      <c r="BA35" s="538"/>
      <c r="BB35" s="538"/>
      <c r="BC35" s="538"/>
      <c r="BD35" s="538"/>
      <c r="BE35" s="538"/>
      <c r="BF35" s="538"/>
      <c r="BG35" s="538"/>
      <c r="BH35" s="538"/>
      <c r="BI35" s="538"/>
      <c r="BJ35" s="538"/>
      <c r="BK35" s="570">
        <v>4610</v>
      </c>
      <c r="BL35" s="570"/>
      <c r="BM35" s="570"/>
      <c r="BN35" s="570"/>
      <c r="BO35" s="570"/>
      <c r="BP35" s="570"/>
      <c r="BQ35" s="570"/>
      <c r="BR35" s="570"/>
      <c r="BS35" s="570"/>
      <c r="BT35" s="570"/>
      <c r="BU35" s="570"/>
      <c r="BV35" s="570"/>
      <c r="BW35" s="570"/>
      <c r="BX35" s="570"/>
      <c r="BY35" s="570"/>
      <c r="BZ35" s="570"/>
      <c r="CA35" s="570"/>
      <c r="CB35" s="570"/>
      <c r="CC35" s="538">
        <v>250</v>
      </c>
      <c r="CD35" s="538"/>
      <c r="CE35" s="538"/>
      <c r="CF35" s="538"/>
      <c r="CG35" s="538"/>
      <c r="CH35" s="538"/>
      <c r="CI35" s="538"/>
      <c r="CJ35" s="538"/>
      <c r="CK35" s="538"/>
      <c r="CL35" s="538"/>
      <c r="CM35" s="538"/>
      <c r="CN35" s="538"/>
      <c r="CO35" s="538"/>
      <c r="CP35" s="538"/>
      <c r="CQ35" s="538"/>
      <c r="CR35" s="538"/>
      <c r="CS35" s="538"/>
      <c r="CT35" s="538"/>
      <c r="CU35" s="538"/>
      <c r="CV35" s="538">
        <v>15500</v>
      </c>
      <c r="CW35" s="538"/>
      <c r="CX35" s="538"/>
      <c r="CY35" s="538"/>
      <c r="CZ35" s="538"/>
      <c r="DA35" s="538"/>
      <c r="DB35" s="538"/>
      <c r="DC35" s="538"/>
      <c r="DD35" s="538"/>
      <c r="DE35" s="538"/>
      <c r="DF35" s="538"/>
      <c r="DG35" s="538"/>
      <c r="DH35" s="538"/>
      <c r="DI35" s="538"/>
      <c r="DJ35" s="538"/>
      <c r="DK35" s="538"/>
      <c r="DL35" s="538"/>
      <c r="DM35" s="538"/>
      <c r="DN35" s="538">
        <f t="shared" si="5"/>
        <v>16288</v>
      </c>
      <c r="DO35" s="538"/>
      <c r="DP35" s="538"/>
      <c r="DQ35" s="538"/>
      <c r="DR35" s="538"/>
      <c r="DS35" s="538"/>
      <c r="DT35" s="538"/>
      <c r="DU35" s="538"/>
      <c r="DV35" s="538"/>
      <c r="DW35" s="538"/>
      <c r="DX35" s="538"/>
      <c r="DY35" s="538"/>
      <c r="DZ35" s="538"/>
      <c r="EA35" s="538"/>
      <c r="EB35" s="538"/>
      <c r="EC35" s="538"/>
      <c r="ED35" s="538">
        <f t="shared" si="6"/>
        <v>10180</v>
      </c>
      <c r="EE35" s="538"/>
      <c r="EF35" s="538"/>
      <c r="EG35" s="538"/>
      <c r="EH35" s="538"/>
      <c r="EI35" s="538"/>
      <c r="EJ35" s="538"/>
      <c r="EK35" s="538"/>
      <c r="EL35" s="538"/>
      <c r="EM35" s="538"/>
      <c r="EN35" s="538"/>
      <c r="EO35" s="538"/>
      <c r="EP35" s="538"/>
      <c r="EQ35" s="538"/>
      <c r="ER35" s="538"/>
      <c r="ES35" s="538"/>
      <c r="ET35" s="538">
        <f t="shared" si="7"/>
        <v>561936</v>
      </c>
      <c r="EU35" s="538"/>
      <c r="EV35" s="538"/>
      <c r="EW35" s="538"/>
      <c r="EX35" s="538"/>
      <c r="EY35" s="538"/>
      <c r="EZ35" s="538"/>
      <c r="FA35" s="538"/>
      <c r="FB35" s="538"/>
      <c r="FC35" s="538"/>
      <c r="FD35" s="538"/>
      <c r="FE35" s="538"/>
      <c r="FF35" s="538"/>
      <c r="FG35" s="538"/>
      <c r="FH35" s="538"/>
      <c r="FI35" s="538"/>
      <c r="FJ35" s="538"/>
      <c r="FK35" s="171"/>
      <c r="FN35" s="171"/>
    </row>
    <row r="36" spans="1:178" s="16" customFormat="1" ht="42" customHeight="1" x14ac:dyDescent="0.3">
      <c r="A36" s="571" t="s">
        <v>479</v>
      </c>
      <c r="B36" s="571"/>
      <c r="C36" s="571"/>
      <c r="D36" s="571"/>
      <c r="E36" s="571"/>
      <c r="F36" s="571"/>
      <c r="G36" s="577" t="s">
        <v>499</v>
      </c>
      <c r="H36" s="577"/>
      <c r="I36" s="577"/>
      <c r="J36" s="577"/>
      <c r="K36" s="577"/>
      <c r="L36" s="577"/>
      <c r="M36" s="577"/>
      <c r="N36" s="577"/>
      <c r="O36" s="577"/>
      <c r="P36" s="577"/>
      <c r="Q36" s="577"/>
      <c r="R36" s="577"/>
      <c r="S36" s="577"/>
      <c r="T36" s="577"/>
      <c r="U36" s="577"/>
      <c r="V36" s="577"/>
      <c r="W36" s="577"/>
      <c r="X36" s="577"/>
      <c r="Y36" s="577"/>
      <c r="Z36" s="577"/>
      <c r="AA36" s="577"/>
      <c r="AB36" s="577"/>
      <c r="AC36" s="577"/>
      <c r="AD36" s="569">
        <v>1</v>
      </c>
      <c r="AE36" s="569"/>
      <c r="AF36" s="569"/>
      <c r="AG36" s="569"/>
      <c r="AH36" s="569"/>
      <c r="AI36" s="569"/>
      <c r="AJ36" s="569"/>
      <c r="AK36" s="569"/>
      <c r="AL36" s="569"/>
      <c r="AM36" s="569"/>
      <c r="AN36" s="569"/>
      <c r="AO36" s="569"/>
      <c r="AP36" s="569"/>
      <c r="AQ36" s="569"/>
      <c r="AR36" s="569"/>
      <c r="AS36" s="569"/>
      <c r="AT36" s="538">
        <f t="shared" si="4"/>
        <v>19660</v>
      </c>
      <c r="AU36" s="538"/>
      <c r="AV36" s="538"/>
      <c r="AW36" s="538"/>
      <c r="AX36" s="538"/>
      <c r="AY36" s="538"/>
      <c r="AZ36" s="538"/>
      <c r="BA36" s="538"/>
      <c r="BB36" s="538"/>
      <c r="BC36" s="538"/>
      <c r="BD36" s="538"/>
      <c r="BE36" s="538"/>
      <c r="BF36" s="538"/>
      <c r="BG36" s="538"/>
      <c r="BH36" s="538"/>
      <c r="BI36" s="538"/>
      <c r="BJ36" s="538"/>
      <c r="BK36" s="570">
        <v>4610</v>
      </c>
      <c r="BL36" s="570"/>
      <c r="BM36" s="570"/>
      <c r="BN36" s="570"/>
      <c r="BO36" s="570"/>
      <c r="BP36" s="570"/>
      <c r="BQ36" s="570"/>
      <c r="BR36" s="570"/>
      <c r="BS36" s="570"/>
      <c r="BT36" s="570"/>
      <c r="BU36" s="570"/>
      <c r="BV36" s="570"/>
      <c r="BW36" s="570"/>
      <c r="BX36" s="570"/>
      <c r="BY36" s="570"/>
      <c r="BZ36" s="570"/>
      <c r="CA36" s="570"/>
      <c r="CB36" s="570"/>
      <c r="CC36" s="538"/>
      <c r="CD36" s="538"/>
      <c r="CE36" s="538"/>
      <c r="CF36" s="538"/>
      <c r="CG36" s="538"/>
      <c r="CH36" s="538"/>
      <c r="CI36" s="538"/>
      <c r="CJ36" s="538"/>
      <c r="CK36" s="538"/>
      <c r="CL36" s="538"/>
      <c r="CM36" s="538"/>
      <c r="CN36" s="538"/>
      <c r="CO36" s="538"/>
      <c r="CP36" s="538"/>
      <c r="CQ36" s="538"/>
      <c r="CR36" s="538"/>
      <c r="CS36" s="538"/>
      <c r="CT36" s="538"/>
      <c r="CU36" s="538"/>
      <c r="CV36" s="538">
        <v>15050</v>
      </c>
      <c r="CW36" s="538"/>
      <c r="CX36" s="538"/>
      <c r="CY36" s="538"/>
      <c r="CZ36" s="538"/>
      <c r="DA36" s="538"/>
      <c r="DB36" s="538"/>
      <c r="DC36" s="538"/>
      <c r="DD36" s="538"/>
      <c r="DE36" s="538"/>
      <c r="DF36" s="538"/>
      <c r="DG36" s="538"/>
      <c r="DH36" s="538"/>
      <c r="DI36" s="538"/>
      <c r="DJ36" s="538"/>
      <c r="DK36" s="538"/>
      <c r="DL36" s="538"/>
      <c r="DM36" s="538"/>
      <c r="DN36" s="538">
        <f t="shared" si="5"/>
        <v>15728</v>
      </c>
      <c r="DO36" s="538"/>
      <c r="DP36" s="538"/>
      <c r="DQ36" s="538"/>
      <c r="DR36" s="538"/>
      <c r="DS36" s="538"/>
      <c r="DT36" s="538"/>
      <c r="DU36" s="538"/>
      <c r="DV36" s="538"/>
      <c r="DW36" s="538"/>
      <c r="DX36" s="538"/>
      <c r="DY36" s="538"/>
      <c r="DZ36" s="538"/>
      <c r="EA36" s="538"/>
      <c r="EB36" s="538"/>
      <c r="EC36" s="538"/>
      <c r="ED36" s="538">
        <f t="shared" si="6"/>
        <v>9830</v>
      </c>
      <c r="EE36" s="538"/>
      <c r="EF36" s="538"/>
      <c r="EG36" s="538"/>
      <c r="EH36" s="538"/>
      <c r="EI36" s="538"/>
      <c r="EJ36" s="538"/>
      <c r="EK36" s="538"/>
      <c r="EL36" s="538"/>
      <c r="EM36" s="538"/>
      <c r="EN36" s="538"/>
      <c r="EO36" s="538"/>
      <c r="EP36" s="538"/>
      <c r="EQ36" s="538"/>
      <c r="ER36" s="538"/>
      <c r="ES36" s="538"/>
      <c r="ET36" s="538">
        <f t="shared" si="7"/>
        <v>542616</v>
      </c>
      <c r="EU36" s="538"/>
      <c r="EV36" s="538"/>
      <c r="EW36" s="538"/>
      <c r="EX36" s="538"/>
      <c r="EY36" s="538"/>
      <c r="EZ36" s="538"/>
      <c r="FA36" s="538"/>
      <c r="FB36" s="538"/>
      <c r="FC36" s="538"/>
      <c r="FD36" s="538"/>
      <c r="FE36" s="538"/>
      <c r="FF36" s="538"/>
      <c r="FG36" s="538"/>
      <c r="FH36" s="538"/>
      <c r="FI36" s="538"/>
      <c r="FJ36" s="538"/>
      <c r="FK36" s="171"/>
      <c r="FN36" s="171"/>
    </row>
    <row r="37" spans="1:178" s="16" customFormat="1" ht="18" customHeight="1" x14ac:dyDescent="0.3">
      <c r="A37" s="571" t="s">
        <v>481</v>
      </c>
      <c r="B37" s="571"/>
      <c r="C37" s="571"/>
      <c r="D37" s="571"/>
      <c r="E37" s="571"/>
      <c r="F37" s="571"/>
      <c r="G37" s="577" t="s">
        <v>500</v>
      </c>
      <c r="H37" s="577"/>
      <c r="I37" s="577"/>
      <c r="J37" s="577"/>
      <c r="K37" s="577"/>
      <c r="L37" s="577"/>
      <c r="M37" s="577"/>
      <c r="N37" s="577"/>
      <c r="O37" s="577"/>
      <c r="P37" s="577"/>
      <c r="Q37" s="577"/>
      <c r="R37" s="577"/>
      <c r="S37" s="577"/>
      <c r="T37" s="577"/>
      <c r="U37" s="577"/>
      <c r="V37" s="577"/>
      <c r="W37" s="577"/>
      <c r="X37" s="577"/>
      <c r="Y37" s="577"/>
      <c r="Z37" s="577"/>
      <c r="AA37" s="577"/>
      <c r="AB37" s="577"/>
      <c r="AC37" s="577"/>
      <c r="AD37" s="569">
        <v>6.25</v>
      </c>
      <c r="AE37" s="569"/>
      <c r="AF37" s="569"/>
      <c r="AG37" s="569"/>
      <c r="AH37" s="569"/>
      <c r="AI37" s="569"/>
      <c r="AJ37" s="569"/>
      <c r="AK37" s="569"/>
      <c r="AL37" s="569"/>
      <c r="AM37" s="569"/>
      <c r="AN37" s="569"/>
      <c r="AO37" s="569"/>
      <c r="AP37" s="569"/>
      <c r="AQ37" s="569"/>
      <c r="AR37" s="569"/>
      <c r="AS37" s="569"/>
      <c r="AT37" s="538">
        <f t="shared" si="4"/>
        <v>21085</v>
      </c>
      <c r="AU37" s="538"/>
      <c r="AV37" s="538"/>
      <c r="AW37" s="538"/>
      <c r="AX37" s="538"/>
      <c r="AY37" s="538"/>
      <c r="AZ37" s="538"/>
      <c r="BA37" s="538"/>
      <c r="BB37" s="538"/>
      <c r="BC37" s="538"/>
      <c r="BD37" s="538"/>
      <c r="BE37" s="538"/>
      <c r="BF37" s="538"/>
      <c r="BG37" s="538"/>
      <c r="BH37" s="538"/>
      <c r="BI37" s="538"/>
      <c r="BJ37" s="538"/>
      <c r="BK37" s="570">
        <v>4885</v>
      </c>
      <c r="BL37" s="570"/>
      <c r="BM37" s="570"/>
      <c r="BN37" s="570"/>
      <c r="BO37" s="570"/>
      <c r="BP37" s="570"/>
      <c r="BQ37" s="570"/>
      <c r="BR37" s="570"/>
      <c r="BS37" s="570"/>
      <c r="BT37" s="570"/>
      <c r="BU37" s="570"/>
      <c r="BV37" s="570"/>
      <c r="BW37" s="570"/>
      <c r="BX37" s="570"/>
      <c r="BY37" s="570"/>
      <c r="BZ37" s="570"/>
      <c r="CA37" s="570"/>
      <c r="CB37" s="570"/>
      <c r="CC37" s="538">
        <v>1000</v>
      </c>
      <c r="CD37" s="538"/>
      <c r="CE37" s="538"/>
      <c r="CF37" s="538"/>
      <c r="CG37" s="538"/>
      <c r="CH37" s="538"/>
      <c r="CI37" s="538"/>
      <c r="CJ37" s="538"/>
      <c r="CK37" s="538"/>
      <c r="CL37" s="538"/>
      <c r="CM37" s="538"/>
      <c r="CN37" s="538"/>
      <c r="CO37" s="538"/>
      <c r="CP37" s="538"/>
      <c r="CQ37" s="538"/>
      <c r="CR37" s="538"/>
      <c r="CS37" s="538"/>
      <c r="CT37" s="538"/>
      <c r="CU37" s="538"/>
      <c r="CV37" s="538">
        <v>15200</v>
      </c>
      <c r="CW37" s="538"/>
      <c r="CX37" s="538"/>
      <c r="CY37" s="538"/>
      <c r="CZ37" s="538"/>
      <c r="DA37" s="538"/>
      <c r="DB37" s="538"/>
      <c r="DC37" s="538"/>
      <c r="DD37" s="538"/>
      <c r="DE37" s="538"/>
      <c r="DF37" s="538"/>
      <c r="DG37" s="538"/>
      <c r="DH37" s="538"/>
      <c r="DI37" s="538"/>
      <c r="DJ37" s="538"/>
      <c r="DK37" s="538"/>
      <c r="DL37" s="538"/>
      <c r="DM37" s="538"/>
      <c r="DN37" s="538">
        <f t="shared" si="5"/>
        <v>16868</v>
      </c>
      <c r="DO37" s="538"/>
      <c r="DP37" s="538"/>
      <c r="DQ37" s="538"/>
      <c r="DR37" s="538"/>
      <c r="DS37" s="538"/>
      <c r="DT37" s="538"/>
      <c r="DU37" s="538"/>
      <c r="DV37" s="538"/>
      <c r="DW37" s="538"/>
      <c r="DX37" s="538"/>
      <c r="DY37" s="538"/>
      <c r="DZ37" s="538"/>
      <c r="EA37" s="538"/>
      <c r="EB37" s="538"/>
      <c r="EC37" s="538"/>
      <c r="ED37" s="538">
        <f t="shared" si="6"/>
        <v>10542.5</v>
      </c>
      <c r="EE37" s="538"/>
      <c r="EF37" s="538"/>
      <c r="EG37" s="538"/>
      <c r="EH37" s="538"/>
      <c r="EI37" s="538"/>
      <c r="EJ37" s="538"/>
      <c r="EK37" s="538"/>
      <c r="EL37" s="538"/>
      <c r="EM37" s="538"/>
      <c r="EN37" s="538"/>
      <c r="EO37" s="538"/>
      <c r="EP37" s="538"/>
      <c r="EQ37" s="538"/>
      <c r="ER37" s="538"/>
      <c r="ES37" s="538"/>
      <c r="ET37" s="538">
        <f t="shared" si="7"/>
        <v>3637162.5</v>
      </c>
      <c r="EU37" s="538"/>
      <c r="EV37" s="538"/>
      <c r="EW37" s="538"/>
      <c r="EX37" s="538"/>
      <c r="EY37" s="538"/>
      <c r="EZ37" s="538"/>
      <c r="FA37" s="538"/>
      <c r="FB37" s="538"/>
      <c r="FC37" s="538"/>
      <c r="FD37" s="538"/>
      <c r="FE37" s="538"/>
      <c r="FF37" s="538"/>
      <c r="FG37" s="538"/>
      <c r="FH37" s="538"/>
      <c r="FI37" s="538"/>
      <c r="FJ37" s="538"/>
      <c r="FK37" s="171"/>
      <c r="FN37" s="171"/>
    </row>
    <row r="38" spans="1:178" s="16" customFormat="1" ht="31.5" customHeight="1" x14ac:dyDescent="0.3">
      <c r="A38" s="571" t="s">
        <v>483</v>
      </c>
      <c r="B38" s="571"/>
      <c r="C38" s="571"/>
      <c r="D38" s="571"/>
      <c r="E38" s="571"/>
      <c r="F38" s="571"/>
      <c r="G38" s="577" t="s">
        <v>997</v>
      </c>
      <c r="H38" s="577"/>
      <c r="I38" s="577"/>
      <c r="J38" s="577"/>
      <c r="K38" s="577"/>
      <c r="L38" s="577"/>
      <c r="M38" s="577"/>
      <c r="N38" s="577"/>
      <c r="O38" s="577"/>
      <c r="P38" s="577"/>
      <c r="Q38" s="577"/>
      <c r="R38" s="577"/>
      <c r="S38" s="577"/>
      <c r="T38" s="577"/>
      <c r="U38" s="577"/>
      <c r="V38" s="577"/>
      <c r="W38" s="577"/>
      <c r="X38" s="577"/>
      <c r="Y38" s="577"/>
      <c r="Z38" s="577"/>
      <c r="AA38" s="577"/>
      <c r="AB38" s="577"/>
      <c r="AC38" s="577"/>
      <c r="AD38" s="569">
        <v>0.1</v>
      </c>
      <c r="AE38" s="569"/>
      <c r="AF38" s="569"/>
      <c r="AG38" s="569"/>
      <c r="AH38" s="569"/>
      <c r="AI38" s="569"/>
      <c r="AJ38" s="569"/>
      <c r="AK38" s="569"/>
      <c r="AL38" s="569"/>
      <c r="AM38" s="569"/>
      <c r="AN38" s="569"/>
      <c r="AO38" s="569"/>
      <c r="AP38" s="569"/>
      <c r="AQ38" s="569"/>
      <c r="AR38" s="569"/>
      <c r="AS38" s="569"/>
      <c r="AT38" s="538">
        <f t="shared" si="4"/>
        <v>20085</v>
      </c>
      <c r="AU38" s="538"/>
      <c r="AV38" s="538"/>
      <c r="AW38" s="538"/>
      <c r="AX38" s="538"/>
      <c r="AY38" s="538"/>
      <c r="AZ38" s="538"/>
      <c r="BA38" s="538"/>
      <c r="BB38" s="538"/>
      <c r="BC38" s="538"/>
      <c r="BD38" s="538"/>
      <c r="BE38" s="538"/>
      <c r="BF38" s="538"/>
      <c r="BG38" s="538"/>
      <c r="BH38" s="538"/>
      <c r="BI38" s="538"/>
      <c r="BJ38" s="538"/>
      <c r="BK38" s="570">
        <v>4885</v>
      </c>
      <c r="BL38" s="570"/>
      <c r="BM38" s="570"/>
      <c r="BN38" s="570"/>
      <c r="BO38" s="570"/>
      <c r="BP38" s="570"/>
      <c r="BQ38" s="570"/>
      <c r="BR38" s="570"/>
      <c r="BS38" s="570"/>
      <c r="BT38" s="570"/>
      <c r="BU38" s="570"/>
      <c r="BV38" s="570"/>
      <c r="BW38" s="570"/>
      <c r="BX38" s="570"/>
      <c r="BY38" s="570"/>
      <c r="BZ38" s="570"/>
      <c r="CA38" s="570"/>
      <c r="CB38" s="570"/>
      <c r="CC38" s="538"/>
      <c r="CD38" s="538"/>
      <c r="CE38" s="538"/>
      <c r="CF38" s="538"/>
      <c r="CG38" s="538"/>
      <c r="CH38" s="538"/>
      <c r="CI38" s="538"/>
      <c r="CJ38" s="538"/>
      <c r="CK38" s="538"/>
      <c r="CL38" s="538"/>
      <c r="CM38" s="538"/>
      <c r="CN38" s="538"/>
      <c r="CO38" s="538"/>
      <c r="CP38" s="538"/>
      <c r="CQ38" s="538"/>
      <c r="CR38" s="538"/>
      <c r="CS38" s="538"/>
      <c r="CT38" s="538"/>
      <c r="CU38" s="538"/>
      <c r="CV38" s="538">
        <v>15200</v>
      </c>
      <c r="CW38" s="538"/>
      <c r="CX38" s="538"/>
      <c r="CY38" s="538"/>
      <c r="CZ38" s="538"/>
      <c r="DA38" s="538"/>
      <c r="DB38" s="538"/>
      <c r="DC38" s="538"/>
      <c r="DD38" s="538"/>
      <c r="DE38" s="538"/>
      <c r="DF38" s="538"/>
      <c r="DG38" s="538"/>
      <c r="DH38" s="538"/>
      <c r="DI38" s="538"/>
      <c r="DJ38" s="538"/>
      <c r="DK38" s="538"/>
      <c r="DL38" s="538"/>
      <c r="DM38" s="538"/>
      <c r="DN38" s="538">
        <f t="shared" si="5"/>
        <v>16068</v>
      </c>
      <c r="DO38" s="538"/>
      <c r="DP38" s="538"/>
      <c r="DQ38" s="538"/>
      <c r="DR38" s="538"/>
      <c r="DS38" s="538"/>
      <c r="DT38" s="538"/>
      <c r="DU38" s="538"/>
      <c r="DV38" s="538"/>
      <c r="DW38" s="538"/>
      <c r="DX38" s="538"/>
      <c r="DY38" s="538"/>
      <c r="DZ38" s="538"/>
      <c r="EA38" s="538"/>
      <c r="EB38" s="538"/>
      <c r="EC38" s="538"/>
      <c r="ED38" s="538">
        <f t="shared" si="6"/>
        <v>10042.5</v>
      </c>
      <c r="EE38" s="538"/>
      <c r="EF38" s="538"/>
      <c r="EG38" s="538"/>
      <c r="EH38" s="538"/>
      <c r="EI38" s="538"/>
      <c r="EJ38" s="538"/>
      <c r="EK38" s="538"/>
      <c r="EL38" s="538"/>
      <c r="EM38" s="538"/>
      <c r="EN38" s="538"/>
      <c r="EO38" s="538"/>
      <c r="EP38" s="538"/>
      <c r="EQ38" s="538"/>
      <c r="ER38" s="538"/>
      <c r="ES38" s="538"/>
      <c r="ET38" s="538">
        <f t="shared" si="7"/>
        <v>55434.600000000006</v>
      </c>
      <c r="EU38" s="538"/>
      <c r="EV38" s="538"/>
      <c r="EW38" s="538"/>
      <c r="EX38" s="538"/>
      <c r="EY38" s="538"/>
      <c r="EZ38" s="538"/>
      <c r="FA38" s="538"/>
      <c r="FB38" s="538"/>
      <c r="FC38" s="538"/>
      <c r="FD38" s="538"/>
      <c r="FE38" s="538"/>
      <c r="FF38" s="538"/>
      <c r="FG38" s="538"/>
      <c r="FH38" s="538"/>
      <c r="FI38" s="538"/>
      <c r="FJ38" s="538"/>
      <c r="FK38" s="171"/>
      <c r="FN38" s="171"/>
    </row>
    <row r="39" spans="1:178" s="16" customFormat="1" ht="27.75" customHeight="1" x14ac:dyDescent="0.3">
      <c r="A39" s="578" t="s">
        <v>254</v>
      </c>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80"/>
      <c r="AD39" s="539">
        <f>SUM(AD32:AD38)</f>
        <v>12.35</v>
      </c>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40">
        <f>SUM(ET32:ET37)</f>
        <v>7411048.5</v>
      </c>
      <c r="EU39" s="539"/>
      <c r="EV39" s="539"/>
      <c r="EW39" s="539"/>
      <c r="EX39" s="539"/>
      <c r="EY39" s="539"/>
      <c r="EZ39" s="539"/>
      <c r="FA39" s="539"/>
      <c r="FB39" s="539"/>
      <c r="FC39" s="539"/>
      <c r="FD39" s="539"/>
      <c r="FE39" s="539"/>
      <c r="FF39" s="539"/>
      <c r="FG39" s="539"/>
      <c r="FH39" s="539"/>
      <c r="FI39" s="539"/>
      <c r="FJ39" s="539"/>
      <c r="FK39" s="171"/>
      <c r="FN39" s="171"/>
      <c r="FV39" s="60"/>
    </row>
    <row r="40" spans="1:178" s="16" customFormat="1" ht="14.25" customHeight="1" x14ac:dyDescent="0.3">
      <c r="A40" s="475" t="s">
        <v>256</v>
      </c>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7"/>
      <c r="FN40" s="171"/>
      <c r="FV40" s="60"/>
    </row>
    <row r="41" spans="1:178" s="16" customFormat="1" ht="32.4" customHeight="1" x14ac:dyDescent="0.3">
      <c r="A41" s="571" t="s">
        <v>67</v>
      </c>
      <c r="B41" s="571"/>
      <c r="C41" s="571"/>
      <c r="D41" s="571"/>
      <c r="E41" s="571"/>
      <c r="F41" s="571"/>
      <c r="G41" s="574" t="s">
        <v>501</v>
      </c>
      <c r="H41" s="575"/>
      <c r="I41" s="575"/>
      <c r="J41" s="575"/>
      <c r="K41" s="575"/>
      <c r="L41" s="575"/>
      <c r="M41" s="575"/>
      <c r="N41" s="575"/>
      <c r="O41" s="575"/>
      <c r="P41" s="575"/>
      <c r="Q41" s="575"/>
      <c r="R41" s="575"/>
      <c r="S41" s="575"/>
      <c r="T41" s="575"/>
      <c r="U41" s="575"/>
      <c r="V41" s="575"/>
      <c r="W41" s="575"/>
      <c r="X41" s="575"/>
      <c r="Y41" s="575"/>
      <c r="Z41" s="575"/>
      <c r="AA41" s="575"/>
      <c r="AB41" s="575"/>
      <c r="AC41" s="576"/>
      <c r="AD41" s="569">
        <v>3</v>
      </c>
      <c r="AE41" s="569"/>
      <c r="AF41" s="569"/>
      <c r="AG41" s="569"/>
      <c r="AH41" s="569"/>
      <c r="AI41" s="569"/>
      <c r="AJ41" s="569"/>
      <c r="AK41" s="569"/>
      <c r="AL41" s="569"/>
      <c r="AM41" s="569"/>
      <c r="AN41" s="569"/>
      <c r="AO41" s="569"/>
      <c r="AP41" s="569"/>
      <c r="AQ41" s="569"/>
      <c r="AR41" s="569"/>
      <c r="AS41" s="569"/>
      <c r="AT41" s="538">
        <f t="shared" ref="AT41:AT60" si="8">BK41+CC41+CV41</f>
        <v>39955</v>
      </c>
      <c r="AU41" s="538"/>
      <c r="AV41" s="538"/>
      <c r="AW41" s="538"/>
      <c r="AX41" s="538"/>
      <c r="AY41" s="538"/>
      <c r="AZ41" s="538"/>
      <c r="BA41" s="538"/>
      <c r="BB41" s="538"/>
      <c r="BC41" s="538"/>
      <c r="BD41" s="538"/>
      <c r="BE41" s="538"/>
      <c r="BF41" s="538"/>
      <c r="BG41" s="538"/>
      <c r="BH41" s="538"/>
      <c r="BI41" s="538"/>
      <c r="BJ41" s="538"/>
      <c r="BK41" s="570">
        <v>9955</v>
      </c>
      <c r="BL41" s="570"/>
      <c r="BM41" s="570"/>
      <c r="BN41" s="570"/>
      <c r="BO41" s="570"/>
      <c r="BP41" s="570"/>
      <c r="BQ41" s="570"/>
      <c r="BR41" s="570"/>
      <c r="BS41" s="570"/>
      <c r="BT41" s="570"/>
      <c r="BU41" s="570"/>
      <c r="BV41" s="570"/>
      <c r="BW41" s="570"/>
      <c r="BX41" s="570"/>
      <c r="BY41" s="570"/>
      <c r="BZ41" s="570"/>
      <c r="CA41" s="570"/>
      <c r="CB41" s="570"/>
      <c r="CC41" s="538"/>
      <c r="CD41" s="538"/>
      <c r="CE41" s="538"/>
      <c r="CF41" s="538"/>
      <c r="CG41" s="538"/>
      <c r="CH41" s="538"/>
      <c r="CI41" s="538"/>
      <c r="CJ41" s="538"/>
      <c r="CK41" s="538"/>
      <c r="CL41" s="538"/>
      <c r="CM41" s="538"/>
      <c r="CN41" s="538"/>
      <c r="CO41" s="538"/>
      <c r="CP41" s="538"/>
      <c r="CQ41" s="538"/>
      <c r="CR41" s="538"/>
      <c r="CS41" s="538"/>
      <c r="CT41" s="538"/>
      <c r="CU41" s="538"/>
      <c r="CV41" s="538">
        <v>30000</v>
      </c>
      <c r="CW41" s="538"/>
      <c r="CX41" s="538"/>
      <c r="CY41" s="538"/>
      <c r="CZ41" s="538"/>
      <c r="DA41" s="538"/>
      <c r="DB41" s="538"/>
      <c r="DC41" s="538"/>
      <c r="DD41" s="538"/>
      <c r="DE41" s="538"/>
      <c r="DF41" s="538"/>
      <c r="DG41" s="538"/>
      <c r="DH41" s="538"/>
      <c r="DI41" s="538"/>
      <c r="DJ41" s="538"/>
      <c r="DK41" s="538"/>
      <c r="DL41" s="538"/>
      <c r="DM41" s="538"/>
      <c r="DN41" s="538">
        <f t="shared" ref="DN41:DN60" si="9">AT41*80%</f>
        <v>31964</v>
      </c>
      <c r="DO41" s="538"/>
      <c r="DP41" s="538"/>
      <c r="DQ41" s="538"/>
      <c r="DR41" s="538"/>
      <c r="DS41" s="538"/>
      <c r="DT41" s="538"/>
      <c r="DU41" s="538"/>
      <c r="DV41" s="538"/>
      <c r="DW41" s="538"/>
      <c r="DX41" s="538"/>
      <c r="DY41" s="538"/>
      <c r="DZ41" s="538"/>
      <c r="EA41" s="538"/>
      <c r="EB41" s="538"/>
      <c r="EC41" s="538"/>
      <c r="ED41" s="538">
        <f t="shared" ref="ED41:ED60" si="10">AT41*50%</f>
        <v>19977.5</v>
      </c>
      <c r="EE41" s="538"/>
      <c r="EF41" s="538"/>
      <c r="EG41" s="538"/>
      <c r="EH41" s="538"/>
      <c r="EI41" s="538"/>
      <c r="EJ41" s="538"/>
      <c r="EK41" s="538"/>
      <c r="EL41" s="538"/>
      <c r="EM41" s="538"/>
      <c r="EN41" s="538"/>
      <c r="EO41" s="538"/>
      <c r="EP41" s="538"/>
      <c r="EQ41" s="538"/>
      <c r="ER41" s="538"/>
      <c r="ES41" s="538"/>
      <c r="ET41" s="538">
        <f t="shared" ref="ET41:ET60" si="11">(AT41+DN41+ED41)*12*AD41</f>
        <v>3308274</v>
      </c>
      <c r="EU41" s="538"/>
      <c r="EV41" s="538"/>
      <c r="EW41" s="538"/>
      <c r="EX41" s="538"/>
      <c r="EY41" s="538"/>
      <c r="EZ41" s="538"/>
      <c r="FA41" s="538"/>
      <c r="FB41" s="538"/>
      <c r="FC41" s="538"/>
      <c r="FD41" s="538"/>
      <c r="FE41" s="538"/>
      <c r="FF41" s="538"/>
      <c r="FG41" s="538"/>
      <c r="FH41" s="538"/>
      <c r="FI41" s="538"/>
      <c r="FJ41" s="538"/>
      <c r="FK41" s="171"/>
      <c r="FN41" s="171"/>
    </row>
    <row r="42" spans="1:178" s="16" customFormat="1" ht="25.95" customHeight="1" x14ac:dyDescent="0.3">
      <c r="A42" s="571" t="s">
        <v>71</v>
      </c>
      <c r="B42" s="571"/>
      <c r="C42" s="571"/>
      <c r="D42" s="571"/>
      <c r="E42" s="571"/>
      <c r="F42" s="571"/>
      <c r="G42" s="572" t="s">
        <v>502</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69">
        <v>0.1</v>
      </c>
      <c r="AE42" s="569"/>
      <c r="AF42" s="569"/>
      <c r="AG42" s="569"/>
      <c r="AH42" s="569"/>
      <c r="AI42" s="569"/>
      <c r="AJ42" s="569"/>
      <c r="AK42" s="569"/>
      <c r="AL42" s="569"/>
      <c r="AM42" s="569"/>
      <c r="AN42" s="569"/>
      <c r="AO42" s="569"/>
      <c r="AP42" s="569"/>
      <c r="AQ42" s="569"/>
      <c r="AR42" s="569"/>
      <c r="AS42" s="569"/>
      <c r="AT42" s="538">
        <f t="shared" si="8"/>
        <v>50856</v>
      </c>
      <c r="AU42" s="538"/>
      <c r="AV42" s="538"/>
      <c r="AW42" s="538"/>
      <c r="AX42" s="538"/>
      <c r="AY42" s="538"/>
      <c r="AZ42" s="538"/>
      <c r="BA42" s="538"/>
      <c r="BB42" s="538"/>
      <c r="BC42" s="538"/>
      <c r="BD42" s="538"/>
      <c r="BE42" s="538"/>
      <c r="BF42" s="538"/>
      <c r="BG42" s="538"/>
      <c r="BH42" s="538"/>
      <c r="BI42" s="538"/>
      <c r="BJ42" s="538"/>
      <c r="BK42" s="570">
        <v>10856</v>
      </c>
      <c r="BL42" s="570"/>
      <c r="BM42" s="570"/>
      <c r="BN42" s="570"/>
      <c r="BO42" s="570"/>
      <c r="BP42" s="570"/>
      <c r="BQ42" s="570"/>
      <c r="BR42" s="570"/>
      <c r="BS42" s="570"/>
      <c r="BT42" s="570"/>
      <c r="BU42" s="570"/>
      <c r="BV42" s="570"/>
      <c r="BW42" s="570"/>
      <c r="BX42" s="570"/>
      <c r="BY42" s="570"/>
      <c r="BZ42" s="570"/>
      <c r="CA42" s="570"/>
      <c r="CB42" s="570"/>
      <c r="CC42" s="569"/>
      <c r="CD42" s="569"/>
      <c r="CE42" s="569"/>
      <c r="CF42" s="569"/>
      <c r="CG42" s="569"/>
      <c r="CH42" s="569"/>
      <c r="CI42" s="569"/>
      <c r="CJ42" s="569"/>
      <c r="CK42" s="569"/>
      <c r="CL42" s="569"/>
      <c r="CM42" s="569"/>
      <c r="CN42" s="569"/>
      <c r="CO42" s="569"/>
      <c r="CP42" s="569"/>
      <c r="CQ42" s="569"/>
      <c r="CR42" s="569"/>
      <c r="CS42" s="569"/>
      <c r="CT42" s="569"/>
      <c r="CU42" s="569"/>
      <c r="CV42" s="562">
        <v>40000</v>
      </c>
      <c r="CW42" s="563"/>
      <c r="CX42" s="563"/>
      <c r="CY42" s="563"/>
      <c r="CZ42" s="563"/>
      <c r="DA42" s="563"/>
      <c r="DB42" s="563"/>
      <c r="DC42" s="563"/>
      <c r="DD42" s="563"/>
      <c r="DE42" s="563"/>
      <c r="DF42" s="563"/>
      <c r="DG42" s="563"/>
      <c r="DH42" s="563"/>
      <c r="DI42" s="563"/>
      <c r="DJ42" s="563"/>
      <c r="DK42" s="563"/>
      <c r="DL42" s="563"/>
      <c r="DM42" s="564"/>
      <c r="DN42" s="538">
        <f t="shared" si="9"/>
        <v>40684.800000000003</v>
      </c>
      <c r="DO42" s="538"/>
      <c r="DP42" s="538"/>
      <c r="DQ42" s="538"/>
      <c r="DR42" s="538"/>
      <c r="DS42" s="538"/>
      <c r="DT42" s="538"/>
      <c r="DU42" s="538"/>
      <c r="DV42" s="538"/>
      <c r="DW42" s="538"/>
      <c r="DX42" s="538"/>
      <c r="DY42" s="538"/>
      <c r="DZ42" s="538"/>
      <c r="EA42" s="538"/>
      <c r="EB42" s="538"/>
      <c r="EC42" s="538"/>
      <c r="ED42" s="538">
        <f t="shared" si="10"/>
        <v>25428</v>
      </c>
      <c r="EE42" s="538"/>
      <c r="EF42" s="538"/>
      <c r="EG42" s="538"/>
      <c r="EH42" s="538"/>
      <c r="EI42" s="538"/>
      <c r="EJ42" s="538"/>
      <c r="EK42" s="538"/>
      <c r="EL42" s="538"/>
      <c r="EM42" s="538"/>
      <c r="EN42" s="538"/>
      <c r="EO42" s="538"/>
      <c r="EP42" s="538"/>
      <c r="EQ42" s="538"/>
      <c r="ER42" s="538"/>
      <c r="ES42" s="538"/>
      <c r="ET42" s="538">
        <f t="shared" si="11"/>
        <v>140362.56000000003</v>
      </c>
      <c r="EU42" s="538"/>
      <c r="EV42" s="538"/>
      <c r="EW42" s="538"/>
      <c r="EX42" s="538"/>
      <c r="EY42" s="538"/>
      <c r="EZ42" s="538"/>
      <c r="FA42" s="538"/>
      <c r="FB42" s="538"/>
      <c r="FC42" s="538"/>
      <c r="FD42" s="538"/>
      <c r="FE42" s="538"/>
      <c r="FF42" s="538"/>
      <c r="FG42" s="538"/>
      <c r="FH42" s="538"/>
      <c r="FI42" s="538"/>
      <c r="FJ42" s="538"/>
      <c r="FK42" s="171"/>
      <c r="FN42" s="171"/>
      <c r="FO42" s="171" t="s">
        <v>504</v>
      </c>
      <c r="FP42" s="16" t="s">
        <v>909</v>
      </c>
    </row>
    <row r="43" spans="1:178" s="16" customFormat="1" ht="13.2" customHeight="1" x14ac:dyDescent="0.3">
      <c r="A43" s="571" t="s">
        <v>462</v>
      </c>
      <c r="B43" s="571"/>
      <c r="C43" s="571"/>
      <c r="D43" s="571"/>
      <c r="E43" s="571"/>
      <c r="F43" s="571"/>
      <c r="G43" s="572" t="s">
        <v>503</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69">
        <v>0.2</v>
      </c>
      <c r="AE43" s="569"/>
      <c r="AF43" s="569"/>
      <c r="AG43" s="569"/>
      <c r="AH43" s="569"/>
      <c r="AI43" s="569"/>
      <c r="AJ43" s="569"/>
      <c r="AK43" s="569"/>
      <c r="AL43" s="569"/>
      <c r="AM43" s="569"/>
      <c r="AN43" s="569"/>
      <c r="AO43" s="569"/>
      <c r="AP43" s="569"/>
      <c r="AQ43" s="569"/>
      <c r="AR43" s="569"/>
      <c r="AS43" s="569"/>
      <c r="AT43" s="538">
        <f t="shared" si="8"/>
        <v>81452.173200000005</v>
      </c>
      <c r="AU43" s="538"/>
      <c r="AV43" s="538"/>
      <c r="AW43" s="538"/>
      <c r="AX43" s="538"/>
      <c r="AY43" s="538"/>
      <c r="AZ43" s="538"/>
      <c r="BA43" s="538"/>
      <c r="BB43" s="538"/>
      <c r="BC43" s="538"/>
      <c r="BD43" s="538"/>
      <c r="BE43" s="538"/>
      <c r="BF43" s="538"/>
      <c r="BG43" s="538"/>
      <c r="BH43" s="538"/>
      <c r="BI43" s="538"/>
      <c r="BJ43" s="538"/>
      <c r="BK43" s="570">
        <v>10313</v>
      </c>
      <c r="BL43" s="570"/>
      <c r="BM43" s="570"/>
      <c r="BN43" s="570"/>
      <c r="BO43" s="570"/>
      <c r="BP43" s="570"/>
      <c r="BQ43" s="570"/>
      <c r="BR43" s="570"/>
      <c r="BS43" s="570"/>
      <c r="BT43" s="570"/>
      <c r="BU43" s="570"/>
      <c r="BV43" s="570"/>
      <c r="BW43" s="570"/>
      <c r="BX43" s="570"/>
      <c r="BY43" s="570"/>
      <c r="BZ43" s="570"/>
      <c r="CA43" s="570"/>
      <c r="CB43" s="570"/>
      <c r="CC43" s="569"/>
      <c r="CD43" s="569"/>
      <c r="CE43" s="569"/>
      <c r="CF43" s="569"/>
      <c r="CG43" s="569"/>
      <c r="CH43" s="569"/>
      <c r="CI43" s="569"/>
      <c r="CJ43" s="569"/>
      <c r="CK43" s="569"/>
      <c r="CL43" s="569"/>
      <c r="CM43" s="569"/>
      <c r="CN43" s="569"/>
      <c r="CO43" s="569"/>
      <c r="CP43" s="569"/>
      <c r="CQ43" s="569"/>
      <c r="CR43" s="569"/>
      <c r="CS43" s="569"/>
      <c r="CT43" s="569"/>
      <c r="CU43" s="569"/>
      <c r="CV43" s="562">
        <v>71139.173200000005</v>
      </c>
      <c r="CW43" s="563"/>
      <c r="CX43" s="563"/>
      <c r="CY43" s="563"/>
      <c r="CZ43" s="563"/>
      <c r="DA43" s="563"/>
      <c r="DB43" s="563"/>
      <c r="DC43" s="563"/>
      <c r="DD43" s="563"/>
      <c r="DE43" s="563"/>
      <c r="DF43" s="563"/>
      <c r="DG43" s="563"/>
      <c r="DH43" s="563"/>
      <c r="DI43" s="563"/>
      <c r="DJ43" s="563"/>
      <c r="DK43" s="563"/>
      <c r="DL43" s="563"/>
      <c r="DM43" s="564"/>
      <c r="DN43" s="538">
        <f t="shared" si="9"/>
        <v>65161.738560000005</v>
      </c>
      <c r="DO43" s="538"/>
      <c r="DP43" s="538"/>
      <c r="DQ43" s="538"/>
      <c r="DR43" s="538"/>
      <c r="DS43" s="538"/>
      <c r="DT43" s="538"/>
      <c r="DU43" s="538"/>
      <c r="DV43" s="538"/>
      <c r="DW43" s="538"/>
      <c r="DX43" s="538"/>
      <c r="DY43" s="538"/>
      <c r="DZ43" s="538"/>
      <c r="EA43" s="538"/>
      <c r="EB43" s="538"/>
      <c r="EC43" s="538"/>
      <c r="ED43" s="538">
        <f t="shared" si="10"/>
        <v>40726.086600000002</v>
      </c>
      <c r="EE43" s="538"/>
      <c r="EF43" s="538"/>
      <c r="EG43" s="538"/>
      <c r="EH43" s="538"/>
      <c r="EI43" s="538"/>
      <c r="EJ43" s="538"/>
      <c r="EK43" s="538"/>
      <c r="EL43" s="538"/>
      <c r="EM43" s="538"/>
      <c r="EN43" s="538"/>
      <c r="EO43" s="538"/>
      <c r="EP43" s="538"/>
      <c r="EQ43" s="538"/>
      <c r="ER43" s="538"/>
      <c r="ES43" s="538"/>
      <c r="ET43" s="538">
        <f t="shared" si="11"/>
        <v>449615.99606400006</v>
      </c>
      <c r="EU43" s="538"/>
      <c r="EV43" s="538"/>
      <c r="EW43" s="538"/>
      <c r="EX43" s="538"/>
      <c r="EY43" s="538"/>
      <c r="EZ43" s="538"/>
      <c r="FA43" s="538"/>
      <c r="FB43" s="538"/>
      <c r="FC43" s="538"/>
      <c r="FD43" s="538"/>
      <c r="FE43" s="538"/>
      <c r="FF43" s="538"/>
      <c r="FG43" s="538"/>
      <c r="FH43" s="538"/>
      <c r="FI43" s="538"/>
      <c r="FJ43" s="538"/>
      <c r="FK43" s="171">
        <v>267705.7</v>
      </c>
      <c r="FL43" s="16" t="s">
        <v>504</v>
      </c>
      <c r="FM43" s="171">
        <f>ET43/12/0.2</f>
        <v>187339.99836000003</v>
      </c>
      <c r="FN43" s="171"/>
      <c r="FO43" s="16">
        <f>93670*2*12*0.2</f>
        <v>449616</v>
      </c>
      <c r="FP43" s="171">
        <f>ET43</f>
        <v>449615.99606400006</v>
      </c>
    </row>
    <row r="44" spans="1:178" s="16" customFormat="1" ht="24.6" customHeight="1" x14ac:dyDescent="0.3">
      <c r="A44" s="571" t="s">
        <v>477</v>
      </c>
      <c r="B44" s="571"/>
      <c r="C44" s="571"/>
      <c r="D44" s="571"/>
      <c r="E44" s="571"/>
      <c r="F44" s="571"/>
      <c r="G44" s="572" t="s">
        <v>505</v>
      </c>
      <c r="H44" s="572"/>
      <c r="I44" s="572"/>
      <c r="J44" s="572"/>
      <c r="K44" s="572"/>
      <c r="L44" s="572"/>
      <c r="M44" s="572"/>
      <c r="N44" s="572"/>
      <c r="O44" s="572"/>
      <c r="P44" s="572"/>
      <c r="Q44" s="572"/>
      <c r="R44" s="572"/>
      <c r="S44" s="572"/>
      <c r="T44" s="572"/>
      <c r="U44" s="572"/>
      <c r="V44" s="572"/>
      <c r="W44" s="572"/>
      <c r="X44" s="572"/>
      <c r="Y44" s="572"/>
      <c r="Z44" s="572"/>
      <c r="AA44" s="572"/>
      <c r="AB44" s="572"/>
      <c r="AC44" s="572"/>
      <c r="AD44" s="569">
        <v>7</v>
      </c>
      <c r="AE44" s="569"/>
      <c r="AF44" s="569"/>
      <c r="AG44" s="569"/>
      <c r="AH44" s="569"/>
      <c r="AI44" s="569"/>
      <c r="AJ44" s="569"/>
      <c r="AK44" s="569"/>
      <c r="AL44" s="569"/>
      <c r="AM44" s="569"/>
      <c r="AN44" s="569"/>
      <c r="AO44" s="569"/>
      <c r="AP44" s="569"/>
      <c r="AQ44" s="569"/>
      <c r="AR44" s="569"/>
      <c r="AS44" s="569"/>
      <c r="AT44" s="538">
        <f t="shared" si="8"/>
        <v>33341</v>
      </c>
      <c r="AU44" s="538"/>
      <c r="AV44" s="538"/>
      <c r="AW44" s="538"/>
      <c r="AX44" s="538"/>
      <c r="AY44" s="538"/>
      <c r="AZ44" s="538"/>
      <c r="BA44" s="538"/>
      <c r="BB44" s="538"/>
      <c r="BC44" s="538"/>
      <c r="BD44" s="538"/>
      <c r="BE44" s="538"/>
      <c r="BF44" s="538"/>
      <c r="BG44" s="538"/>
      <c r="BH44" s="538"/>
      <c r="BI44" s="538"/>
      <c r="BJ44" s="538"/>
      <c r="BK44" s="570">
        <v>8341</v>
      </c>
      <c r="BL44" s="570"/>
      <c r="BM44" s="570"/>
      <c r="BN44" s="570"/>
      <c r="BO44" s="570"/>
      <c r="BP44" s="570"/>
      <c r="BQ44" s="570"/>
      <c r="BR44" s="570"/>
      <c r="BS44" s="570"/>
      <c r="BT44" s="570"/>
      <c r="BU44" s="570"/>
      <c r="BV44" s="570"/>
      <c r="BW44" s="570"/>
      <c r="BX44" s="570"/>
      <c r="BY44" s="570"/>
      <c r="BZ44" s="570"/>
      <c r="CA44" s="570"/>
      <c r="CB44" s="570"/>
      <c r="CC44" s="538">
        <v>1000</v>
      </c>
      <c r="CD44" s="538"/>
      <c r="CE44" s="538"/>
      <c r="CF44" s="538"/>
      <c r="CG44" s="538"/>
      <c r="CH44" s="538"/>
      <c r="CI44" s="538"/>
      <c r="CJ44" s="538"/>
      <c r="CK44" s="538"/>
      <c r="CL44" s="538"/>
      <c r="CM44" s="538"/>
      <c r="CN44" s="538"/>
      <c r="CO44" s="538"/>
      <c r="CP44" s="538"/>
      <c r="CQ44" s="538"/>
      <c r="CR44" s="538"/>
      <c r="CS44" s="538"/>
      <c r="CT44" s="538"/>
      <c r="CU44" s="538"/>
      <c r="CV44" s="562">
        <v>24000</v>
      </c>
      <c r="CW44" s="563"/>
      <c r="CX44" s="563"/>
      <c r="CY44" s="563"/>
      <c r="CZ44" s="563"/>
      <c r="DA44" s="563"/>
      <c r="DB44" s="563"/>
      <c r="DC44" s="563"/>
      <c r="DD44" s="563"/>
      <c r="DE44" s="563"/>
      <c r="DF44" s="563"/>
      <c r="DG44" s="563"/>
      <c r="DH44" s="563"/>
      <c r="DI44" s="563"/>
      <c r="DJ44" s="563"/>
      <c r="DK44" s="563"/>
      <c r="DL44" s="563"/>
      <c r="DM44" s="564"/>
      <c r="DN44" s="538">
        <f t="shared" si="9"/>
        <v>26672.800000000003</v>
      </c>
      <c r="DO44" s="538"/>
      <c r="DP44" s="538"/>
      <c r="DQ44" s="538"/>
      <c r="DR44" s="538"/>
      <c r="DS44" s="538"/>
      <c r="DT44" s="538"/>
      <c r="DU44" s="538"/>
      <c r="DV44" s="538"/>
      <c r="DW44" s="538"/>
      <c r="DX44" s="538"/>
      <c r="DY44" s="538"/>
      <c r="DZ44" s="538"/>
      <c r="EA44" s="538"/>
      <c r="EB44" s="538"/>
      <c r="EC44" s="538"/>
      <c r="ED44" s="538">
        <f t="shared" si="10"/>
        <v>16670.5</v>
      </c>
      <c r="EE44" s="538"/>
      <c r="EF44" s="538"/>
      <c r="EG44" s="538"/>
      <c r="EH44" s="538"/>
      <c r="EI44" s="538"/>
      <c r="EJ44" s="538"/>
      <c r="EK44" s="538"/>
      <c r="EL44" s="538"/>
      <c r="EM44" s="538"/>
      <c r="EN44" s="538"/>
      <c r="EO44" s="538"/>
      <c r="EP44" s="538"/>
      <c r="EQ44" s="538"/>
      <c r="ER44" s="538"/>
      <c r="ES44" s="538"/>
      <c r="ET44" s="538">
        <f t="shared" si="11"/>
        <v>6441481.2000000011</v>
      </c>
      <c r="EU44" s="538"/>
      <c r="EV44" s="538"/>
      <c r="EW44" s="538"/>
      <c r="EX44" s="538"/>
      <c r="EY44" s="538"/>
      <c r="EZ44" s="538"/>
      <c r="FA44" s="538"/>
      <c r="FB44" s="538"/>
      <c r="FC44" s="538"/>
      <c r="FD44" s="538"/>
      <c r="FE44" s="538"/>
      <c r="FF44" s="538"/>
      <c r="FG44" s="538"/>
      <c r="FH44" s="538"/>
      <c r="FI44" s="538"/>
      <c r="FJ44" s="538"/>
      <c r="FK44" s="171"/>
      <c r="FN44" s="171"/>
    </row>
    <row r="45" spans="1:178" s="16" customFormat="1" ht="30" customHeight="1" x14ac:dyDescent="0.3">
      <c r="A45" s="571" t="s">
        <v>479</v>
      </c>
      <c r="B45" s="571"/>
      <c r="C45" s="571"/>
      <c r="D45" s="571"/>
      <c r="E45" s="571"/>
      <c r="F45" s="571"/>
      <c r="G45" s="572" t="s">
        <v>506</v>
      </c>
      <c r="H45" s="572"/>
      <c r="I45" s="572"/>
      <c r="J45" s="572"/>
      <c r="K45" s="572"/>
      <c r="L45" s="572"/>
      <c r="M45" s="572"/>
      <c r="N45" s="572"/>
      <c r="O45" s="572"/>
      <c r="P45" s="572"/>
      <c r="Q45" s="572"/>
      <c r="R45" s="572"/>
      <c r="S45" s="572"/>
      <c r="T45" s="572"/>
      <c r="U45" s="572"/>
      <c r="V45" s="572"/>
      <c r="W45" s="572"/>
      <c r="X45" s="572"/>
      <c r="Y45" s="572"/>
      <c r="Z45" s="572"/>
      <c r="AA45" s="572"/>
      <c r="AB45" s="572"/>
      <c r="AC45" s="572"/>
      <c r="AD45" s="569">
        <v>5</v>
      </c>
      <c r="AE45" s="569"/>
      <c r="AF45" s="569"/>
      <c r="AG45" s="569"/>
      <c r="AH45" s="569"/>
      <c r="AI45" s="569"/>
      <c r="AJ45" s="569"/>
      <c r="AK45" s="569"/>
      <c r="AL45" s="569"/>
      <c r="AM45" s="569"/>
      <c r="AN45" s="569"/>
      <c r="AO45" s="569"/>
      <c r="AP45" s="569"/>
      <c r="AQ45" s="569"/>
      <c r="AR45" s="569"/>
      <c r="AS45" s="569"/>
      <c r="AT45" s="538">
        <f>BK45+CC45+CV45</f>
        <v>33592</v>
      </c>
      <c r="AU45" s="538"/>
      <c r="AV45" s="538"/>
      <c r="AW45" s="538"/>
      <c r="AX45" s="538"/>
      <c r="AY45" s="538"/>
      <c r="AZ45" s="538"/>
      <c r="BA45" s="538"/>
      <c r="BB45" s="538"/>
      <c r="BC45" s="538"/>
      <c r="BD45" s="538"/>
      <c r="BE45" s="538"/>
      <c r="BF45" s="538"/>
      <c r="BG45" s="538"/>
      <c r="BH45" s="538"/>
      <c r="BI45" s="538"/>
      <c r="BJ45" s="538"/>
      <c r="BK45" s="570">
        <v>9592</v>
      </c>
      <c r="BL45" s="570"/>
      <c r="BM45" s="570"/>
      <c r="BN45" s="570"/>
      <c r="BO45" s="570"/>
      <c r="BP45" s="570"/>
      <c r="BQ45" s="570"/>
      <c r="BR45" s="570"/>
      <c r="BS45" s="570"/>
      <c r="BT45" s="570"/>
      <c r="BU45" s="570"/>
      <c r="BV45" s="570"/>
      <c r="BW45" s="570"/>
      <c r="BX45" s="570"/>
      <c r="BY45" s="570"/>
      <c r="BZ45" s="570"/>
      <c r="CA45" s="570"/>
      <c r="CB45" s="570"/>
      <c r="CC45" s="538"/>
      <c r="CD45" s="538"/>
      <c r="CE45" s="538"/>
      <c r="CF45" s="538"/>
      <c r="CG45" s="538"/>
      <c r="CH45" s="538"/>
      <c r="CI45" s="538"/>
      <c r="CJ45" s="538"/>
      <c r="CK45" s="538"/>
      <c r="CL45" s="538"/>
      <c r="CM45" s="538"/>
      <c r="CN45" s="538"/>
      <c r="CO45" s="538"/>
      <c r="CP45" s="538"/>
      <c r="CQ45" s="538"/>
      <c r="CR45" s="538"/>
      <c r="CS45" s="538"/>
      <c r="CT45" s="538"/>
      <c r="CU45" s="538"/>
      <c r="CV45" s="562">
        <v>24000</v>
      </c>
      <c r="CW45" s="563"/>
      <c r="CX45" s="563"/>
      <c r="CY45" s="563"/>
      <c r="CZ45" s="563"/>
      <c r="DA45" s="563"/>
      <c r="DB45" s="563"/>
      <c r="DC45" s="563"/>
      <c r="DD45" s="563"/>
      <c r="DE45" s="563"/>
      <c r="DF45" s="563"/>
      <c r="DG45" s="563"/>
      <c r="DH45" s="563"/>
      <c r="DI45" s="563"/>
      <c r="DJ45" s="563"/>
      <c r="DK45" s="563"/>
      <c r="DL45" s="563"/>
      <c r="DM45" s="564"/>
      <c r="DN45" s="538">
        <f>AT45*80%</f>
        <v>26873.600000000002</v>
      </c>
      <c r="DO45" s="538"/>
      <c r="DP45" s="538"/>
      <c r="DQ45" s="538"/>
      <c r="DR45" s="538"/>
      <c r="DS45" s="538"/>
      <c r="DT45" s="538"/>
      <c r="DU45" s="538"/>
      <c r="DV45" s="538"/>
      <c r="DW45" s="538"/>
      <c r="DX45" s="538"/>
      <c r="DY45" s="538"/>
      <c r="DZ45" s="538"/>
      <c r="EA45" s="538"/>
      <c r="EB45" s="538"/>
      <c r="EC45" s="538"/>
      <c r="ED45" s="538">
        <f>AT45*50%</f>
        <v>16796</v>
      </c>
      <c r="EE45" s="538"/>
      <c r="EF45" s="538"/>
      <c r="EG45" s="538"/>
      <c r="EH45" s="538"/>
      <c r="EI45" s="538"/>
      <c r="EJ45" s="538"/>
      <c r="EK45" s="538"/>
      <c r="EL45" s="538"/>
      <c r="EM45" s="538"/>
      <c r="EN45" s="538"/>
      <c r="EO45" s="538"/>
      <c r="EP45" s="538"/>
      <c r="EQ45" s="538"/>
      <c r="ER45" s="538"/>
      <c r="ES45" s="538"/>
      <c r="ET45" s="538">
        <f>(AT45+DN45+ED45)*12*AD45</f>
        <v>4635696</v>
      </c>
      <c r="EU45" s="538"/>
      <c r="EV45" s="538"/>
      <c r="EW45" s="538"/>
      <c r="EX45" s="538"/>
      <c r="EY45" s="538"/>
      <c r="EZ45" s="538"/>
      <c r="FA45" s="538"/>
      <c r="FB45" s="538"/>
      <c r="FC45" s="538"/>
      <c r="FD45" s="538"/>
      <c r="FE45" s="538"/>
      <c r="FF45" s="538"/>
      <c r="FG45" s="538"/>
      <c r="FH45" s="538"/>
      <c r="FI45" s="538"/>
      <c r="FJ45" s="538"/>
      <c r="FK45" s="171"/>
      <c r="FN45" s="171"/>
    </row>
    <row r="46" spans="1:178" s="16" customFormat="1" ht="13.2" customHeight="1" x14ac:dyDescent="0.3">
      <c r="A46" s="571" t="s">
        <v>481</v>
      </c>
      <c r="B46" s="571"/>
      <c r="C46" s="571"/>
      <c r="D46" s="571"/>
      <c r="E46" s="571"/>
      <c r="F46" s="571"/>
      <c r="G46" s="572" t="s">
        <v>507</v>
      </c>
      <c r="H46" s="572"/>
      <c r="I46" s="572"/>
      <c r="J46" s="572"/>
      <c r="K46" s="572"/>
      <c r="L46" s="572"/>
      <c r="M46" s="572"/>
      <c r="N46" s="572"/>
      <c r="O46" s="572"/>
      <c r="P46" s="572"/>
      <c r="Q46" s="572"/>
      <c r="R46" s="572"/>
      <c r="S46" s="572"/>
      <c r="T46" s="572"/>
      <c r="U46" s="572"/>
      <c r="V46" s="572"/>
      <c r="W46" s="572"/>
      <c r="X46" s="572"/>
      <c r="Y46" s="572"/>
      <c r="Z46" s="572"/>
      <c r="AA46" s="572"/>
      <c r="AB46" s="572"/>
      <c r="AC46" s="572"/>
      <c r="AD46" s="569">
        <v>7</v>
      </c>
      <c r="AE46" s="569"/>
      <c r="AF46" s="569"/>
      <c r="AG46" s="569"/>
      <c r="AH46" s="569"/>
      <c r="AI46" s="569"/>
      <c r="AJ46" s="569"/>
      <c r="AK46" s="569"/>
      <c r="AL46" s="569"/>
      <c r="AM46" s="569"/>
      <c r="AN46" s="569"/>
      <c r="AO46" s="569"/>
      <c r="AP46" s="569"/>
      <c r="AQ46" s="569"/>
      <c r="AR46" s="569"/>
      <c r="AS46" s="569"/>
      <c r="AT46" s="538">
        <f t="shared" si="8"/>
        <v>29555</v>
      </c>
      <c r="AU46" s="538"/>
      <c r="AV46" s="538"/>
      <c r="AW46" s="538"/>
      <c r="AX46" s="538"/>
      <c r="AY46" s="538"/>
      <c r="AZ46" s="538"/>
      <c r="BA46" s="538"/>
      <c r="BB46" s="538"/>
      <c r="BC46" s="538"/>
      <c r="BD46" s="538"/>
      <c r="BE46" s="538"/>
      <c r="BF46" s="538"/>
      <c r="BG46" s="538"/>
      <c r="BH46" s="538"/>
      <c r="BI46" s="538"/>
      <c r="BJ46" s="538"/>
      <c r="BK46" s="570">
        <v>5705</v>
      </c>
      <c r="BL46" s="570"/>
      <c r="BM46" s="570"/>
      <c r="BN46" s="570"/>
      <c r="BO46" s="570"/>
      <c r="BP46" s="570"/>
      <c r="BQ46" s="570"/>
      <c r="BR46" s="570"/>
      <c r="BS46" s="570"/>
      <c r="BT46" s="570"/>
      <c r="BU46" s="570"/>
      <c r="BV46" s="570"/>
      <c r="BW46" s="570"/>
      <c r="BX46" s="570"/>
      <c r="BY46" s="570"/>
      <c r="BZ46" s="570"/>
      <c r="CA46" s="570"/>
      <c r="CB46" s="570"/>
      <c r="CC46" s="538">
        <v>850</v>
      </c>
      <c r="CD46" s="538"/>
      <c r="CE46" s="538"/>
      <c r="CF46" s="538"/>
      <c r="CG46" s="538"/>
      <c r="CH46" s="538"/>
      <c r="CI46" s="538"/>
      <c r="CJ46" s="538"/>
      <c r="CK46" s="538"/>
      <c r="CL46" s="538"/>
      <c r="CM46" s="538"/>
      <c r="CN46" s="538"/>
      <c r="CO46" s="538"/>
      <c r="CP46" s="538"/>
      <c r="CQ46" s="538"/>
      <c r="CR46" s="538"/>
      <c r="CS46" s="538"/>
      <c r="CT46" s="538"/>
      <c r="CU46" s="538"/>
      <c r="CV46" s="562">
        <v>23000</v>
      </c>
      <c r="CW46" s="563"/>
      <c r="CX46" s="563"/>
      <c r="CY46" s="563"/>
      <c r="CZ46" s="563"/>
      <c r="DA46" s="563"/>
      <c r="DB46" s="563"/>
      <c r="DC46" s="563"/>
      <c r="DD46" s="563"/>
      <c r="DE46" s="563"/>
      <c r="DF46" s="563"/>
      <c r="DG46" s="563"/>
      <c r="DH46" s="563"/>
      <c r="DI46" s="563"/>
      <c r="DJ46" s="563"/>
      <c r="DK46" s="563"/>
      <c r="DL46" s="563"/>
      <c r="DM46" s="564"/>
      <c r="DN46" s="538">
        <f t="shared" si="9"/>
        <v>23644</v>
      </c>
      <c r="DO46" s="538"/>
      <c r="DP46" s="538"/>
      <c r="DQ46" s="538"/>
      <c r="DR46" s="538"/>
      <c r="DS46" s="538"/>
      <c r="DT46" s="538"/>
      <c r="DU46" s="538"/>
      <c r="DV46" s="538"/>
      <c r="DW46" s="538"/>
      <c r="DX46" s="538"/>
      <c r="DY46" s="538"/>
      <c r="DZ46" s="538"/>
      <c r="EA46" s="538"/>
      <c r="EB46" s="538"/>
      <c r="EC46" s="538"/>
      <c r="ED46" s="538">
        <f t="shared" si="10"/>
        <v>14777.5</v>
      </c>
      <c r="EE46" s="538"/>
      <c r="EF46" s="538"/>
      <c r="EG46" s="538"/>
      <c r="EH46" s="538"/>
      <c r="EI46" s="538"/>
      <c r="EJ46" s="538"/>
      <c r="EK46" s="538"/>
      <c r="EL46" s="538"/>
      <c r="EM46" s="538"/>
      <c r="EN46" s="538"/>
      <c r="EO46" s="538"/>
      <c r="EP46" s="538"/>
      <c r="EQ46" s="538"/>
      <c r="ER46" s="538"/>
      <c r="ES46" s="538"/>
      <c r="ET46" s="538">
        <f t="shared" si="11"/>
        <v>5710026</v>
      </c>
      <c r="EU46" s="538"/>
      <c r="EV46" s="538"/>
      <c r="EW46" s="538"/>
      <c r="EX46" s="538"/>
      <c r="EY46" s="538"/>
      <c r="EZ46" s="538"/>
      <c r="FA46" s="538"/>
      <c r="FB46" s="538"/>
      <c r="FC46" s="538"/>
      <c r="FD46" s="538"/>
      <c r="FE46" s="538"/>
      <c r="FF46" s="538"/>
      <c r="FG46" s="538"/>
      <c r="FH46" s="538"/>
      <c r="FI46" s="538"/>
      <c r="FJ46" s="538"/>
      <c r="FK46" s="171"/>
      <c r="FN46" s="171"/>
    </row>
    <row r="47" spans="1:178" s="16" customFormat="1" ht="13.2" customHeight="1" x14ac:dyDescent="0.3">
      <c r="A47" s="571" t="s">
        <v>483</v>
      </c>
      <c r="B47" s="571"/>
      <c r="C47" s="571"/>
      <c r="D47" s="571"/>
      <c r="E47" s="571"/>
      <c r="F47" s="571"/>
      <c r="G47" s="572" t="s">
        <v>508</v>
      </c>
      <c r="H47" s="572"/>
      <c r="I47" s="572"/>
      <c r="J47" s="572"/>
      <c r="K47" s="572"/>
      <c r="L47" s="572"/>
      <c r="M47" s="572"/>
      <c r="N47" s="572"/>
      <c r="O47" s="572"/>
      <c r="P47" s="572"/>
      <c r="Q47" s="572"/>
      <c r="R47" s="572"/>
      <c r="S47" s="572"/>
      <c r="T47" s="572"/>
      <c r="U47" s="572"/>
      <c r="V47" s="572"/>
      <c r="W47" s="572"/>
      <c r="X47" s="572"/>
      <c r="Y47" s="572"/>
      <c r="Z47" s="572"/>
      <c r="AA47" s="572"/>
      <c r="AB47" s="572"/>
      <c r="AC47" s="572"/>
      <c r="AD47" s="569">
        <v>1</v>
      </c>
      <c r="AE47" s="569"/>
      <c r="AF47" s="569"/>
      <c r="AG47" s="569"/>
      <c r="AH47" s="569"/>
      <c r="AI47" s="569"/>
      <c r="AJ47" s="569"/>
      <c r="AK47" s="569"/>
      <c r="AL47" s="569"/>
      <c r="AM47" s="569"/>
      <c r="AN47" s="569"/>
      <c r="AO47" s="569"/>
      <c r="AP47" s="569"/>
      <c r="AQ47" s="569"/>
      <c r="AR47" s="569"/>
      <c r="AS47" s="569"/>
      <c r="AT47" s="538">
        <f t="shared" si="8"/>
        <v>33488</v>
      </c>
      <c r="AU47" s="538"/>
      <c r="AV47" s="538"/>
      <c r="AW47" s="538"/>
      <c r="AX47" s="538"/>
      <c r="AY47" s="538"/>
      <c r="AZ47" s="538"/>
      <c r="BA47" s="538"/>
      <c r="BB47" s="538"/>
      <c r="BC47" s="538"/>
      <c r="BD47" s="538"/>
      <c r="BE47" s="538"/>
      <c r="BF47" s="538"/>
      <c r="BG47" s="538"/>
      <c r="BH47" s="538"/>
      <c r="BI47" s="538"/>
      <c r="BJ47" s="538"/>
      <c r="BK47" s="570">
        <v>9488</v>
      </c>
      <c r="BL47" s="570"/>
      <c r="BM47" s="570"/>
      <c r="BN47" s="570"/>
      <c r="BO47" s="570"/>
      <c r="BP47" s="570"/>
      <c r="BQ47" s="570"/>
      <c r="BR47" s="570"/>
      <c r="BS47" s="570"/>
      <c r="BT47" s="570"/>
      <c r="BU47" s="570"/>
      <c r="BV47" s="570"/>
      <c r="BW47" s="570"/>
      <c r="BX47" s="570"/>
      <c r="BY47" s="570"/>
      <c r="BZ47" s="570"/>
      <c r="CA47" s="570"/>
      <c r="CB47" s="570"/>
      <c r="CC47" s="538"/>
      <c r="CD47" s="538"/>
      <c r="CE47" s="538"/>
      <c r="CF47" s="538"/>
      <c r="CG47" s="538"/>
      <c r="CH47" s="538"/>
      <c r="CI47" s="538"/>
      <c r="CJ47" s="538"/>
      <c r="CK47" s="538"/>
      <c r="CL47" s="538"/>
      <c r="CM47" s="538"/>
      <c r="CN47" s="538"/>
      <c r="CO47" s="538"/>
      <c r="CP47" s="538"/>
      <c r="CQ47" s="538"/>
      <c r="CR47" s="538"/>
      <c r="CS47" s="538"/>
      <c r="CT47" s="538"/>
      <c r="CU47" s="538"/>
      <c r="CV47" s="562">
        <v>24000</v>
      </c>
      <c r="CW47" s="563"/>
      <c r="CX47" s="563"/>
      <c r="CY47" s="563"/>
      <c r="CZ47" s="563"/>
      <c r="DA47" s="563"/>
      <c r="DB47" s="563"/>
      <c r="DC47" s="563"/>
      <c r="DD47" s="563"/>
      <c r="DE47" s="563"/>
      <c r="DF47" s="563"/>
      <c r="DG47" s="563"/>
      <c r="DH47" s="563"/>
      <c r="DI47" s="563"/>
      <c r="DJ47" s="563"/>
      <c r="DK47" s="563"/>
      <c r="DL47" s="563"/>
      <c r="DM47" s="564"/>
      <c r="DN47" s="538">
        <f t="shared" si="9"/>
        <v>26790.400000000001</v>
      </c>
      <c r="DO47" s="538"/>
      <c r="DP47" s="538"/>
      <c r="DQ47" s="538"/>
      <c r="DR47" s="538"/>
      <c r="DS47" s="538"/>
      <c r="DT47" s="538"/>
      <c r="DU47" s="538"/>
      <c r="DV47" s="538"/>
      <c r="DW47" s="538"/>
      <c r="DX47" s="538"/>
      <c r="DY47" s="538"/>
      <c r="DZ47" s="538"/>
      <c r="EA47" s="538"/>
      <c r="EB47" s="538"/>
      <c r="EC47" s="538"/>
      <c r="ED47" s="538">
        <f t="shared" si="10"/>
        <v>16744</v>
      </c>
      <c r="EE47" s="538"/>
      <c r="EF47" s="538"/>
      <c r="EG47" s="538"/>
      <c r="EH47" s="538"/>
      <c r="EI47" s="538"/>
      <c r="EJ47" s="538"/>
      <c r="EK47" s="538"/>
      <c r="EL47" s="538"/>
      <c r="EM47" s="538"/>
      <c r="EN47" s="538"/>
      <c r="EO47" s="538"/>
      <c r="EP47" s="538"/>
      <c r="EQ47" s="538"/>
      <c r="ER47" s="538"/>
      <c r="ES47" s="538"/>
      <c r="ET47" s="538">
        <f t="shared" si="11"/>
        <v>924268.79999999993</v>
      </c>
      <c r="EU47" s="538"/>
      <c r="EV47" s="538"/>
      <c r="EW47" s="538"/>
      <c r="EX47" s="538"/>
      <c r="EY47" s="538"/>
      <c r="EZ47" s="538"/>
      <c r="FA47" s="538"/>
      <c r="FB47" s="538"/>
      <c r="FC47" s="538"/>
      <c r="FD47" s="538"/>
      <c r="FE47" s="538"/>
      <c r="FF47" s="538"/>
      <c r="FG47" s="538"/>
      <c r="FH47" s="538"/>
      <c r="FI47" s="538"/>
      <c r="FJ47" s="538"/>
      <c r="FK47" s="171"/>
      <c r="FN47" s="171"/>
    </row>
    <row r="48" spans="1:178" s="16" customFormat="1" ht="30.6" customHeight="1" x14ac:dyDescent="0.3">
      <c r="A48" s="571" t="s">
        <v>485</v>
      </c>
      <c r="B48" s="571"/>
      <c r="C48" s="571"/>
      <c r="D48" s="571"/>
      <c r="E48" s="571"/>
      <c r="F48" s="571"/>
      <c r="G48" s="572" t="s">
        <v>509</v>
      </c>
      <c r="H48" s="572"/>
      <c r="I48" s="572"/>
      <c r="J48" s="572"/>
      <c r="K48" s="572"/>
      <c r="L48" s="572"/>
      <c r="M48" s="572"/>
      <c r="N48" s="572"/>
      <c r="O48" s="572"/>
      <c r="P48" s="572"/>
      <c r="Q48" s="572"/>
      <c r="R48" s="572"/>
      <c r="S48" s="572"/>
      <c r="T48" s="572"/>
      <c r="U48" s="572"/>
      <c r="V48" s="572"/>
      <c r="W48" s="572"/>
      <c r="X48" s="572"/>
      <c r="Y48" s="572"/>
      <c r="Z48" s="572"/>
      <c r="AA48" s="572"/>
      <c r="AB48" s="572"/>
      <c r="AC48" s="572"/>
      <c r="AD48" s="569">
        <v>5</v>
      </c>
      <c r="AE48" s="569"/>
      <c r="AF48" s="569"/>
      <c r="AG48" s="569"/>
      <c r="AH48" s="569"/>
      <c r="AI48" s="569"/>
      <c r="AJ48" s="569"/>
      <c r="AK48" s="569"/>
      <c r="AL48" s="569"/>
      <c r="AM48" s="569"/>
      <c r="AN48" s="569"/>
      <c r="AO48" s="569"/>
      <c r="AP48" s="569"/>
      <c r="AQ48" s="569"/>
      <c r="AR48" s="569"/>
      <c r="AS48" s="569"/>
      <c r="AT48" s="538">
        <f t="shared" si="8"/>
        <v>33592</v>
      </c>
      <c r="AU48" s="538"/>
      <c r="AV48" s="538"/>
      <c r="AW48" s="538"/>
      <c r="AX48" s="538"/>
      <c r="AY48" s="538"/>
      <c r="AZ48" s="538"/>
      <c r="BA48" s="538"/>
      <c r="BB48" s="538"/>
      <c r="BC48" s="538"/>
      <c r="BD48" s="538"/>
      <c r="BE48" s="538"/>
      <c r="BF48" s="538"/>
      <c r="BG48" s="538"/>
      <c r="BH48" s="538"/>
      <c r="BI48" s="538"/>
      <c r="BJ48" s="538"/>
      <c r="BK48" s="570">
        <v>9592</v>
      </c>
      <c r="BL48" s="570"/>
      <c r="BM48" s="570"/>
      <c r="BN48" s="570"/>
      <c r="BO48" s="570"/>
      <c r="BP48" s="570"/>
      <c r="BQ48" s="570"/>
      <c r="BR48" s="570"/>
      <c r="BS48" s="570"/>
      <c r="BT48" s="570"/>
      <c r="BU48" s="570"/>
      <c r="BV48" s="570"/>
      <c r="BW48" s="570"/>
      <c r="BX48" s="570"/>
      <c r="BY48" s="570"/>
      <c r="BZ48" s="570"/>
      <c r="CA48" s="570"/>
      <c r="CB48" s="570"/>
      <c r="CC48" s="538"/>
      <c r="CD48" s="538"/>
      <c r="CE48" s="538"/>
      <c r="CF48" s="538"/>
      <c r="CG48" s="538"/>
      <c r="CH48" s="538"/>
      <c r="CI48" s="538"/>
      <c r="CJ48" s="538"/>
      <c r="CK48" s="538"/>
      <c r="CL48" s="538"/>
      <c r="CM48" s="538"/>
      <c r="CN48" s="538"/>
      <c r="CO48" s="538"/>
      <c r="CP48" s="538"/>
      <c r="CQ48" s="538"/>
      <c r="CR48" s="538"/>
      <c r="CS48" s="538"/>
      <c r="CT48" s="538"/>
      <c r="CU48" s="538"/>
      <c r="CV48" s="562">
        <v>24000</v>
      </c>
      <c r="CW48" s="563"/>
      <c r="CX48" s="563"/>
      <c r="CY48" s="563"/>
      <c r="CZ48" s="563"/>
      <c r="DA48" s="563"/>
      <c r="DB48" s="563"/>
      <c r="DC48" s="563"/>
      <c r="DD48" s="563"/>
      <c r="DE48" s="563"/>
      <c r="DF48" s="563"/>
      <c r="DG48" s="563"/>
      <c r="DH48" s="563"/>
      <c r="DI48" s="563"/>
      <c r="DJ48" s="563"/>
      <c r="DK48" s="563"/>
      <c r="DL48" s="563"/>
      <c r="DM48" s="564"/>
      <c r="DN48" s="538">
        <f t="shared" si="9"/>
        <v>26873.600000000002</v>
      </c>
      <c r="DO48" s="538"/>
      <c r="DP48" s="538"/>
      <c r="DQ48" s="538"/>
      <c r="DR48" s="538"/>
      <c r="DS48" s="538"/>
      <c r="DT48" s="538"/>
      <c r="DU48" s="538"/>
      <c r="DV48" s="538"/>
      <c r="DW48" s="538"/>
      <c r="DX48" s="538"/>
      <c r="DY48" s="538"/>
      <c r="DZ48" s="538"/>
      <c r="EA48" s="538"/>
      <c r="EB48" s="538"/>
      <c r="EC48" s="538"/>
      <c r="ED48" s="538">
        <f t="shared" si="10"/>
        <v>16796</v>
      </c>
      <c r="EE48" s="538"/>
      <c r="EF48" s="538"/>
      <c r="EG48" s="538"/>
      <c r="EH48" s="538"/>
      <c r="EI48" s="538"/>
      <c r="EJ48" s="538"/>
      <c r="EK48" s="538"/>
      <c r="EL48" s="538"/>
      <c r="EM48" s="538"/>
      <c r="EN48" s="538"/>
      <c r="EO48" s="538"/>
      <c r="EP48" s="538"/>
      <c r="EQ48" s="538"/>
      <c r="ER48" s="538"/>
      <c r="ES48" s="538"/>
      <c r="ET48" s="538">
        <f t="shared" si="11"/>
        <v>4635696</v>
      </c>
      <c r="EU48" s="538"/>
      <c r="EV48" s="538"/>
      <c r="EW48" s="538"/>
      <c r="EX48" s="538"/>
      <c r="EY48" s="538"/>
      <c r="EZ48" s="538"/>
      <c r="FA48" s="538"/>
      <c r="FB48" s="538"/>
      <c r="FC48" s="538"/>
      <c r="FD48" s="538"/>
      <c r="FE48" s="538"/>
      <c r="FF48" s="538"/>
      <c r="FG48" s="538"/>
      <c r="FH48" s="538"/>
      <c r="FI48" s="538"/>
      <c r="FJ48" s="538"/>
      <c r="FK48" s="171"/>
      <c r="FN48" s="171"/>
    </row>
    <row r="49" spans="1:178" s="16" customFormat="1" ht="44.4" customHeight="1" x14ac:dyDescent="0.3">
      <c r="A49" s="571" t="s">
        <v>487</v>
      </c>
      <c r="B49" s="571"/>
      <c r="C49" s="571"/>
      <c r="D49" s="571"/>
      <c r="E49" s="571"/>
      <c r="F49" s="571"/>
      <c r="G49" s="572" t="s">
        <v>510</v>
      </c>
      <c r="H49" s="572"/>
      <c r="I49" s="572"/>
      <c r="J49" s="572"/>
      <c r="K49" s="572"/>
      <c r="L49" s="572"/>
      <c r="M49" s="572"/>
      <c r="N49" s="572"/>
      <c r="O49" s="572"/>
      <c r="P49" s="572"/>
      <c r="Q49" s="572"/>
      <c r="R49" s="572"/>
      <c r="S49" s="572"/>
      <c r="T49" s="572"/>
      <c r="U49" s="572"/>
      <c r="V49" s="572"/>
      <c r="W49" s="572"/>
      <c r="X49" s="572"/>
      <c r="Y49" s="572"/>
      <c r="Z49" s="572"/>
      <c r="AA49" s="572"/>
      <c r="AB49" s="572"/>
      <c r="AC49" s="572"/>
      <c r="AD49" s="569">
        <v>0.75</v>
      </c>
      <c r="AE49" s="569"/>
      <c r="AF49" s="569"/>
      <c r="AG49" s="569"/>
      <c r="AH49" s="569"/>
      <c r="AI49" s="569"/>
      <c r="AJ49" s="569"/>
      <c r="AK49" s="569"/>
      <c r="AL49" s="569"/>
      <c r="AM49" s="569"/>
      <c r="AN49" s="569"/>
      <c r="AO49" s="569"/>
      <c r="AP49" s="569"/>
      <c r="AQ49" s="569"/>
      <c r="AR49" s="569"/>
      <c r="AS49" s="569"/>
      <c r="AT49" s="538">
        <f t="shared" si="8"/>
        <v>31998.148000000001</v>
      </c>
      <c r="AU49" s="538"/>
      <c r="AV49" s="538"/>
      <c r="AW49" s="538"/>
      <c r="AX49" s="538"/>
      <c r="AY49" s="538"/>
      <c r="AZ49" s="538"/>
      <c r="BA49" s="538"/>
      <c r="BB49" s="538"/>
      <c r="BC49" s="538"/>
      <c r="BD49" s="538"/>
      <c r="BE49" s="538"/>
      <c r="BF49" s="538"/>
      <c r="BG49" s="538"/>
      <c r="BH49" s="538"/>
      <c r="BI49" s="538"/>
      <c r="BJ49" s="538"/>
      <c r="BK49" s="570">
        <v>11677</v>
      </c>
      <c r="BL49" s="570"/>
      <c r="BM49" s="570"/>
      <c r="BN49" s="570"/>
      <c r="BO49" s="570"/>
      <c r="BP49" s="570"/>
      <c r="BQ49" s="570"/>
      <c r="BR49" s="570"/>
      <c r="BS49" s="570"/>
      <c r="BT49" s="570"/>
      <c r="BU49" s="570"/>
      <c r="BV49" s="570"/>
      <c r="BW49" s="570"/>
      <c r="BX49" s="570"/>
      <c r="BY49" s="570"/>
      <c r="BZ49" s="570"/>
      <c r="CA49" s="570"/>
      <c r="CB49" s="570"/>
      <c r="CC49" s="538"/>
      <c r="CD49" s="538"/>
      <c r="CE49" s="538"/>
      <c r="CF49" s="538"/>
      <c r="CG49" s="538"/>
      <c r="CH49" s="538"/>
      <c r="CI49" s="538"/>
      <c r="CJ49" s="538"/>
      <c r="CK49" s="538"/>
      <c r="CL49" s="538"/>
      <c r="CM49" s="538"/>
      <c r="CN49" s="538"/>
      <c r="CO49" s="538"/>
      <c r="CP49" s="538"/>
      <c r="CQ49" s="538"/>
      <c r="CR49" s="538"/>
      <c r="CS49" s="538"/>
      <c r="CT49" s="538"/>
      <c r="CU49" s="538"/>
      <c r="CV49" s="562">
        <v>20321.148000000001</v>
      </c>
      <c r="CW49" s="563"/>
      <c r="CX49" s="563"/>
      <c r="CY49" s="563"/>
      <c r="CZ49" s="563"/>
      <c r="DA49" s="563"/>
      <c r="DB49" s="563"/>
      <c r="DC49" s="563"/>
      <c r="DD49" s="563"/>
      <c r="DE49" s="563"/>
      <c r="DF49" s="563"/>
      <c r="DG49" s="563"/>
      <c r="DH49" s="563"/>
      <c r="DI49" s="563"/>
      <c r="DJ49" s="563"/>
      <c r="DK49" s="563"/>
      <c r="DL49" s="563"/>
      <c r="DM49" s="564"/>
      <c r="DN49" s="538">
        <f t="shared" si="9"/>
        <v>25598.518400000001</v>
      </c>
      <c r="DO49" s="538"/>
      <c r="DP49" s="538"/>
      <c r="DQ49" s="538"/>
      <c r="DR49" s="538"/>
      <c r="DS49" s="538"/>
      <c r="DT49" s="538"/>
      <c r="DU49" s="538"/>
      <c r="DV49" s="538"/>
      <c r="DW49" s="538"/>
      <c r="DX49" s="538"/>
      <c r="DY49" s="538"/>
      <c r="DZ49" s="538"/>
      <c r="EA49" s="538"/>
      <c r="EB49" s="538"/>
      <c r="EC49" s="538"/>
      <c r="ED49" s="538">
        <f t="shared" si="10"/>
        <v>15999.074000000001</v>
      </c>
      <c r="EE49" s="538"/>
      <c r="EF49" s="538"/>
      <c r="EG49" s="538"/>
      <c r="EH49" s="538"/>
      <c r="EI49" s="538"/>
      <c r="EJ49" s="538"/>
      <c r="EK49" s="538"/>
      <c r="EL49" s="538"/>
      <c r="EM49" s="538"/>
      <c r="EN49" s="538"/>
      <c r="EO49" s="538"/>
      <c r="EP49" s="538"/>
      <c r="EQ49" s="538"/>
      <c r="ER49" s="538"/>
      <c r="ES49" s="538"/>
      <c r="ET49" s="538">
        <f t="shared" si="11"/>
        <v>662361.66360000009</v>
      </c>
      <c r="EU49" s="538"/>
      <c r="EV49" s="538"/>
      <c r="EW49" s="538"/>
      <c r="EX49" s="538"/>
      <c r="EY49" s="538"/>
      <c r="EZ49" s="538"/>
      <c r="FA49" s="538"/>
      <c r="FB49" s="538"/>
      <c r="FC49" s="538"/>
      <c r="FD49" s="538"/>
      <c r="FE49" s="538"/>
      <c r="FF49" s="538"/>
      <c r="FG49" s="538"/>
      <c r="FH49" s="538"/>
      <c r="FI49" s="538"/>
      <c r="FJ49" s="538"/>
      <c r="FK49" s="171"/>
      <c r="FN49" s="171"/>
    </row>
    <row r="50" spans="1:178" s="16" customFormat="1" ht="38.4" customHeight="1" x14ac:dyDescent="0.3">
      <c r="A50" s="571" t="s">
        <v>489</v>
      </c>
      <c r="B50" s="571"/>
      <c r="C50" s="571"/>
      <c r="D50" s="571"/>
      <c r="E50" s="571"/>
      <c r="F50" s="571"/>
      <c r="G50" s="572" t="s">
        <v>511</v>
      </c>
      <c r="H50" s="572"/>
      <c r="I50" s="572"/>
      <c r="J50" s="572"/>
      <c r="K50" s="572"/>
      <c r="L50" s="572"/>
      <c r="M50" s="572"/>
      <c r="N50" s="572"/>
      <c r="O50" s="572"/>
      <c r="P50" s="572"/>
      <c r="Q50" s="572"/>
      <c r="R50" s="572"/>
      <c r="S50" s="572"/>
      <c r="T50" s="572"/>
      <c r="U50" s="572"/>
      <c r="V50" s="572"/>
      <c r="W50" s="572"/>
      <c r="X50" s="572"/>
      <c r="Y50" s="572"/>
      <c r="Z50" s="572"/>
      <c r="AA50" s="572"/>
      <c r="AB50" s="572"/>
      <c r="AC50" s="572"/>
      <c r="AD50" s="569">
        <v>2</v>
      </c>
      <c r="AE50" s="569"/>
      <c r="AF50" s="569"/>
      <c r="AG50" s="569"/>
      <c r="AH50" s="569"/>
      <c r="AI50" s="569"/>
      <c r="AJ50" s="569"/>
      <c r="AK50" s="569"/>
      <c r="AL50" s="569"/>
      <c r="AM50" s="569"/>
      <c r="AN50" s="569"/>
      <c r="AO50" s="569"/>
      <c r="AP50" s="569"/>
      <c r="AQ50" s="569"/>
      <c r="AR50" s="569"/>
      <c r="AS50" s="569"/>
      <c r="AT50" s="538">
        <f t="shared" si="8"/>
        <v>32725</v>
      </c>
      <c r="AU50" s="538"/>
      <c r="AV50" s="538"/>
      <c r="AW50" s="538"/>
      <c r="AX50" s="538"/>
      <c r="AY50" s="538"/>
      <c r="AZ50" s="538"/>
      <c r="BA50" s="538"/>
      <c r="BB50" s="538"/>
      <c r="BC50" s="538"/>
      <c r="BD50" s="538"/>
      <c r="BE50" s="538"/>
      <c r="BF50" s="538"/>
      <c r="BG50" s="538"/>
      <c r="BH50" s="538"/>
      <c r="BI50" s="538"/>
      <c r="BJ50" s="538"/>
      <c r="BK50" s="570">
        <v>8725</v>
      </c>
      <c r="BL50" s="570"/>
      <c r="BM50" s="570"/>
      <c r="BN50" s="570"/>
      <c r="BO50" s="570"/>
      <c r="BP50" s="570"/>
      <c r="BQ50" s="570"/>
      <c r="BR50" s="570"/>
      <c r="BS50" s="570"/>
      <c r="BT50" s="570"/>
      <c r="BU50" s="570"/>
      <c r="BV50" s="570"/>
      <c r="BW50" s="570"/>
      <c r="BX50" s="570"/>
      <c r="BY50" s="570"/>
      <c r="BZ50" s="570"/>
      <c r="CA50" s="570"/>
      <c r="CB50" s="570"/>
      <c r="CC50" s="538"/>
      <c r="CD50" s="538"/>
      <c r="CE50" s="538"/>
      <c r="CF50" s="538"/>
      <c r="CG50" s="538"/>
      <c r="CH50" s="538"/>
      <c r="CI50" s="538"/>
      <c r="CJ50" s="538"/>
      <c r="CK50" s="538"/>
      <c r="CL50" s="538"/>
      <c r="CM50" s="538"/>
      <c r="CN50" s="538"/>
      <c r="CO50" s="538"/>
      <c r="CP50" s="538"/>
      <c r="CQ50" s="538"/>
      <c r="CR50" s="538"/>
      <c r="CS50" s="538"/>
      <c r="CT50" s="538"/>
      <c r="CU50" s="538"/>
      <c r="CV50" s="562">
        <v>24000</v>
      </c>
      <c r="CW50" s="563"/>
      <c r="CX50" s="563"/>
      <c r="CY50" s="563"/>
      <c r="CZ50" s="563"/>
      <c r="DA50" s="563"/>
      <c r="DB50" s="563"/>
      <c r="DC50" s="563"/>
      <c r="DD50" s="563"/>
      <c r="DE50" s="563"/>
      <c r="DF50" s="563"/>
      <c r="DG50" s="563"/>
      <c r="DH50" s="563"/>
      <c r="DI50" s="563"/>
      <c r="DJ50" s="563"/>
      <c r="DK50" s="563"/>
      <c r="DL50" s="563"/>
      <c r="DM50" s="564"/>
      <c r="DN50" s="538">
        <f t="shared" si="9"/>
        <v>26180</v>
      </c>
      <c r="DO50" s="538"/>
      <c r="DP50" s="538"/>
      <c r="DQ50" s="538"/>
      <c r="DR50" s="538"/>
      <c r="DS50" s="538"/>
      <c r="DT50" s="538"/>
      <c r="DU50" s="538"/>
      <c r="DV50" s="538"/>
      <c r="DW50" s="538"/>
      <c r="DX50" s="538"/>
      <c r="DY50" s="538"/>
      <c r="DZ50" s="538"/>
      <c r="EA50" s="538"/>
      <c r="EB50" s="538"/>
      <c r="EC50" s="538"/>
      <c r="ED50" s="538">
        <f t="shared" si="10"/>
        <v>16362.5</v>
      </c>
      <c r="EE50" s="538"/>
      <c r="EF50" s="538"/>
      <c r="EG50" s="538"/>
      <c r="EH50" s="538"/>
      <c r="EI50" s="538"/>
      <c r="EJ50" s="538"/>
      <c r="EK50" s="538"/>
      <c r="EL50" s="538"/>
      <c r="EM50" s="538"/>
      <c r="EN50" s="538"/>
      <c r="EO50" s="538"/>
      <c r="EP50" s="538"/>
      <c r="EQ50" s="538"/>
      <c r="ER50" s="538"/>
      <c r="ES50" s="538"/>
      <c r="ET50" s="538">
        <f>(AT50+DN50+ED50)*12*AD50</f>
        <v>1806420</v>
      </c>
      <c r="EU50" s="538"/>
      <c r="EV50" s="538"/>
      <c r="EW50" s="538"/>
      <c r="EX50" s="538"/>
      <c r="EY50" s="538"/>
      <c r="EZ50" s="538"/>
      <c r="FA50" s="538"/>
      <c r="FB50" s="538"/>
      <c r="FC50" s="538"/>
      <c r="FD50" s="538"/>
      <c r="FE50" s="538"/>
      <c r="FF50" s="538"/>
      <c r="FG50" s="538"/>
      <c r="FH50" s="538"/>
      <c r="FI50" s="538"/>
      <c r="FJ50" s="538"/>
      <c r="FK50" s="171"/>
      <c r="FN50" s="171"/>
      <c r="FO50" s="60"/>
    </row>
    <row r="51" spans="1:178" s="16" customFormat="1" ht="26.4" customHeight="1" x14ac:dyDescent="0.3">
      <c r="A51" s="571" t="s">
        <v>491</v>
      </c>
      <c r="B51" s="571"/>
      <c r="C51" s="571"/>
      <c r="D51" s="571"/>
      <c r="E51" s="571"/>
      <c r="F51" s="571"/>
      <c r="G51" s="572" t="s">
        <v>513</v>
      </c>
      <c r="H51" s="572"/>
      <c r="I51" s="572"/>
      <c r="J51" s="572"/>
      <c r="K51" s="572"/>
      <c r="L51" s="572"/>
      <c r="M51" s="572"/>
      <c r="N51" s="572"/>
      <c r="O51" s="572"/>
      <c r="P51" s="572"/>
      <c r="Q51" s="572"/>
      <c r="R51" s="572"/>
      <c r="S51" s="572"/>
      <c r="T51" s="572"/>
      <c r="U51" s="572"/>
      <c r="V51" s="572"/>
      <c r="W51" s="572"/>
      <c r="X51" s="572"/>
      <c r="Y51" s="572"/>
      <c r="Z51" s="572"/>
      <c r="AA51" s="572"/>
      <c r="AB51" s="572"/>
      <c r="AC51" s="572"/>
      <c r="AD51" s="569">
        <v>1</v>
      </c>
      <c r="AE51" s="569"/>
      <c r="AF51" s="569"/>
      <c r="AG51" s="569"/>
      <c r="AH51" s="569"/>
      <c r="AI51" s="569"/>
      <c r="AJ51" s="569"/>
      <c r="AK51" s="569"/>
      <c r="AL51" s="569"/>
      <c r="AM51" s="569"/>
      <c r="AN51" s="569"/>
      <c r="AO51" s="569"/>
      <c r="AP51" s="569"/>
      <c r="AQ51" s="569"/>
      <c r="AR51" s="569"/>
      <c r="AS51" s="569"/>
      <c r="AT51" s="538">
        <f t="shared" si="8"/>
        <v>40449</v>
      </c>
      <c r="AU51" s="538"/>
      <c r="AV51" s="538"/>
      <c r="AW51" s="538"/>
      <c r="AX51" s="538"/>
      <c r="AY51" s="538"/>
      <c r="AZ51" s="538"/>
      <c r="BA51" s="538"/>
      <c r="BB51" s="538"/>
      <c r="BC51" s="538"/>
      <c r="BD51" s="538"/>
      <c r="BE51" s="538"/>
      <c r="BF51" s="538"/>
      <c r="BG51" s="538"/>
      <c r="BH51" s="538"/>
      <c r="BI51" s="538"/>
      <c r="BJ51" s="538"/>
      <c r="BK51" s="570">
        <v>9949</v>
      </c>
      <c r="BL51" s="570"/>
      <c r="BM51" s="570"/>
      <c r="BN51" s="570"/>
      <c r="BO51" s="570"/>
      <c r="BP51" s="570"/>
      <c r="BQ51" s="570"/>
      <c r="BR51" s="570"/>
      <c r="BS51" s="570"/>
      <c r="BT51" s="570"/>
      <c r="BU51" s="570"/>
      <c r="BV51" s="570"/>
      <c r="BW51" s="570"/>
      <c r="BX51" s="570"/>
      <c r="BY51" s="570"/>
      <c r="BZ51" s="570"/>
      <c r="CA51" s="570"/>
      <c r="CB51" s="570"/>
      <c r="CC51" s="569"/>
      <c r="CD51" s="569"/>
      <c r="CE51" s="569"/>
      <c r="CF51" s="569"/>
      <c r="CG51" s="569"/>
      <c r="CH51" s="569"/>
      <c r="CI51" s="569"/>
      <c r="CJ51" s="569"/>
      <c r="CK51" s="569"/>
      <c r="CL51" s="569"/>
      <c r="CM51" s="569"/>
      <c r="CN51" s="569"/>
      <c r="CO51" s="569"/>
      <c r="CP51" s="569"/>
      <c r="CQ51" s="569"/>
      <c r="CR51" s="569"/>
      <c r="CS51" s="569"/>
      <c r="CT51" s="569"/>
      <c r="CU51" s="569"/>
      <c r="CV51" s="562">
        <v>30500</v>
      </c>
      <c r="CW51" s="563"/>
      <c r="CX51" s="563"/>
      <c r="CY51" s="563"/>
      <c r="CZ51" s="563"/>
      <c r="DA51" s="563"/>
      <c r="DB51" s="563"/>
      <c r="DC51" s="563"/>
      <c r="DD51" s="563"/>
      <c r="DE51" s="563"/>
      <c r="DF51" s="563"/>
      <c r="DG51" s="563"/>
      <c r="DH51" s="563"/>
      <c r="DI51" s="563"/>
      <c r="DJ51" s="563"/>
      <c r="DK51" s="563"/>
      <c r="DL51" s="563"/>
      <c r="DM51" s="564"/>
      <c r="DN51" s="538">
        <f t="shared" si="9"/>
        <v>32359.200000000001</v>
      </c>
      <c r="DO51" s="538"/>
      <c r="DP51" s="538"/>
      <c r="DQ51" s="538"/>
      <c r="DR51" s="538"/>
      <c r="DS51" s="538"/>
      <c r="DT51" s="538"/>
      <c r="DU51" s="538"/>
      <c r="DV51" s="538"/>
      <c r="DW51" s="538"/>
      <c r="DX51" s="538"/>
      <c r="DY51" s="538"/>
      <c r="DZ51" s="538"/>
      <c r="EA51" s="538"/>
      <c r="EB51" s="538"/>
      <c r="EC51" s="538"/>
      <c r="ED51" s="538">
        <f t="shared" si="10"/>
        <v>20224.5</v>
      </c>
      <c r="EE51" s="538"/>
      <c r="EF51" s="538"/>
      <c r="EG51" s="538"/>
      <c r="EH51" s="538"/>
      <c r="EI51" s="538"/>
      <c r="EJ51" s="538"/>
      <c r="EK51" s="538"/>
      <c r="EL51" s="538"/>
      <c r="EM51" s="538"/>
      <c r="EN51" s="538"/>
      <c r="EO51" s="538"/>
      <c r="EP51" s="538"/>
      <c r="EQ51" s="538"/>
      <c r="ER51" s="538"/>
      <c r="ES51" s="538"/>
      <c r="ET51" s="538">
        <f t="shared" si="11"/>
        <v>1116392.3999999999</v>
      </c>
      <c r="EU51" s="538"/>
      <c r="EV51" s="538"/>
      <c r="EW51" s="538"/>
      <c r="EX51" s="538"/>
      <c r="EY51" s="538"/>
      <c r="EZ51" s="538"/>
      <c r="FA51" s="538"/>
      <c r="FB51" s="538"/>
      <c r="FC51" s="538"/>
      <c r="FD51" s="538"/>
      <c r="FE51" s="538"/>
      <c r="FF51" s="538"/>
      <c r="FG51" s="538"/>
      <c r="FH51" s="538"/>
      <c r="FI51" s="538"/>
      <c r="FJ51" s="538"/>
      <c r="FK51" s="171"/>
      <c r="FL51" s="171"/>
      <c r="FN51" s="171"/>
      <c r="FO51" s="171"/>
      <c r="FP51" s="60"/>
    </row>
    <row r="52" spans="1:178" s="16" customFormat="1" ht="13.2" customHeight="1" x14ac:dyDescent="0.3">
      <c r="A52" s="571" t="s">
        <v>493</v>
      </c>
      <c r="B52" s="571"/>
      <c r="C52" s="571"/>
      <c r="D52" s="571"/>
      <c r="E52" s="571"/>
      <c r="F52" s="571"/>
      <c r="G52" s="572" t="s">
        <v>514</v>
      </c>
      <c r="H52" s="572"/>
      <c r="I52" s="572"/>
      <c r="J52" s="572"/>
      <c r="K52" s="572"/>
      <c r="L52" s="572"/>
      <c r="M52" s="572"/>
      <c r="N52" s="572"/>
      <c r="O52" s="572"/>
      <c r="P52" s="572"/>
      <c r="Q52" s="572"/>
      <c r="R52" s="572"/>
      <c r="S52" s="572"/>
      <c r="T52" s="572"/>
      <c r="U52" s="572"/>
      <c r="V52" s="572"/>
      <c r="W52" s="572"/>
      <c r="X52" s="572"/>
      <c r="Y52" s="572"/>
      <c r="Z52" s="572"/>
      <c r="AA52" s="572"/>
      <c r="AB52" s="572"/>
      <c r="AC52" s="572"/>
      <c r="AD52" s="569">
        <v>5</v>
      </c>
      <c r="AE52" s="569"/>
      <c r="AF52" s="569"/>
      <c r="AG52" s="569"/>
      <c r="AH52" s="569"/>
      <c r="AI52" s="569"/>
      <c r="AJ52" s="569"/>
      <c r="AK52" s="569"/>
      <c r="AL52" s="569"/>
      <c r="AM52" s="569"/>
      <c r="AN52" s="569"/>
      <c r="AO52" s="569"/>
      <c r="AP52" s="569"/>
      <c r="AQ52" s="569"/>
      <c r="AR52" s="569"/>
      <c r="AS52" s="569"/>
      <c r="AT52" s="538">
        <f t="shared" si="8"/>
        <v>39992</v>
      </c>
      <c r="AU52" s="538"/>
      <c r="AV52" s="538"/>
      <c r="AW52" s="538"/>
      <c r="AX52" s="538"/>
      <c r="AY52" s="538"/>
      <c r="AZ52" s="538"/>
      <c r="BA52" s="538"/>
      <c r="BB52" s="538"/>
      <c r="BC52" s="538"/>
      <c r="BD52" s="538"/>
      <c r="BE52" s="538"/>
      <c r="BF52" s="538"/>
      <c r="BG52" s="538"/>
      <c r="BH52" s="538"/>
      <c r="BI52" s="538"/>
      <c r="BJ52" s="538"/>
      <c r="BK52" s="570">
        <v>8042</v>
      </c>
      <c r="BL52" s="570"/>
      <c r="BM52" s="570"/>
      <c r="BN52" s="570"/>
      <c r="BO52" s="570"/>
      <c r="BP52" s="570"/>
      <c r="BQ52" s="570"/>
      <c r="BR52" s="570"/>
      <c r="BS52" s="570"/>
      <c r="BT52" s="570"/>
      <c r="BU52" s="570"/>
      <c r="BV52" s="570"/>
      <c r="BW52" s="570"/>
      <c r="BX52" s="570"/>
      <c r="BY52" s="570"/>
      <c r="BZ52" s="570"/>
      <c r="CA52" s="570"/>
      <c r="CB52" s="570"/>
      <c r="CC52" s="569">
        <v>1800</v>
      </c>
      <c r="CD52" s="569"/>
      <c r="CE52" s="569"/>
      <c r="CF52" s="569"/>
      <c r="CG52" s="569"/>
      <c r="CH52" s="569"/>
      <c r="CI52" s="569"/>
      <c r="CJ52" s="569"/>
      <c r="CK52" s="569"/>
      <c r="CL52" s="569"/>
      <c r="CM52" s="569"/>
      <c r="CN52" s="569"/>
      <c r="CO52" s="569"/>
      <c r="CP52" s="569"/>
      <c r="CQ52" s="569"/>
      <c r="CR52" s="569"/>
      <c r="CS52" s="569"/>
      <c r="CT52" s="569"/>
      <c r="CU52" s="569"/>
      <c r="CV52" s="562">
        <v>30150</v>
      </c>
      <c r="CW52" s="563"/>
      <c r="CX52" s="563"/>
      <c r="CY52" s="563"/>
      <c r="CZ52" s="563"/>
      <c r="DA52" s="563"/>
      <c r="DB52" s="563"/>
      <c r="DC52" s="563"/>
      <c r="DD52" s="563"/>
      <c r="DE52" s="563"/>
      <c r="DF52" s="563"/>
      <c r="DG52" s="563"/>
      <c r="DH52" s="563"/>
      <c r="DI52" s="563"/>
      <c r="DJ52" s="563"/>
      <c r="DK52" s="563"/>
      <c r="DL52" s="563"/>
      <c r="DM52" s="564"/>
      <c r="DN52" s="538">
        <f t="shared" si="9"/>
        <v>31993.600000000002</v>
      </c>
      <c r="DO52" s="538"/>
      <c r="DP52" s="538"/>
      <c r="DQ52" s="538"/>
      <c r="DR52" s="538"/>
      <c r="DS52" s="538"/>
      <c r="DT52" s="538"/>
      <c r="DU52" s="538"/>
      <c r="DV52" s="538"/>
      <c r="DW52" s="538"/>
      <c r="DX52" s="538"/>
      <c r="DY52" s="538"/>
      <c r="DZ52" s="538"/>
      <c r="EA52" s="538"/>
      <c r="EB52" s="538"/>
      <c r="EC52" s="538"/>
      <c r="ED52" s="538">
        <f t="shared" si="10"/>
        <v>19996</v>
      </c>
      <c r="EE52" s="538"/>
      <c r="EF52" s="538"/>
      <c r="EG52" s="538"/>
      <c r="EH52" s="538"/>
      <c r="EI52" s="538"/>
      <c r="EJ52" s="538"/>
      <c r="EK52" s="538"/>
      <c r="EL52" s="538"/>
      <c r="EM52" s="538"/>
      <c r="EN52" s="538"/>
      <c r="EO52" s="538"/>
      <c r="EP52" s="538"/>
      <c r="EQ52" s="538"/>
      <c r="ER52" s="538"/>
      <c r="ES52" s="538"/>
      <c r="ET52" s="538">
        <f t="shared" si="11"/>
        <v>5518896.0000000009</v>
      </c>
      <c r="EU52" s="538"/>
      <c r="EV52" s="538"/>
      <c r="EW52" s="538"/>
      <c r="EX52" s="538"/>
      <c r="EY52" s="538"/>
      <c r="EZ52" s="538"/>
      <c r="FA52" s="538"/>
      <c r="FB52" s="538"/>
      <c r="FC52" s="538"/>
      <c r="FD52" s="538"/>
      <c r="FE52" s="538"/>
      <c r="FF52" s="538"/>
      <c r="FG52" s="538"/>
      <c r="FH52" s="538"/>
      <c r="FI52" s="538"/>
      <c r="FJ52" s="538"/>
      <c r="FK52" s="171"/>
      <c r="FL52" s="171"/>
      <c r="FN52" s="171"/>
      <c r="FO52" s="171"/>
      <c r="FP52" s="171"/>
    </row>
    <row r="53" spans="1:178" s="16" customFormat="1" ht="44.4" customHeight="1" x14ac:dyDescent="0.3">
      <c r="A53" s="571" t="s">
        <v>515</v>
      </c>
      <c r="B53" s="571"/>
      <c r="C53" s="571"/>
      <c r="D53" s="571"/>
      <c r="E53" s="571"/>
      <c r="F53" s="571"/>
      <c r="G53" s="572" t="s">
        <v>516</v>
      </c>
      <c r="H53" s="572"/>
      <c r="I53" s="572"/>
      <c r="J53" s="572"/>
      <c r="K53" s="572"/>
      <c r="L53" s="572"/>
      <c r="M53" s="572"/>
      <c r="N53" s="572"/>
      <c r="O53" s="572"/>
      <c r="P53" s="572"/>
      <c r="Q53" s="572"/>
      <c r="R53" s="572"/>
      <c r="S53" s="572"/>
      <c r="T53" s="572"/>
      <c r="U53" s="572"/>
      <c r="V53" s="572"/>
      <c r="W53" s="572"/>
      <c r="X53" s="572"/>
      <c r="Y53" s="572"/>
      <c r="Z53" s="572"/>
      <c r="AA53" s="572"/>
      <c r="AB53" s="572"/>
      <c r="AC53" s="572"/>
      <c r="AD53" s="569">
        <v>1</v>
      </c>
      <c r="AE53" s="569"/>
      <c r="AF53" s="569"/>
      <c r="AG53" s="569"/>
      <c r="AH53" s="569"/>
      <c r="AI53" s="569"/>
      <c r="AJ53" s="569"/>
      <c r="AK53" s="569"/>
      <c r="AL53" s="569"/>
      <c r="AM53" s="569"/>
      <c r="AN53" s="569"/>
      <c r="AO53" s="569"/>
      <c r="AP53" s="569"/>
      <c r="AQ53" s="569"/>
      <c r="AR53" s="569"/>
      <c r="AS53" s="569"/>
      <c r="AT53" s="538">
        <f t="shared" si="8"/>
        <v>43308.695500000002</v>
      </c>
      <c r="AU53" s="538"/>
      <c r="AV53" s="538"/>
      <c r="AW53" s="538"/>
      <c r="AX53" s="538"/>
      <c r="AY53" s="538"/>
      <c r="AZ53" s="538"/>
      <c r="BA53" s="538"/>
      <c r="BB53" s="538"/>
      <c r="BC53" s="538"/>
      <c r="BD53" s="538"/>
      <c r="BE53" s="538"/>
      <c r="BF53" s="538"/>
      <c r="BG53" s="538"/>
      <c r="BH53" s="538"/>
      <c r="BI53" s="538"/>
      <c r="BJ53" s="538"/>
      <c r="BK53" s="570">
        <v>9091</v>
      </c>
      <c r="BL53" s="570"/>
      <c r="BM53" s="570"/>
      <c r="BN53" s="570"/>
      <c r="BO53" s="570"/>
      <c r="BP53" s="570"/>
      <c r="BQ53" s="570"/>
      <c r="BR53" s="570"/>
      <c r="BS53" s="570"/>
      <c r="BT53" s="570"/>
      <c r="BU53" s="570"/>
      <c r="BV53" s="570"/>
      <c r="BW53" s="570"/>
      <c r="BX53" s="570"/>
      <c r="BY53" s="570"/>
      <c r="BZ53" s="570"/>
      <c r="CA53" s="570"/>
      <c r="CB53" s="570"/>
      <c r="CC53" s="569">
        <v>2500</v>
      </c>
      <c r="CD53" s="569"/>
      <c r="CE53" s="569"/>
      <c r="CF53" s="569"/>
      <c r="CG53" s="569"/>
      <c r="CH53" s="569"/>
      <c r="CI53" s="569"/>
      <c r="CJ53" s="569"/>
      <c r="CK53" s="569"/>
      <c r="CL53" s="569"/>
      <c r="CM53" s="569"/>
      <c r="CN53" s="569"/>
      <c r="CO53" s="569"/>
      <c r="CP53" s="569"/>
      <c r="CQ53" s="569"/>
      <c r="CR53" s="569"/>
      <c r="CS53" s="569"/>
      <c r="CT53" s="569"/>
      <c r="CU53" s="569"/>
      <c r="CV53" s="562">
        <v>31717.695500000002</v>
      </c>
      <c r="CW53" s="563"/>
      <c r="CX53" s="563"/>
      <c r="CY53" s="563"/>
      <c r="CZ53" s="563"/>
      <c r="DA53" s="563"/>
      <c r="DB53" s="563"/>
      <c r="DC53" s="563"/>
      <c r="DD53" s="563"/>
      <c r="DE53" s="563"/>
      <c r="DF53" s="563"/>
      <c r="DG53" s="563"/>
      <c r="DH53" s="563"/>
      <c r="DI53" s="563"/>
      <c r="DJ53" s="563"/>
      <c r="DK53" s="563"/>
      <c r="DL53" s="563"/>
      <c r="DM53" s="564"/>
      <c r="DN53" s="538">
        <f t="shared" si="9"/>
        <v>34646.956400000003</v>
      </c>
      <c r="DO53" s="538"/>
      <c r="DP53" s="538"/>
      <c r="DQ53" s="538"/>
      <c r="DR53" s="538"/>
      <c r="DS53" s="538"/>
      <c r="DT53" s="538"/>
      <c r="DU53" s="538"/>
      <c r="DV53" s="538"/>
      <c r="DW53" s="538"/>
      <c r="DX53" s="538"/>
      <c r="DY53" s="538"/>
      <c r="DZ53" s="538"/>
      <c r="EA53" s="538"/>
      <c r="EB53" s="538"/>
      <c r="EC53" s="538"/>
      <c r="ED53" s="538">
        <f t="shared" si="10"/>
        <v>21654.347750000001</v>
      </c>
      <c r="EE53" s="538"/>
      <c r="EF53" s="538"/>
      <c r="EG53" s="538"/>
      <c r="EH53" s="538"/>
      <c r="EI53" s="538"/>
      <c r="EJ53" s="538"/>
      <c r="EK53" s="538"/>
      <c r="EL53" s="538"/>
      <c r="EM53" s="538"/>
      <c r="EN53" s="538"/>
      <c r="EO53" s="538"/>
      <c r="EP53" s="538"/>
      <c r="EQ53" s="538"/>
      <c r="ER53" s="538"/>
      <c r="ES53" s="538"/>
      <c r="ET53" s="538">
        <f t="shared" si="11"/>
        <v>1195319.9957999999</v>
      </c>
      <c r="EU53" s="538"/>
      <c r="EV53" s="538"/>
      <c r="EW53" s="538"/>
      <c r="EX53" s="538"/>
      <c r="EY53" s="538"/>
      <c r="EZ53" s="538"/>
      <c r="FA53" s="538"/>
      <c r="FB53" s="538"/>
      <c r="FC53" s="538"/>
      <c r="FD53" s="538"/>
      <c r="FE53" s="538"/>
      <c r="FF53" s="538"/>
      <c r="FG53" s="538"/>
      <c r="FH53" s="538"/>
      <c r="FI53" s="538"/>
      <c r="FJ53" s="538"/>
      <c r="FK53" s="171" t="s">
        <v>517</v>
      </c>
      <c r="FL53" s="16" t="s">
        <v>512</v>
      </c>
      <c r="FM53" s="16" t="s">
        <v>518</v>
      </c>
      <c r="FN53" s="171"/>
      <c r="FO53" s="171" t="s">
        <v>504</v>
      </c>
      <c r="FP53" s="16" t="s">
        <v>909</v>
      </c>
    </row>
    <row r="54" spans="1:178" s="16" customFormat="1" ht="57" customHeight="1" x14ac:dyDescent="0.3">
      <c r="A54" s="571" t="s">
        <v>519</v>
      </c>
      <c r="B54" s="571"/>
      <c r="C54" s="571"/>
      <c r="D54" s="571"/>
      <c r="E54" s="571"/>
      <c r="F54" s="571"/>
      <c r="G54" s="572" t="s">
        <v>520</v>
      </c>
      <c r="H54" s="572"/>
      <c r="I54" s="572"/>
      <c r="J54" s="572"/>
      <c r="K54" s="572"/>
      <c r="L54" s="572"/>
      <c r="M54" s="572"/>
      <c r="N54" s="572"/>
      <c r="O54" s="572"/>
      <c r="P54" s="572"/>
      <c r="Q54" s="572"/>
      <c r="R54" s="572"/>
      <c r="S54" s="572"/>
      <c r="T54" s="572"/>
      <c r="U54" s="572"/>
      <c r="V54" s="572"/>
      <c r="W54" s="572"/>
      <c r="X54" s="572"/>
      <c r="Y54" s="572"/>
      <c r="Z54" s="572"/>
      <c r="AA54" s="572"/>
      <c r="AB54" s="572"/>
      <c r="AC54" s="572"/>
      <c r="AD54" s="569">
        <v>1</v>
      </c>
      <c r="AE54" s="569"/>
      <c r="AF54" s="569"/>
      <c r="AG54" s="569"/>
      <c r="AH54" s="569"/>
      <c r="AI54" s="569"/>
      <c r="AJ54" s="569"/>
      <c r="AK54" s="569"/>
      <c r="AL54" s="569"/>
      <c r="AM54" s="569"/>
      <c r="AN54" s="569"/>
      <c r="AO54" s="569"/>
      <c r="AP54" s="569"/>
      <c r="AQ54" s="569"/>
      <c r="AR54" s="569"/>
      <c r="AS54" s="569"/>
      <c r="AT54" s="538">
        <f t="shared" si="8"/>
        <v>42091</v>
      </c>
      <c r="AU54" s="538"/>
      <c r="AV54" s="538"/>
      <c r="AW54" s="538"/>
      <c r="AX54" s="538"/>
      <c r="AY54" s="538"/>
      <c r="AZ54" s="538"/>
      <c r="BA54" s="538"/>
      <c r="BB54" s="538"/>
      <c r="BC54" s="538"/>
      <c r="BD54" s="538"/>
      <c r="BE54" s="538"/>
      <c r="BF54" s="538"/>
      <c r="BG54" s="538"/>
      <c r="BH54" s="538"/>
      <c r="BI54" s="538"/>
      <c r="BJ54" s="538"/>
      <c r="BK54" s="570">
        <v>9441</v>
      </c>
      <c r="BL54" s="570"/>
      <c r="BM54" s="570"/>
      <c r="BN54" s="570"/>
      <c r="BO54" s="570"/>
      <c r="BP54" s="570"/>
      <c r="BQ54" s="570"/>
      <c r="BR54" s="570"/>
      <c r="BS54" s="570"/>
      <c r="BT54" s="570"/>
      <c r="BU54" s="570"/>
      <c r="BV54" s="570"/>
      <c r="BW54" s="570"/>
      <c r="BX54" s="570"/>
      <c r="BY54" s="570"/>
      <c r="BZ54" s="570"/>
      <c r="CA54" s="570"/>
      <c r="CB54" s="570"/>
      <c r="CC54" s="569">
        <v>2500</v>
      </c>
      <c r="CD54" s="569"/>
      <c r="CE54" s="569"/>
      <c r="CF54" s="569"/>
      <c r="CG54" s="569"/>
      <c r="CH54" s="569"/>
      <c r="CI54" s="569"/>
      <c r="CJ54" s="569"/>
      <c r="CK54" s="569"/>
      <c r="CL54" s="569"/>
      <c r="CM54" s="569"/>
      <c r="CN54" s="569"/>
      <c r="CO54" s="569"/>
      <c r="CP54" s="569"/>
      <c r="CQ54" s="569"/>
      <c r="CR54" s="569"/>
      <c r="CS54" s="569"/>
      <c r="CT54" s="569"/>
      <c r="CU54" s="569"/>
      <c r="CV54" s="562">
        <v>30150</v>
      </c>
      <c r="CW54" s="563"/>
      <c r="CX54" s="563"/>
      <c r="CY54" s="563"/>
      <c r="CZ54" s="563"/>
      <c r="DA54" s="563"/>
      <c r="DB54" s="563"/>
      <c r="DC54" s="563"/>
      <c r="DD54" s="563"/>
      <c r="DE54" s="563"/>
      <c r="DF54" s="563"/>
      <c r="DG54" s="563"/>
      <c r="DH54" s="563"/>
      <c r="DI54" s="563"/>
      <c r="DJ54" s="563"/>
      <c r="DK54" s="563"/>
      <c r="DL54" s="563"/>
      <c r="DM54" s="564"/>
      <c r="DN54" s="538">
        <f t="shared" si="9"/>
        <v>33672.800000000003</v>
      </c>
      <c r="DO54" s="538"/>
      <c r="DP54" s="538"/>
      <c r="DQ54" s="538"/>
      <c r="DR54" s="538"/>
      <c r="DS54" s="538"/>
      <c r="DT54" s="538"/>
      <c r="DU54" s="538"/>
      <c r="DV54" s="538"/>
      <c r="DW54" s="538"/>
      <c r="DX54" s="538"/>
      <c r="DY54" s="538"/>
      <c r="DZ54" s="538"/>
      <c r="EA54" s="538"/>
      <c r="EB54" s="538"/>
      <c r="EC54" s="538"/>
      <c r="ED54" s="538">
        <f t="shared" si="10"/>
        <v>21045.5</v>
      </c>
      <c r="EE54" s="538"/>
      <c r="EF54" s="538"/>
      <c r="EG54" s="538"/>
      <c r="EH54" s="538"/>
      <c r="EI54" s="538"/>
      <c r="EJ54" s="538"/>
      <c r="EK54" s="538"/>
      <c r="EL54" s="538"/>
      <c r="EM54" s="538"/>
      <c r="EN54" s="538"/>
      <c r="EO54" s="538"/>
      <c r="EP54" s="538"/>
      <c r="EQ54" s="538"/>
      <c r="ER54" s="538"/>
      <c r="ES54" s="538"/>
      <c r="ET54" s="538">
        <f t="shared" si="11"/>
        <v>1161711.6000000001</v>
      </c>
      <c r="EU54" s="538"/>
      <c r="EV54" s="538"/>
      <c r="EW54" s="538"/>
      <c r="EX54" s="538"/>
      <c r="EY54" s="538"/>
      <c r="EZ54" s="538"/>
      <c r="FA54" s="538"/>
      <c r="FB54" s="538"/>
      <c r="FC54" s="538"/>
      <c r="FD54" s="538"/>
      <c r="FE54" s="538"/>
      <c r="FF54" s="538"/>
      <c r="FG54" s="538"/>
      <c r="FH54" s="538"/>
      <c r="FI54" s="538"/>
      <c r="FJ54" s="538"/>
      <c r="FK54" s="171" t="e">
        <f>55765*12*7.8+#REF!</f>
        <v>#REF!</v>
      </c>
      <c r="FL54" s="60" t="e">
        <f>ET53+ET54+ET51+#REF!</f>
        <v>#REF!</v>
      </c>
      <c r="FM54" s="60" t="e">
        <f>FL54/12/7.8</f>
        <v>#REF!</v>
      </c>
      <c r="FN54" s="171"/>
      <c r="FO54" s="60">
        <f>93670*12*8</f>
        <v>8992320</v>
      </c>
      <c r="FP54" s="60">
        <f>ET51+ET52+ET53+ET54</f>
        <v>8992319.9957999997</v>
      </c>
    </row>
    <row r="55" spans="1:178" s="16" customFormat="1" ht="13.2" customHeight="1" x14ac:dyDescent="0.3">
      <c r="A55" s="571" t="s">
        <v>521</v>
      </c>
      <c r="B55" s="571"/>
      <c r="C55" s="571"/>
      <c r="D55" s="571"/>
      <c r="E55" s="571"/>
      <c r="F55" s="571"/>
      <c r="G55" s="572" t="s">
        <v>522</v>
      </c>
      <c r="H55" s="572"/>
      <c r="I55" s="572"/>
      <c r="J55" s="572"/>
      <c r="K55" s="572"/>
      <c r="L55" s="572"/>
      <c r="M55" s="572"/>
      <c r="N55" s="572"/>
      <c r="O55" s="572"/>
      <c r="P55" s="572"/>
      <c r="Q55" s="572"/>
      <c r="R55" s="572"/>
      <c r="S55" s="572"/>
      <c r="T55" s="572"/>
      <c r="U55" s="572"/>
      <c r="V55" s="572"/>
      <c r="W55" s="572"/>
      <c r="X55" s="572"/>
      <c r="Y55" s="572"/>
      <c r="Z55" s="572"/>
      <c r="AA55" s="572"/>
      <c r="AB55" s="572"/>
      <c r="AC55" s="572"/>
      <c r="AD55" s="569">
        <v>1</v>
      </c>
      <c r="AE55" s="569"/>
      <c r="AF55" s="569"/>
      <c r="AG55" s="569"/>
      <c r="AH55" s="569"/>
      <c r="AI55" s="569"/>
      <c r="AJ55" s="569"/>
      <c r="AK55" s="569"/>
      <c r="AL55" s="569"/>
      <c r="AM55" s="569"/>
      <c r="AN55" s="569"/>
      <c r="AO55" s="569"/>
      <c r="AP55" s="569"/>
      <c r="AQ55" s="569"/>
      <c r="AR55" s="569"/>
      <c r="AS55" s="569"/>
      <c r="AT55" s="538">
        <f t="shared" si="8"/>
        <v>30357</v>
      </c>
      <c r="AU55" s="538"/>
      <c r="AV55" s="538"/>
      <c r="AW55" s="538"/>
      <c r="AX55" s="538"/>
      <c r="AY55" s="538"/>
      <c r="AZ55" s="538"/>
      <c r="BA55" s="538"/>
      <c r="BB55" s="538"/>
      <c r="BC55" s="538"/>
      <c r="BD55" s="538"/>
      <c r="BE55" s="538"/>
      <c r="BF55" s="538"/>
      <c r="BG55" s="538"/>
      <c r="BH55" s="538"/>
      <c r="BI55" s="538"/>
      <c r="BJ55" s="538"/>
      <c r="BK55" s="570">
        <v>6857</v>
      </c>
      <c r="BL55" s="570"/>
      <c r="BM55" s="570"/>
      <c r="BN55" s="570"/>
      <c r="BO55" s="570"/>
      <c r="BP55" s="570"/>
      <c r="BQ55" s="570"/>
      <c r="BR55" s="570"/>
      <c r="BS55" s="570"/>
      <c r="BT55" s="570"/>
      <c r="BU55" s="570"/>
      <c r="BV55" s="570"/>
      <c r="BW55" s="570"/>
      <c r="BX55" s="570"/>
      <c r="BY55" s="570"/>
      <c r="BZ55" s="570"/>
      <c r="CA55" s="570"/>
      <c r="CB55" s="570"/>
      <c r="CC55" s="569"/>
      <c r="CD55" s="569"/>
      <c r="CE55" s="569"/>
      <c r="CF55" s="569"/>
      <c r="CG55" s="569"/>
      <c r="CH55" s="569"/>
      <c r="CI55" s="569"/>
      <c r="CJ55" s="569"/>
      <c r="CK55" s="569"/>
      <c r="CL55" s="569"/>
      <c r="CM55" s="569"/>
      <c r="CN55" s="569"/>
      <c r="CO55" s="569"/>
      <c r="CP55" s="569"/>
      <c r="CQ55" s="569"/>
      <c r="CR55" s="569"/>
      <c r="CS55" s="569"/>
      <c r="CT55" s="569"/>
      <c r="CU55" s="569"/>
      <c r="CV55" s="562">
        <v>23500</v>
      </c>
      <c r="CW55" s="563"/>
      <c r="CX55" s="563"/>
      <c r="CY55" s="563"/>
      <c r="CZ55" s="563"/>
      <c r="DA55" s="563"/>
      <c r="DB55" s="563"/>
      <c r="DC55" s="563"/>
      <c r="DD55" s="563"/>
      <c r="DE55" s="563"/>
      <c r="DF55" s="563"/>
      <c r="DG55" s="563"/>
      <c r="DH55" s="563"/>
      <c r="DI55" s="563"/>
      <c r="DJ55" s="563"/>
      <c r="DK55" s="563"/>
      <c r="DL55" s="563"/>
      <c r="DM55" s="564"/>
      <c r="DN55" s="538">
        <f t="shared" si="9"/>
        <v>24285.600000000002</v>
      </c>
      <c r="DO55" s="538"/>
      <c r="DP55" s="538"/>
      <c r="DQ55" s="538"/>
      <c r="DR55" s="538"/>
      <c r="DS55" s="538"/>
      <c r="DT55" s="538"/>
      <c r="DU55" s="538"/>
      <c r="DV55" s="538"/>
      <c r="DW55" s="538"/>
      <c r="DX55" s="538"/>
      <c r="DY55" s="538"/>
      <c r="DZ55" s="538"/>
      <c r="EA55" s="538"/>
      <c r="EB55" s="538"/>
      <c r="EC55" s="538"/>
      <c r="ED55" s="538">
        <f t="shared" si="10"/>
        <v>15178.5</v>
      </c>
      <c r="EE55" s="538"/>
      <c r="EF55" s="538"/>
      <c r="EG55" s="538"/>
      <c r="EH55" s="538"/>
      <c r="EI55" s="538"/>
      <c r="EJ55" s="538"/>
      <c r="EK55" s="538"/>
      <c r="EL55" s="538"/>
      <c r="EM55" s="538"/>
      <c r="EN55" s="538"/>
      <c r="EO55" s="538"/>
      <c r="EP55" s="538"/>
      <c r="EQ55" s="538"/>
      <c r="ER55" s="538"/>
      <c r="ES55" s="538"/>
      <c r="ET55" s="538">
        <f t="shared" si="11"/>
        <v>837853.20000000007</v>
      </c>
      <c r="EU55" s="538"/>
      <c r="EV55" s="538"/>
      <c r="EW55" s="538"/>
      <c r="EX55" s="538"/>
      <c r="EY55" s="538"/>
      <c r="EZ55" s="538"/>
      <c r="FA55" s="538"/>
      <c r="FB55" s="538"/>
      <c r="FC55" s="538"/>
      <c r="FD55" s="538"/>
      <c r="FE55" s="538"/>
      <c r="FF55" s="538"/>
      <c r="FG55" s="538"/>
      <c r="FH55" s="538"/>
      <c r="FI55" s="538"/>
      <c r="FJ55" s="538"/>
      <c r="FK55" s="171"/>
      <c r="FM55" s="60"/>
      <c r="FN55" s="171"/>
      <c r="FO55" s="60"/>
      <c r="FP55" s="60"/>
    </row>
    <row r="56" spans="1:178" s="16" customFormat="1" ht="13.2" customHeight="1" x14ac:dyDescent="0.3">
      <c r="A56" s="571" t="s">
        <v>523</v>
      </c>
      <c r="B56" s="571"/>
      <c r="C56" s="571"/>
      <c r="D56" s="571"/>
      <c r="E56" s="571"/>
      <c r="F56" s="571"/>
      <c r="G56" s="572" t="s">
        <v>898</v>
      </c>
      <c r="H56" s="572"/>
      <c r="I56" s="572"/>
      <c r="J56" s="572"/>
      <c r="K56" s="572"/>
      <c r="L56" s="572"/>
      <c r="M56" s="572"/>
      <c r="N56" s="572"/>
      <c r="O56" s="572"/>
      <c r="P56" s="572"/>
      <c r="Q56" s="572"/>
      <c r="R56" s="572"/>
      <c r="S56" s="572"/>
      <c r="T56" s="572"/>
      <c r="U56" s="572"/>
      <c r="V56" s="572"/>
      <c r="W56" s="572"/>
      <c r="X56" s="572"/>
      <c r="Y56" s="572"/>
      <c r="Z56" s="572"/>
      <c r="AA56" s="572"/>
      <c r="AB56" s="572"/>
      <c r="AC56" s="572"/>
      <c r="AD56" s="569">
        <v>2</v>
      </c>
      <c r="AE56" s="569"/>
      <c r="AF56" s="569"/>
      <c r="AG56" s="569"/>
      <c r="AH56" s="569"/>
      <c r="AI56" s="569"/>
      <c r="AJ56" s="569"/>
      <c r="AK56" s="569"/>
      <c r="AL56" s="569"/>
      <c r="AM56" s="569"/>
      <c r="AN56" s="569"/>
      <c r="AO56" s="569"/>
      <c r="AP56" s="569"/>
      <c r="AQ56" s="569"/>
      <c r="AR56" s="569"/>
      <c r="AS56" s="569"/>
      <c r="AT56" s="538">
        <f t="shared" si="8"/>
        <v>30357</v>
      </c>
      <c r="AU56" s="538"/>
      <c r="AV56" s="538"/>
      <c r="AW56" s="538"/>
      <c r="AX56" s="538"/>
      <c r="AY56" s="538"/>
      <c r="AZ56" s="538"/>
      <c r="BA56" s="538"/>
      <c r="BB56" s="538"/>
      <c r="BC56" s="538"/>
      <c r="BD56" s="538"/>
      <c r="BE56" s="538"/>
      <c r="BF56" s="538"/>
      <c r="BG56" s="538"/>
      <c r="BH56" s="538"/>
      <c r="BI56" s="538"/>
      <c r="BJ56" s="538"/>
      <c r="BK56" s="570">
        <v>6857</v>
      </c>
      <c r="BL56" s="570"/>
      <c r="BM56" s="570"/>
      <c r="BN56" s="570"/>
      <c r="BO56" s="570"/>
      <c r="BP56" s="570"/>
      <c r="BQ56" s="570"/>
      <c r="BR56" s="570"/>
      <c r="BS56" s="570"/>
      <c r="BT56" s="570"/>
      <c r="BU56" s="570"/>
      <c r="BV56" s="570"/>
      <c r="BW56" s="570"/>
      <c r="BX56" s="570"/>
      <c r="BY56" s="570"/>
      <c r="BZ56" s="570"/>
      <c r="CA56" s="570"/>
      <c r="CB56" s="570"/>
      <c r="CC56" s="569"/>
      <c r="CD56" s="569"/>
      <c r="CE56" s="569"/>
      <c r="CF56" s="569"/>
      <c r="CG56" s="569"/>
      <c r="CH56" s="569"/>
      <c r="CI56" s="569"/>
      <c r="CJ56" s="569"/>
      <c r="CK56" s="569"/>
      <c r="CL56" s="569"/>
      <c r="CM56" s="569"/>
      <c r="CN56" s="569"/>
      <c r="CO56" s="569"/>
      <c r="CP56" s="569"/>
      <c r="CQ56" s="569"/>
      <c r="CR56" s="569"/>
      <c r="CS56" s="569"/>
      <c r="CT56" s="569"/>
      <c r="CU56" s="569"/>
      <c r="CV56" s="562">
        <v>23500</v>
      </c>
      <c r="CW56" s="563"/>
      <c r="CX56" s="563"/>
      <c r="CY56" s="563"/>
      <c r="CZ56" s="563"/>
      <c r="DA56" s="563"/>
      <c r="DB56" s="563"/>
      <c r="DC56" s="563"/>
      <c r="DD56" s="563"/>
      <c r="DE56" s="563"/>
      <c r="DF56" s="563"/>
      <c r="DG56" s="563"/>
      <c r="DH56" s="563"/>
      <c r="DI56" s="563"/>
      <c r="DJ56" s="563"/>
      <c r="DK56" s="563"/>
      <c r="DL56" s="563"/>
      <c r="DM56" s="564"/>
      <c r="DN56" s="538">
        <f t="shared" si="9"/>
        <v>24285.600000000002</v>
      </c>
      <c r="DO56" s="538"/>
      <c r="DP56" s="538"/>
      <c r="DQ56" s="538"/>
      <c r="DR56" s="538"/>
      <c r="DS56" s="538"/>
      <c r="DT56" s="538"/>
      <c r="DU56" s="538"/>
      <c r="DV56" s="538"/>
      <c r="DW56" s="538"/>
      <c r="DX56" s="538"/>
      <c r="DY56" s="538"/>
      <c r="DZ56" s="538"/>
      <c r="EA56" s="538"/>
      <c r="EB56" s="538"/>
      <c r="EC56" s="538"/>
      <c r="ED56" s="538">
        <f t="shared" si="10"/>
        <v>15178.5</v>
      </c>
      <c r="EE56" s="538"/>
      <c r="EF56" s="538"/>
      <c r="EG56" s="538"/>
      <c r="EH56" s="538"/>
      <c r="EI56" s="538"/>
      <c r="EJ56" s="538"/>
      <c r="EK56" s="538"/>
      <c r="EL56" s="538"/>
      <c r="EM56" s="538"/>
      <c r="EN56" s="538"/>
      <c r="EO56" s="538"/>
      <c r="EP56" s="538"/>
      <c r="EQ56" s="538"/>
      <c r="ER56" s="538"/>
      <c r="ES56" s="538"/>
      <c r="ET56" s="538">
        <f t="shared" si="11"/>
        <v>1675706.4000000001</v>
      </c>
      <c r="EU56" s="538"/>
      <c r="EV56" s="538"/>
      <c r="EW56" s="538"/>
      <c r="EX56" s="538"/>
      <c r="EY56" s="538"/>
      <c r="EZ56" s="538"/>
      <c r="FA56" s="538"/>
      <c r="FB56" s="538"/>
      <c r="FC56" s="538"/>
      <c r="FD56" s="538"/>
      <c r="FE56" s="538"/>
      <c r="FF56" s="538"/>
      <c r="FG56" s="538"/>
      <c r="FH56" s="538"/>
      <c r="FI56" s="538"/>
      <c r="FJ56" s="538"/>
      <c r="FK56" s="171" t="s">
        <v>517</v>
      </c>
      <c r="FL56" s="16" t="s">
        <v>512</v>
      </c>
      <c r="FM56" s="16" t="s">
        <v>518</v>
      </c>
      <c r="FN56" s="171"/>
      <c r="FO56" s="171" t="s">
        <v>504</v>
      </c>
      <c r="FP56" s="16" t="s">
        <v>909</v>
      </c>
    </row>
    <row r="57" spans="1:178" s="16" customFormat="1" ht="13.2" customHeight="1" x14ac:dyDescent="0.3">
      <c r="A57" s="571" t="s">
        <v>525</v>
      </c>
      <c r="B57" s="571"/>
      <c r="C57" s="571"/>
      <c r="D57" s="571"/>
      <c r="E57" s="571"/>
      <c r="F57" s="571"/>
      <c r="G57" s="572" t="s">
        <v>524</v>
      </c>
      <c r="H57" s="572"/>
      <c r="I57" s="572"/>
      <c r="J57" s="572"/>
      <c r="K57" s="572"/>
      <c r="L57" s="572"/>
      <c r="M57" s="572"/>
      <c r="N57" s="572"/>
      <c r="O57" s="572"/>
      <c r="P57" s="572"/>
      <c r="Q57" s="572"/>
      <c r="R57" s="572"/>
      <c r="S57" s="572"/>
      <c r="T57" s="572"/>
      <c r="U57" s="572"/>
      <c r="V57" s="572"/>
      <c r="W57" s="572"/>
      <c r="X57" s="572"/>
      <c r="Y57" s="572"/>
      <c r="Z57" s="572"/>
      <c r="AA57" s="572"/>
      <c r="AB57" s="572"/>
      <c r="AC57" s="572"/>
      <c r="AD57" s="569">
        <v>1</v>
      </c>
      <c r="AE57" s="569"/>
      <c r="AF57" s="569"/>
      <c r="AG57" s="569"/>
      <c r="AH57" s="569"/>
      <c r="AI57" s="569"/>
      <c r="AJ57" s="569"/>
      <c r="AK57" s="569"/>
      <c r="AL57" s="569"/>
      <c r="AM57" s="569"/>
      <c r="AN57" s="569"/>
      <c r="AO57" s="569"/>
      <c r="AP57" s="569"/>
      <c r="AQ57" s="569"/>
      <c r="AR57" s="569"/>
      <c r="AS57" s="569"/>
      <c r="AT57" s="538">
        <f t="shared" si="8"/>
        <v>29558.0216</v>
      </c>
      <c r="AU57" s="538"/>
      <c r="AV57" s="538"/>
      <c r="AW57" s="538"/>
      <c r="AX57" s="538"/>
      <c r="AY57" s="538"/>
      <c r="AZ57" s="538"/>
      <c r="BA57" s="538"/>
      <c r="BB57" s="538"/>
      <c r="BC57" s="538"/>
      <c r="BD57" s="538"/>
      <c r="BE57" s="538"/>
      <c r="BF57" s="538"/>
      <c r="BG57" s="538"/>
      <c r="BH57" s="538"/>
      <c r="BI57" s="538"/>
      <c r="BJ57" s="538"/>
      <c r="BK57" s="570">
        <v>5963</v>
      </c>
      <c r="BL57" s="570"/>
      <c r="BM57" s="570"/>
      <c r="BN57" s="570"/>
      <c r="BO57" s="570"/>
      <c r="BP57" s="570"/>
      <c r="BQ57" s="570"/>
      <c r="BR57" s="570"/>
      <c r="BS57" s="570"/>
      <c r="BT57" s="570"/>
      <c r="BU57" s="570"/>
      <c r="BV57" s="570"/>
      <c r="BW57" s="570"/>
      <c r="BX57" s="570"/>
      <c r="BY57" s="570"/>
      <c r="BZ57" s="570"/>
      <c r="CA57" s="570"/>
      <c r="CB57" s="570"/>
      <c r="CC57" s="569"/>
      <c r="CD57" s="569"/>
      <c r="CE57" s="569"/>
      <c r="CF57" s="569"/>
      <c r="CG57" s="569"/>
      <c r="CH57" s="569"/>
      <c r="CI57" s="569"/>
      <c r="CJ57" s="569"/>
      <c r="CK57" s="569"/>
      <c r="CL57" s="569"/>
      <c r="CM57" s="569"/>
      <c r="CN57" s="569"/>
      <c r="CO57" s="569"/>
      <c r="CP57" s="569"/>
      <c r="CQ57" s="569"/>
      <c r="CR57" s="569"/>
      <c r="CS57" s="569"/>
      <c r="CT57" s="569"/>
      <c r="CU57" s="569"/>
      <c r="CV57" s="562">
        <v>23595.0216</v>
      </c>
      <c r="CW57" s="563"/>
      <c r="CX57" s="563"/>
      <c r="CY57" s="563"/>
      <c r="CZ57" s="563"/>
      <c r="DA57" s="563"/>
      <c r="DB57" s="563"/>
      <c r="DC57" s="563"/>
      <c r="DD57" s="563"/>
      <c r="DE57" s="563"/>
      <c r="DF57" s="563"/>
      <c r="DG57" s="563"/>
      <c r="DH57" s="563"/>
      <c r="DI57" s="563"/>
      <c r="DJ57" s="563"/>
      <c r="DK57" s="563"/>
      <c r="DL57" s="563"/>
      <c r="DM57" s="564"/>
      <c r="DN57" s="538">
        <f t="shared" si="9"/>
        <v>23646.417280000001</v>
      </c>
      <c r="DO57" s="538"/>
      <c r="DP57" s="538"/>
      <c r="DQ57" s="538"/>
      <c r="DR57" s="538"/>
      <c r="DS57" s="538"/>
      <c r="DT57" s="538"/>
      <c r="DU57" s="538"/>
      <c r="DV57" s="538"/>
      <c r="DW57" s="538"/>
      <c r="DX57" s="538"/>
      <c r="DY57" s="538"/>
      <c r="DZ57" s="538"/>
      <c r="EA57" s="538"/>
      <c r="EB57" s="538"/>
      <c r="EC57" s="538"/>
      <c r="ED57" s="538">
        <f t="shared" si="10"/>
        <v>14779.0108</v>
      </c>
      <c r="EE57" s="538"/>
      <c r="EF57" s="538"/>
      <c r="EG57" s="538"/>
      <c r="EH57" s="538"/>
      <c r="EI57" s="538"/>
      <c r="EJ57" s="538"/>
      <c r="EK57" s="538"/>
      <c r="EL57" s="538"/>
      <c r="EM57" s="538"/>
      <c r="EN57" s="538"/>
      <c r="EO57" s="538"/>
      <c r="EP57" s="538"/>
      <c r="EQ57" s="538"/>
      <c r="ER57" s="538"/>
      <c r="ES57" s="538"/>
      <c r="ET57" s="538">
        <f t="shared" si="11"/>
        <v>815801.39616</v>
      </c>
      <c r="EU57" s="538"/>
      <c r="EV57" s="538"/>
      <c r="EW57" s="538"/>
      <c r="EX57" s="538"/>
      <c r="EY57" s="538"/>
      <c r="EZ57" s="538"/>
      <c r="FA57" s="538"/>
      <c r="FB57" s="538"/>
      <c r="FC57" s="538"/>
      <c r="FD57" s="538"/>
      <c r="FE57" s="538"/>
      <c r="FF57" s="538"/>
      <c r="FG57" s="538"/>
      <c r="FH57" s="538"/>
      <c r="FI57" s="538"/>
      <c r="FJ57" s="538"/>
      <c r="FK57" s="171" t="s">
        <v>517</v>
      </c>
      <c r="FL57" s="16" t="s">
        <v>512</v>
      </c>
      <c r="FM57" s="16" t="s">
        <v>518</v>
      </c>
      <c r="FN57" s="171"/>
      <c r="FO57" s="171"/>
      <c r="FP57" s="171"/>
    </row>
    <row r="58" spans="1:178" s="16" customFormat="1" ht="42" customHeight="1" x14ac:dyDescent="0.3">
      <c r="A58" s="571" t="s">
        <v>526</v>
      </c>
      <c r="B58" s="571"/>
      <c r="C58" s="571"/>
      <c r="D58" s="571"/>
      <c r="E58" s="571"/>
      <c r="F58" s="571"/>
      <c r="G58" s="572" t="s">
        <v>430</v>
      </c>
      <c r="H58" s="572"/>
      <c r="I58" s="572"/>
      <c r="J58" s="572"/>
      <c r="K58" s="572"/>
      <c r="L58" s="572"/>
      <c r="M58" s="572"/>
      <c r="N58" s="572"/>
      <c r="O58" s="572"/>
      <c r="P58" s="572"/>
      <c r="Q58" s="572"/>
      <c r="R58" s="572"/>
      <c r="S58" s="572"/>
      <c r="T58" s="572"/>
      <c r="U58" s="572"/>
      <c r="V58" s="572"/>
      <c r="W58" s="572"/>
      <c r="X58" s="572"/>
      <c r="Y58" s="572"/>
      <c r="Z58" s="572"/>
      <c r="AA58" s="572"/>
      <c r="AB58" s="572"/>
      <c r="AC58" s="572"/>
      <c r="AD58" s="569">
        <v>11</v>
      </c>
      <c r="AE58" s="569"/>
      <c r="AF58" s="569"/>
      <c r="AG58" s="569"/>
      <c r="AH58" s="569"/>
      <c r="AI58" s="569"/>
      <c r="AJ58" s="569"/>
      <c r="AK58" s="569"/>
      <c r="AL58" s="569"/>
      <c r="AM58" s="569"/>
      <c r="AN58" s="569"/>
      <c r="AO58" s="569"/>
      <c r="AP58" s="569"/>
      <c r="AQ58" s="569"/>
      <c r="AR58" s="569"/>
      <c r="AS58" s="569"/>
      <c r="AT58" s="538">
        <f t="shared" si="8"/>
        <v>32097</v>
      </c>
      <c r="AU58" s="538"/>
      <c r="AV58" s="538"/>
      <c r="AW58" s="538"/>
      <c r="AX58" s="538"/>
      <c r="AY58" s="538"/>
      <c r="AZ58" s="538"/>
      <c r="BA58" s="538"/>
      <c r="BB58" s="538"/>
      <c r="BC58" s="538"/>
      <c r="BD58" s="538"/>
      <c r="BE58" s="538"/>
      <c r="BF58" s="538"/>
      <c r="BG58" s="538"/>
      <c r="BH58" s="538"/>
      <c r="BI58" s="538"/>
      <c r="BJ58" s="538"/>
      <c r="BK58" s="570">
        <v>6857</v>
      </c>
      <c r="BL58" s="570"/>
      <c r="BM58" s="570"/>
      <c r="BN58" s="570"/>
      <c r="BO58" s="570"/>
      <c r="BP58" s="570"/>
      <c r="BQ58" s="570"/>
      <c r="BR58" s="570"/>
      <c r="BS58" s="570"/>
      <c r="BT58" s="570"/>
      <c r="BU58" s="570"/>
      <c r="BV58" s="570"/>
      <c r="BW58" s="570"/>
      <c r="BX58" s="570"/>
      <c r="BY58" s="570"/>
      <c r="BZ58" s="570"/>
      <c r="CA58" s="570"/>
      <c r="CB58" s="570"/>
      <c r="CC58" s="569">
        <v>1600</v>
      </c>
      <c r="CD58" s="569"/>
      <c r="CE58" s="569"/>
      <c r="CF58" s="569"/>
      <c r="CG58" s="569"/>
      <c r="CH58" s="569"/>
      <c r="CI58" s="569"/>
      <c r="CJ58" s="569"/>
      <c r="CK58" s="569"/>
      <c r="CL58" s="569"/>
      <c r="CM58" s="569"/>
      <c r="CN58" s="569"/>
      <c r="CO58" s="569"/>
      <c r="CP58" s="569"/>
      <c r="CQ58" s="569"/>
      <c r="CR58" s="569"/>
      <c r="CS58" s="569"/>
      <c r="CT58" s="569"/>
      <c r="CU58" s="569"/>
      <c r="CV58" s="562">
        <v>23640</v>
      </c>
      <c r="CW58" s="563"/>
      <c r="CX58" s="563"/>
      <c r="CY58" s="563"/>
      <c r="CZ58" s="563"/>
      <c r="DA58" s="563"/>
      <c r="DB58" s="563"/>
      <c r="DC58" s="563"/>
      <c r="DD58" s="563"/>
      <c r="DE58" s="563"/>
      <c r="DF58" s="563"/>
      <c r="DG58" s="563"/>
      <c r="DH58" s="563"/>
      <c r="DI58" s="563"/>
      <c r="DJ58" s="563"/>
      <c r="DK58" s="563"/>
      <c r="DL58" s="563"/>
      <c r="DM58" s="564"/>
      <c r="DN58" s="538">
        <f t="shared" si="9"/>
        <v>25677.600000000002</v>
      </c>
      <c r="DO58" s="538"/>
      <c r="DP58" s="538"/>
      <c r="DQ58" s="538"/>
      <c r="DR58" s="538"/>
      <c r="DS58" s="538"/>
      <c r="DT58" s="538"/>
      <c r="DU58" s="538"/>
      <c r="DV58" s="538"/>
      <c r="DW58" s="538"/>
      <c r="DX58" s="538"/>
      <c r="DY58" s="538"/>
      <c r="DZ58" s="538"/>
      <c r="EA58" s="538"/>
      <c r="EB58" s="538"/>
      <c r="EC58" s="538"/>
      <c r="ED58" s="538">
        <f t="shared" si="10"/>
        <v>16048.5</v>
      </c>
      <c r="EE58" s="538"/>
      <c r="EF58" s="538"/>
      <c r="EG58" s="538"/>
      <c r="EH58" s="538"/>
      <c r="EI58" s="538"/>
      <c r="EJ58" s="538"/>
      <c r="EK58" s="538"/>
      <c r="EL58" s="538"/>
      <c r="EM58" s="538"/>
      <c r="EN58" s="538"/>
      <c r="EO58" s="538"/>
      <c r="EP58" s="538"/>
      <c r="EQ58" s="538"/>
      <c r="ER58" s="538"/>
      <c r="ES58" s="538"/>
      <c r="ET58" s="538">
        <f t="shared" si="11"/>
        <v>9744649.2000000011</v>
      </c>
      <c r="EU58" s="538"/>
      <c r="EV58" s="538"/>
      <c r="EW58" s="538"/>
      <c r="EX58" s="538"/>
      <c r="EY58" s="538"/>
      <c r="EZ58" s="538"/>
      <c r="FA58" s="538"/>
      <c r="FB58" s="538"/>
      <c r="FC58" s="538"/>
      <c r="FD58" s="538"/>
      <c r="FE58" s="538"/>
      <c r="FF58" s="538"/>
      <c r="FG58" s="538"/>
      <c r="FH58" s="538"/>
      <c r="FI58" s="538"/>
      <c r="FJ58" s="538"/>
      <c r="FK58" s="171" t="e">
        <f>55765*14*12+#REF!</f>
        <v>#REF!</v>
      </c>
      <c r="FL58" s="60" t="e">
        <f>ET57+ET58+ET55+#REF!+#REF!</f>
        <v>#REF!</v>
      </c>
      <c r="FM58" s="60" t="e">
        <f>FL58/12/14</f>
        <v>#REF!</v>
      </c>
      <c r="FN58" s="171"/>
      <c r="FO58" s="171">
        <f>72633.39*15*12</f>
        <v>13074010.200000001</v>
      </c>
      <c r="FP58" s="60">
        <f>ET55+ET56+ET57+ET58</f>
        <v>13074010.196160002</v>
      </c>
    </row>
    <row r="59" spans="1:178" s="16" customFormat="1" ht="13.2" customHeight="1" x14ac:dyDescent="0.3">
      <c r="A59" s="571" t="s">
        <v>530</v>
      </c>
      <c r="B59" s="571"/>
      <c r="C59" s="571"/>
      <c r="D59" s="571"/>
      <c r="E59" s="571"/>
      <c r="F59" s="571"/>
      <c r="G59" s="572" t="s">
        <v>527</v>
      </c>
      <c r="H59" s="572"/>
      <c r="I59" s="572"/>
      <c r="J59" s="572"/>
      <c r="K59" s="572"/>
      <c r="L59" s="572"/>
      <c r="M59" s="572"/>
      <c r="N59" s="572"/>
      <c r="O59" s="572"/>
      <c r="P59" s="572"/>
      <c r="Q59" s="572"/>
      <c r="R59" s="572"/>
      <c r="S59" s="572"/>
      <c r="T59" s="572"/>
      <c r="U59" s="572"/>
      <c r="V59" s="572"/>
      <c r="W59" s="572"/>
      <c r="X59" s="572"/>
      <c r="Y59" s="572"/>
      <c r="Z59" s="572"/>
      <c r="AA59" s="572"/>
      <c r="AB59" s="572"/>
      <c r="AC59" s="572"/>
      <c r="AD59" s="569">
        <v>12</v>
      </c>
      <c r="AE59" s="569"/>
      <c r="AF59" s="569"/>
      <c r="AG59" s="569"/>
      <c r="AH59" s="569"/>
      <c r="AI59" s="569"/>
      <c r="AJ59" s="569"/>
      <c r="AK59" s="569"/>
      <c r="AL59" s="569"/>
      <c r="AM59" s="569"/>
      <c r="AN59" s="569"/>
      <c r="AO59" s="569"/>
      <c r="AP59" s="569"/>
      <c r="AQ59" s="569"/>
      <c r="AR59" s="569"/>
      <c r="AS59" s="569"/>
      <c r="AT59" s="538">
        <f t="shared" si="8"/>
        <v>41601.272449999997</v>
      </c>
      <c r="AU59" s="538"/>
      <c r="AV59" s="538"/>
      <c r="AW59" s="538"/>
      <c r="AX59" s="538"/>
      <c r="AY59" s="538"/>
      <c r="AZ59" s="538"/>
      <c r="BA59" s="538"/>
      <c r="BB59" s="538"/>
      <c r="BC59" s="538"/>
      <c r="BD59" s="538"/>
      <c r="BE59" s="538"/>
      <c r="BF59" s="538"/>
      <c r="BG59" s="538"/>
      <c r="BH59" s="538"/>
      <c r="BI59" s="538"/>
      <c r="BJ59" s="538"/>
      <c r="BK59" s="570">
        <v>7498</v>
      </c>
      <c r="BL59" s="570"/>
      <c r="BM59" s="570"/>
      <c r="BN59" s="570"/>
      <c r="BO59" s="570"/>
      <c r="BP59" s="570"/>
      <c r="BQ59" s="570"/>
      <c r="BR59" s="570"/>
      <c r="BS59" s="570"/>
      <c r="BT59" s="570"/>
      <c r="BU59" s="570"/>
      <c r="BV59" s="570"/>
      <c r="BW59" s="570"/>
      <c r="BX59" s="570"/>
      <c r="BY59" s="570"/>
      <c r="BZ59" s="570"/>
      <c r="CA59" s="570"/>
      <c r="CB59" s="570"/>
      <c r="CC59" s="569"/>
      <c r="CD59" s="569"/>
      <c r="CE59" s="569"/>
      <c r="CF59" s="569"/>
      <c r="CG59" s="569"/>
      <c r="CH59" s="569"/>
      <c r="CI59" s="569"/>
      <c r="CJ59" s="569"/>
      <c r="CK59" s="569"/>
      <c r="CL59" s="569"/>
      <c r="CM59" s="569"/>
      <c r="CN59" s="569"/>
      <c r="CO59" s="569"/>
      <c r="CP59" s="569"/>
      <c r="CQ59" s="569"/>
      <c r="CR59" s="569"/>
      <c r="CS59" s="569"/>
      <c r="CT59" s="569"/>
      <c r="CU59" s="569"/>
      <c r="CV59" s="562">
        <v>34103.272449999997</v>
      </c>
      <c r="CW59" s="563"/>
      <c r="CX59" s="563"/>
      <c r="CY59" s="563"/>
      <c r="CZ59" s="563"/>
      <c r="DA59" s="563"/>
      <c r="DB59" s="563"/>
      <c r="DC59" s="563"/>
      <c r="DD59" s="563"/>
      <c r="DE59" s="563"/>
      <c r="DF59" s="563"/>
      <c r="DG59" s="563"/>
      <c r="DH59" s="563"/>
      <c r="DI59" s="563"/>
      <c r="DJ59" s="563"/>
      <c r="DK59" s="563"/>
      <c r="DL59" s="563"/>
      <c r="DM59" s="564"/>
      <c r="DN59" s="538">
        <f t="shared" si="9"/>
        <v>33281.017959999997</v>
      </c>
      <c r="DO59" s="538"/>
      <c r="DP59" s="538"/>
      <c r="DQ59" s="538"/>
      <c r="DR59" s="538"/>
      <c r="DS59" s="538"/>
      <c r="DT59" s="538"/>
      <c r="DU59" s="538"/>
      <c r="DV59" s="538"/>
      <c r="DW59" s="538"/>
      <c r="DX59" s="538"/>
      <c r="DY59" s="538"/>
      <c r="DZ59" s="538"/>
      <c r="EA59" s="538"/>
      <c r="EB59" s="538"/>
      <c r="EC59" s="538"/>
      <c r="ED59" s="538">
        <f t="shared" si="10"/>
        <v>20800.636224999998</v>
      </c>
      <c r="EE59" s="538"/>
      <c r="EF59" s="538"/>
      <c r="EG59" s="538"/>
      <c r="EH59" s="538"/>
      <c r="EI59" s="538"/>
      <c r="EJ59" s="538"/>
      <c r="EK59" s="538"/>
      <c r="EL59" s="538"/>
      <c r="EM59" s="538"/>
      <c r="EN59" s="538"/>
      <c r="EO59" s="538"/>
      <c r="EP59" s="538"/>
      <c r="EQ59" s="538"/>
      <c r="ER59" s="538"/>
      <c r="ES59" s="538"/>
      <c r="ET59" s="538">
        <f t="shared" si="11"/>
        <v>13778341.435439996</v>
      </c>
      <c r="EU59" s="538"/>
      <c r="EV59" s="538"/>
      <c r="EW59" s="538"/>
      <c r="EX59" s="538"/>
      <c r="EY59" s="538"/>
      <c r="EZ59" s="538"/>
      <c r="FA59" s="538"/>
      <c r="FB59" s="538"/>
      <c r="FC59" s="538"/>
      <c r="FD59" s="538"/>
      <c r="FE59" s="538"/>
      <c r="FF59" s="538"/>
      <c r="FG59" s="538"/>
      <c r="FH59" s="538"/>
      <c r="FI59" s="538"/>
      <c r="FJ59" s="538"/>
      <c r="FK59" s="171" t="s">
        <v>528</v>
      </c>
      <c r="FM59" s="16" t="s">
        <v>529</v>
      </c>
      <c r="FN59" s="171"/>
      <c r="FO59" s="171">
        <f>93670*14.5*12</f>
        <v>16298580</v>
      </c>
      <c r="FP59" s="60">
        <f>ET82+ET59+ET60</f>
        <v>16298580.000839995</v>
      </c>
    </row>
    <row r="60" spans="1:178" s="16" customFormat="1" ht="30" customHeight="1" x14ac:dyDescent="0.3">
      <c r="A60" s="571" t="s">
        <v>621</v>
      </c>
      <c r="B60" s="571"/>
      <c r="C60" s="571"/>
      <c r="D60" s="571"/>
      <c r="E60" s="571"/>
      <c r="F60" s="571"/>
      <c r="G60" s="572" t="s">
        <v>531</v>
      </c>
      <c r="H60" s="572"/>
      <c r="I60" s="572"/>
      <c r="J60" s="572"/>
      <c r="K60" s="572"/>
      <c r="L60" s="572"/>
      <c r="M60" s="572"/>
      <c r="N60" s="572"/>
      <c r="O60" s="572"/>
      <c r="P60" s="572"/>
      <c r="Q60" s="572"/>
      <c r="R60" s="572"/>
      <c r="S60" s="572"/>
      <c r="T60" s="572"/>
      <c r="U60" s="572"/>
      <c r="V60" s="572"/>
      <c r="W60" s="572"/>
      <c r="X60" s="572"/>
      <c r="Y60" s="572"/>
      <c r="Z60" s="572"/>
      <c r="AA60" s="572"/>
      <c r="AB60" s="572"/>
      <c r="AC60" s="572"/>
      <c r="AD60" s="569">
        <v>2</v>
      </c>
      <c r="AE60" s="569"/>
      <c r="AF60" s="569"/>
      <c r="AG60" s="569"/>
      <c r="AH60" s="569"/>
      <c r="AI60" s="569"/>
      <c r="AJ60" s="569"/>
      <c r="AK60" s="569"/>
      <c r="AL60" s="569"/>
      <c r="AM60" s="569"/>
      <c r="AN60" s="569"/>
      <c r="AO60" s="569"/>
      <c r="AP60" s="569"/>
      <c r="AQ60" s="569"/>
      <c r="AR60" s="569"/>
      <c r="AS60" s="569"/>
      <c r="AT60" s="538">
        <f t="shared" si="8"/>
        <v>40628</v>
      </c>
      <c r="AU60" s="538"/>
      <c r="AV60" s="538"/>
      <c r="AW60" s="538"/>
      <c r="AX60" s="538"/>
      <c r="AY60" s="538"/>
      <c r="AZ60" s="538"/>
      <c r="BA60" s="538"/>
      <c r="BB60" s="538"/>
      <c r="BC60" s="538"/>
      <c r="BD60" s="538"/>
      <c r="BE60" s="538"/>
      <c r="BF60" s="538"/>
      <c r="BG60" s="538"/>
      <c r="BH60" s="538"/>
      <c r="BI60" s="538"/>
      <c r="BJ60" s="538"/>
      <c r="BK60" s="570">
        <v>9128</v>
      </c>
      <c r="BL60" s="570"/>
      <c r="BM60" s="570"/>
      <c r="BN60" s="570"/>
      <c r="BO60" s="570"/>
      <c r="BP60" s="570"/>
      <c r="BQ60" s="570"/>
      <c r="BR60" s="570"/>
      <c r="BS60" s="570"/>
      <c r="BT60" s="570"/>
      <c r="BU60" s="570"/>
      <c r="BV60" s="570"/>
      <c r="BW60" s="570"/>
      <c r="BX60" s="570"/>
      <c r="BY60" s="570"/>
      <c r="BZ60" s="570"/>
      <c r="CA60" s="570"/>
      <c r="CB60" s="570"/>
      <c r="CC60" s="569"/>
      <c r="CD60" s="569"/>
      <c r="CE60" s="569"/>
      <c r="CF60" s="569"/>
      <c r="CG60" s="569"/>
      <c r="CH60" s="569"/>
      <c r="CI60" s="569"/>
      <c r="CJ60" s="569"/>
      <c r="CK60" s="569"/>
      <c r="CL60" s="569"/>
      <c r="CM60" s="569"/>
      <c r="CN60" s="569"/>
      <c r="CO60" s="569"/>
      <c r="CP60" s="569"/>
      <c r="CQ60" s="569"/>
      <c r="CR60" s="569"/>
      <c r="CS60" s="569"/>
      <c r="CT60" s="569"/>
      <c r="CU60" s="569"/>
      <c r="CV60" s="562">
        <v>31500</v>
      </c>
      <c r="CW60" s="563"/>
      <c r="CX60" s="563"/>
      <c r="CY60" s="563"/>
      <c r="CZ60" s="563"/>
      <c r="DA60" s="563"/>
      <c r="DB60" s="563"/>
      <c r="DC60" s="563"/>
      <c r="DD60" s="563"/>
      <c r="DE60" s="563"/>
      <c r="DF60" s="563"/>
      <c r="DG60" s="563"/>
      <c r="DH60" s="563"/>
      <c r="DI60" s="563"/>
      <c r="DJ60" s="563"/>
      <c r="DK60" s="563"/>
      <c r="DL60" s="563"/>
      <c r="DM60" s="564"/>
      <c r="DN60" s="538">
        <f t="shared" si="9"/>
        <v>32502.400000000001</v>
      </c>
      <c r="DO60" s="538"/>
      <c r="DP60" s="538"/>
      <c r="DQ60" s="538"/>
      <c r="DR60" s="538"/>
      <c r="DS60" s="538"/>
      <c r="DT60" s="538"/>
      <c r="DU60" s="538"/>
      <c r="DV60" s="538"/>
      <c r="DW60" s="538"/>
      <c r="DX60" s="538"/>
      <c r="DY60" s="538"/>
      <c r="DZ60" s="538"/>
      <c r="EA60" s="538"/>
      <c r="EB60" s="538"/>
      <c r="EC60" s="538"/>
      <c r="ED60" s="538">
        <f t="shared" si="10"/>
        <v>20314</v>
      </c>
      <c r="EE60" s="538"/>
      <c r="EF60" s="538"/>
      <c r="EG60" s="538"/>
      <c r="EH60" s="538"/>
      <c r="EI60" s="538"/>
      <c r="EJ60" s="538"/>
      <c r="EK60" s="538"/>
      <c r="EL60" s="538"/>
      <c r="EM60" s="538"/>
      <c r="EN60" s="538"/>
      <c r="EO60" s="538"/>
      <c r="EP60" s="538"/>
      <c r="EQ60" s="538"/>
      <c r="ER60" s="538"/>
      <c r="ES60" s="538"/>
      <c r="ET60" s="538">
        <f t="shared" si="11"/>
        <v>2242665.5999999996</v>
      </c>
      <c r="EU60" s="538"/>
      <c r="EV60" s="538"/>
      <c r="EW60" s="538"/>
      <c r="EX60" s="538"/>
      <c r="EY60" s="538"/>
      <c r="EZ60" s="538"/>
      <c r="FA60" s="538"/>
      <c r="FB60" s="538"/>
      <c r="FC60" s="538"/>
      <c r="FD60" s="538"/>
      <c r="FE60" s="538"/>
      <c r="FF60" s="538"/>
      <c r="FG60" s="538"/>
      <c r="FH60" s="538"/>
      <c r="FI60" s="538"/>
      <c r="FJ60" s="538"/>
      <c r="FK60" s="171" t="e">
        <f>55765*12.5*12+#REF!-112400</f>
        <v>#REF!</v>
      </c>
      <c r="FL60" s="60" t="e">
        <f>ET60+ET59+ET80+#REF!</f>
        <v>#REF!</v>
      </c>
      <c r="FM60" s="60" t="e">
        <f>ET59+ET60+ET80+#REF!+112400</f>
        <v>#REF!</v>
      </c>
      <c r="FN60" s="171"/>
      <c r="FO60" s="60"/>
      <c r="FP60" s="171"/>
      <c r="FV60" s="171"/>
    </row>
    <row r="61" spans="1:178" s="16" customFormat="1" ht="21" customHeight="1" x14ac:dyDescent="0.3">
      <c r="A61" s="565" t="s">
        <v>257</v>
      </c>
      <c r="B61" s="566"/>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39">
        <f>SUM(AD41:AD60)</f>
        <v>68.05</v>
      </c>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68"/>
      <c r="BL61" s="568"/>
      <c r="BM61" s="568"/>
      <c r="BN61" s="568"/>
      <c r="BO61" s="568"/>
      <c r="BP61" s="568"/>
      <c r="BQ61" s="568"/>
      <c r="BR61" s="568"/>
      <c r="BS61" s="568"/>
      <c r="BT61" s="568"/>
      <c r="BU61" s="568"/>
      <c r="BV61" s="568"/>
      <c r="BW61" s="568"/>
      <c r="BX61" s="568"/>
      <c r="BY61" s="568"/>
      <c r="BZ61" s="568"/>
      <c r="CA61" s="568"/>
      <c r="CB61" s="568"/>
      <c r="CC61" s="539"/>
      <c r="CD61" s="539"/>
      <c r="CE61" s="539"/>
      <c r="CF61" s="539"/>
      <c r="CG61" s="539"/>
      <c r="CH61" s="539"/>
      <c r="CI61" s="539"/>
      <c r="CJ61" s="539"/>
      <c r="CK61" s="539"/>
      <c r="CL61" s="539"/>
      <c r="CM61" s="539"/>
      <c r="CN61" s="539"/>
      <c r="CO61" s="539"/>
      <c r="CP61" s="539"/>
      <c r="CQ61" s="539"/>
      <c r="CR61" s="539"/>
      <c r="CS61" s="539"/>
      <c r="CT61" s="539"/>
      <c r="CU61" s="539"/>
      <c r="CV61" s="540"/>
      <c r="CW61" s="540"/>
      <c r="CX61" s="540"/>
      <c r="CY61" s="540"/>
      <c r="CZ61" s="540"/>
      <c r="DA61" s="540"/>
      <c r="DB61" s="540"/>
      <c r="DC61" s="540"/>
      <c r="DD61" s="540"/>
      <c r="DE61" s="540"/>
      <c r="DF61" s="540"/>
      <c r="DG61" s="540"/>
      <c r="DH61" s="540"/>
      <c r="DI61" s="540"/>
      <c r="DJ61" s="540"/>
      <c r="DK61" s="540"/>
      <c r="DL61" s="540"/>
      <c r="DM61" s="540"/>
      <c r="DN61" s="540"/>
      <c r="DO61" s="540"/>
      <c r="DP61" s="540"/>
      <c r="DQ61" s="540"/>
      <c r="DR61" s="540"/>
      <c r="DS61" s="540"/>
      <c r="DT61" s="540"/>
      <c r="DU61" s="540"/>
      <c r="DV61" s="540"/>
      <c r="DW61" s="540"/>
      <c r="DX61" s="540"/>
      <c r="DY61" s="540"/>
      <c r="DZ61" s="540"/>
      <c r="EA61" s="540"/>
      <c r="EB61" s="540"/>
      <c r="EC61" s="540"/>
      <c r="ED61" s="540"/>
      <c r="EE61" s="540"/>
      <c r="EF61" s="540"/>
      <c r="EG61" s="540"/>
      <c r="EH61" s="540"/>
      <c r="EI61" s="540"/>
      <c r="EJ61" s="540"/>
      <c r="EK61" s="540"/>
      <c r="EL61" s="540"/>
      <c r="EM61" s="540"/>
      <c r="EN61" s="540"/>
      <c r="EO61" s="540"/>
      <c r="EP61" s="540"/>
      <c r="EQ61" s="540"/>
      <c r="ER61" s="540"/>
      <c r="ES61" s="540"/>
      <c r="ET61" s="540">
        <f>SUM(ET41:FJ60)</f>
        <v>66801539.447064012</v>
      </c>
      <c r="EU61" s="540"/>
      <c r="EV61" s="540"/>
      <c r="EW61" s="540"/>
      <c r="EX61" s="540"/>
      <c r="EY61" s="540"/>
      <c r="EZ61" s="540"/>
      <c r="FA61" s="540"/>
      <c r="FB61" s="540"/>
      <c r="FC61" s="540"/>
      <c r="FD61" s="540"/>
      <c r="FE61" s="540"/>
      <c r="FF61" s="540"/>
      <c r="FG61" s="540"/>
      <c r="FH61" s="540"/>
      <c r="FI61" s="540"/>
      <c r="FJ61" s="540"/>
      <c r="FK61" s="171" t="s">
        <v>504</v>
      </c>
      <c r="FL61" s="16" t="s">
        <v>512</v>
      </c>
      <c r="FM61" s="171" t="e">
        <f>FM60/12.5/12</f>
        <v>#REF!</v>
      </c>
      <c r="FN61" s="171"/>
    </row>
    <row r="62" spans="1:178" s="16" customFormat="1" x14ac:dyDescent="0.25">
      <c r="A62" s="607" t="s">
        <v>56</v>
      </c>
      <c r="B62" s="608"/>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9"/>
      <c r="AD62" s="560">
        <f>AD30+AD39+AD61</f>
        <v>94.4</v>
      </c>
      <c r="AE62" s="560"/>
      <c r="AF62" s="560"/>
      <c r="AG62" s="560"/>
      <c r="AH62" s="560"/>
      <c r="AI62" s="560"/>
      <c r="AJ62" s="560"/>
      <c r="AK62" s="560"/>
      <c r="AL62" s="560"/>
      <c r="AM62" s="560"/>
      <c r="AN62" s="560"/>
      <c r="AO62" s="560"/>
      <c r="AP62" s="560"/>
      <c r="AQ62" s="560"/>
      <c r="AR62" s="560"/>
      <c r="AS62" s="560"/>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c r="CA62" s="582"/>
      <c r="CB62" s="582"/>
      <c r="CC62" s="582"/>
      <c r="CD62" s="582"/>
      <c r="CE62" s="582"/>
      <c r="CF62" s="582"/>
      <c r="CG62" s="582"/>
      <c r="CH62" s="582"/>
      <c r="CI62" s="582"/>
      <c r="CJ62" s="582"/>
      <c r="CK62" s="582"/>
      <c r="CL62" s="582"/>
      <c r="CM62" s="582"/>
      <c r="CN62" s="582"/>
      <c r="CO62" s="582"/>
      <c r="CP62" s="582"/>
      <c r="CQ62" s="582"/>
      <c r="CR62" s="582"/>
      <c r="CS62" s="582"/>
      <c r="CT62" s="582"/>
      <c r="CU62" s="582"/>
      <c r="CV62" s="582"/>
      <c r="CW62" s="582"/>
      <c r="CX62" s="582"/>
      <c r="CY62" s="582"/>
      <c r="CZ62" s="582"/>
      <c r="DA62" s="582"/>
      <c r="DB62" s="582"/>
      <c r="DC62" s="582"/>
      <c r="DD62" s="582"/>
      <c r="DE62" s="582"/>
      <c r="DF62" s="582"/>
      <c r="DG62" s="582"/>
      <c r="DH62" s="582"/>
      <c r="DI62" s="582"/>
      <c r="DJ62" s="582"/>
      <c r="DK62" s="582"/>
      <c r="DL62" s="582"/>
      <c r="DM62" s="582"/>
      <c r="DN62" s="582"/>
      <c r="DO62" s="582"/>
      <c r="DP62" s="582"/>
      <c r="DQ62" s="582"/>
      <c r="DR62" s="582"/>
      <c r="DS62" s="582"/>
      <c r="DT62" s="582"/>
      <c r="DU62" s="582"/>
      <c r="DV62" s="582"/>
      <c r="DW62" s="582"/>
      <c r="DX62" s="582"/>
      <c r="DY62" s="582"/>
      <c r="DZ62" s="582"/>
      <c r="EA62" s="582"/>
      <c r="EB62" s="582"/>
      <c r="EC62" s="582"/>
      <c r="ED62" s="582"/>
      <c r="EE62" s="582"/>
      <c r="EF62" s="582"/>
      <c r="EG62" s="582"/>
      <c r="EH62" s="582"/>
      <c r="EI62" s="582"/>
      <c r="EJ62" s="582"/>
      <c r="EK62" s="582"/>
      <c r="EL62" s="582"/>
      <c r="EM62" s="582"/>
      <c r="EN62" s="582"/>
      <c r="EO62" s="582"/>
      <c r="EP62" s="582"/>
      <c r="EQ62" s="582"/>
      <c r="ER62" s="582"/>
      <c r="ES62" s="582"/>
      <c r="ET62" s="611">
        <f>ET30+ET39+ET61</f>
        <v>88536312.756188005</v>
      </c>
      <c r="EU62" s="560"/>
      <c r="EV62" s="560"/>
      <c r="EW62" s="560"/>
      <c r="EX62" s="560"/>
      <c r="EY62" s="560"/>
      <c r="EZ62" s="560"/>
      <c r="FA62" s="560"/>
      <c r="FB62" s="560"/>
      <c r="FC62" s="560"/>
      <c r="FD62" s="560"/>
      <c r="FE62" s="560"/>
      <c r="FF62" s="560"/>
      <c r="FG62" s="560"/>
      <c r="FH62" s="560"/>
      <c r="FI62" s="560"/>
      <c r="FJ62" s="560"/>
      <c r="FK62" s="171">
        <f>57429116.59+263960.18+134802.5+0.03</f>
        <v>57827879.300000004</v>
      </c>
      <c r="FN62" s="152"/>
      <c r="FO62" s="16">
        <v>88536312.760000005</v>
      </c>
    </row>
    <row r="63" spans="1:178" x14ac:dyDescent="0.25">
      <c r="ET63" s="610">
        <v>88536312.760000005</v>
      </c>
      <c r="EU63" s="539"/>
      <c r="EV63" s="539"/>
      <c r="EW63" s="539"/>
      <c r="EX63" s="539"/>
      <c r="EY63" s="539"/>
      <c r="EZ63" s="539"/>
      <c r="FA63" s="539"/>
      <c r="FB63" s="539"/>
      <c r="FC63" s="539"/>
      <c r="FD63" s="539"/>
      <c r="FE63" s="539"/>
      <c r="FF63" s="539"/>
      <c r="FG63" s="539"/>
      <c r="FH63" s="539"/>
      <c r="FI63" s="539"/>
      <c r="FJ63" s="539"/>
      <c r="FN63" s="176"/>
      <c r="FO63" s="177"/>
    </row>
    <row r="64" spans="1:178" s="20" customFormat="1" ht="13.8" x14ac:dyDescent="0.25">
      <c r="A64" s="20" t="s">
        <v>47</v>
      </c>
      <c r="AC64" s="595" t="s">
        <v>466</v>
      </c>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595"/>
      <c r="CR64" s="595"/>
      <c r="CS64" s="595"/>
      <c r="CT64" s="595"/>
      <c r="CU64" s="595"/>
      <c r="CV64" s="595"/>
      <c r="CW64" s="595"/>
      <c r="CX64" s="595"/>
      <c r="CY64" s="595"/>
      <c r="CZ64" s="595"/>
      <c r="DA64" s="595"/>
      <c r="DB64" s="595"/>
      <c r="DC64" s="595"/>
      <c r="DD64" s="595"/>
      <c r="DE64" s="595"/>
      <c r="DF64" s="595"/>
      <c r="DG64" s="595"/>
      <c r="DH64" s="595"/>
      <c r="DI64" s="595"/>
      <c r="DJ64" s="595"/>
      <c r="DK64" s="595"/>
      <c r="DL64" s="595"/>
      <c r="DM64" s="595"/>
      <c r="DN64" s="595"/>
      <c r="DO64" s="595"/>
      <c r="DP64" s="595"/>
      <c r="DQ64" s="595"/>
      <c r="DR64" s="595"/>
      <c r="DS64" s="595"/>
      <c r="DT64" s="595"/>
      <c r="DU64" s="595"/>
      <c r="DV64" s="595"/>
      <c r="DW64" s="595"/>
      <c r="DX64" s="595"/>
      <c r="DY64" s="595"/>
      <c r="DZ64" s="595"/>
      <c r="EA64" s="595"/>
      <c r="EB64" s="595"/>
      <c r="EC64" s="595"/>
      <c r="ED64" s="595"/>
      <c r="EE64" s="595"/>
      <c r="EF64" s="595"/>
      <c r="EG64" s="595"/>
      <c r="EH64" s="595"/>
      <c r="EI64" s="595"/>
      <c r="EJ64" s="595"/>
      <c r="EK64" s="595"/>
      <c r="EL64" s="595"/>
      <c r="EM64" s="595"/>
      <c r="EN64" s="595"/>
      <c r="EO64" s="595"/>
      <c r="EP64" s="595"/>
      <c r="EQ64" s="595"/>
      <c r="ER64" s="595"/>
      <c r="ES64" s="595"/>
      <c r="ET64" s="595"/>
      <c r="EU64" s="595"/>
      <c r="EV64" s="595"/>
      <c r="EW64" s="595"/>
      <c r="EX64" s="595"/>
      <c r="EY64" s="595"/>
      <c r="EZ64" s="595"/>
      <c r="FA64" s="595"/>
      <c r="FB64" s="595"/>
      <c r="FC64" s="595"/>
      <c r="FD64" s="595"/>
      <c r="FE64" s="595"/>
      <c r="FF64" s="595"/>
      <c r="FG64" s="595"/>
      <c r="FH64" s="595"/>
      <c r="FI64" s="595"/>
      <c r="FJ64" s="595"/>
      <c r="FK64" s="13" t="s">
        <v>532</v>
      </c>
      <c r="FL64" s="154"/>
      <c r="FN64" s="154"/>
    </row>
    <row r="65" spans="1:170" customFormat="1" ht="14.4" x14ac:dyDescent="0.3">
      <c r="FN65" s="155"/>
    </row>
    <row r="66" spans="1:170" s="20" customFormat="1" ht="13.8" x14ac:dyDescent="0.25">
      <c r="A66" s="594" t="s">
        <v>48</v>
      </c>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6" t="s">
        <v>533</v>
      </c>
      <c r="AV66" s="596"/>
      <c r="AW66" s="596"/>
      <c r="AX66" s="596"/>
      <c r="AY66" s="596"/>
      <c r="AZ66" s="596"/>
      <c r="BA66" s="596"/>
      <c r="BB66" s="596"/>
      <c r="BC66" s="596"/>
      <c r="BD66" s="596"/>
      <c r="BE66" s="596"/>
      <c r="BF66" s="596"/>
      <c r="BG66" s="596"/>
      <c r="BH66" s="596"/>
      <c r="BI66" s="596"/>
      <c r="BJ66" s="596"/>
      <c r="BK66" s="596"/>
      <c r="BL66" s="596"/>
      <c r="BM66" s="596"/>
      <c r="BN66" s="596"/>
      <c r="BO66" s="596"/>
      <c r="BP66" s="596"/>
      <c r="BQ66" s="596"/>
      <c r="BR66" s="596"/>
      <c r="BS66" s="596"/>
      <c r="BT66" s="596"/>
      <c r="BU66" s="596"/>
      <c r="BV66" s="596"/>
      <c r="BW66" s="596"/>
      <c r="BX66" s="596"/>
      <c r="BY66" s="596"/>
      <c r="BZ66" s="596"/>
      <c r="CA66" s="596"/>
      <c r="CB66" s="596"/>
      <c r="CC66" s="596"/>
      <c r="CD66" s="596"/>
      <c r="CE66" s="596"/>
      <c r="CF66" s="596"/>
      <c r="CG66" s="596"/>
      <c r="CH66" s="596"/>
      <c r="CI66" s="596"/>
      <c r="CJ66" s="596"/>
      <c r="CK66" s="596"/>
      <c r="CL66" s="596"/>
      <c r="CM66" s="596"/>
      <c r="CN66" s="596"/>
      <c r="CO66" s="596"/>
      <c r="CP66" s="596"/>
      <c r="CQ66" s="596"/>
      <c r="CR66" s="596"/>
      <c r="CS66" s="596"/>
      <c r="CT66" s="596"/>
      <c r="CU66" s="596"/>
      <c r="CV66" s="596"/>
      <c r="CW66" s="596"/>
      <c r="CX66" s="596"/>
      <c r="CY66" s="596"/>
      <c r="CZ66" s="596"/>
      <c r="DA66" s="596"/>
      <c r="DB66" s="596"/>
      <c r="DC66" s="596"/>
      <c r="DD66" s="596"/>
      <c r="DE66" s="596"/>
      <c r="DF66" s="596"/>
      <c r="DG66" s="596"/>
      <c r="DH66" s="596"/>
      <c r="DI66" s="596"/>
      <c r="DJ66" s="596"/>
      <c r="DK66" s="596"/>
      <c r="DL66" s="596"/>
      <c r="DM66" s="596"/>
      <c r="DN66" s="596"/>
      <c r="DO66" s="596"/>
      <c r="DP66" s="596"/>
      <c r="DQ66" s="596"/>
      <c r="DR66" s="596"/>
      <c r="DS66" s="596"/>
      <c r="DT66" s="596"/>
      <c r="DU66" s="596"/>
      <c r="DV66" s="596"/>
      <c r="DW66" s="596"/>
      <c r="DX66" s="596"/>
      <c r="DY66" s="596"/>
      <c r="DZ66" s="596"/>
      <c r="EA66" s="596"/>
      <c r="EB66" s="596"/>
      <c r="EC66" s="596"/>
      <c r="ED66" s="596"/>
      <c r="EE66" s="596"/>
      <c r="EF66" s="596"/>
      <c r="EG66" s="596"/>
      <c r="EH66" s="596"/>
      <c r="EI66" s="596"/>
      <c r="EJ66" s="596"/>
      <c r="EK66" s="596"/>
      <c r="EL66" s="596"/>
      <c r="EM66" s="596"/>
      <c r="EN66" s="596"/>
      <c r="EO66" s="596"/>
      <c r="EP66" s="596"/>
      <c r="EQ66" s="596"/>
      <c r="ER66" s="596"/>
      <c r="ES66" s="596"/>
      <c r="ET66" s="596"/>
      <c r="EU66" s="596"/>
      <c r="EV66" s="596"/>
      <c r="EW66" s="596"/>
      <c r="EX66" s="596"/>
      <c r="EY66" s="596"/>
      <c r="EZ66" s="596"/>
      <c r="FA66" s="596"/>
      <c r="FB66" s="596"/>
      <c r="FC66" s="596"/>
      <c r="FD66" s="596"/>
      <c r="FE66" s="596"/>
      <c r="FF66" s="596"/>
      <c r="FG66" s="596"/>
      <c r="FH66" s="596"/>
      <c r="FI66" s="596"/>
      <c r="FJ66" s="596"/>
      <c r="FL66" s="154"/>
      <c r="FN66" s="154"/>
    </row>
    <row r="69" spans="1:170" s="18" customFormat="1" ht="12.75" customHeight="1" x14ac:dyDescent="0.3">
      <c r="A69" s="597" t="s">
        <v>49</v>
      </c>
      <c r="B69" s="598"/>
      <c r="C69" s="598"/>
      <c r="D69" s="598"/>
      <c r="E69" s="598"/>
      <c r="F69" s="599"/>
      <c r="G69" s="597" t="s">
        <v>251</v>
      </c>
      <c r="H69" s="598"/>
      <c r="I69" s="598"/>
      <c r="J69" s="598"/>
      <c r="K69" s="598"/>
      <c r="L69" s="598"/>
      <c r="M69" s="598"/>
      <c r="N69" s="598"/>
      <c r="O69" s="598"/>
      <c r="P69" s="598"/>
      <c r="Q69" s="598"/>
      <c r="R69" s="598"/>
      <c r="S69" s="598"/>
      <c r="T69" s="598"/>
      <c r="U69" s="598"/>
      <c r="V69" s="598"/>
      <c r="W69" s="598"/>
      <c r="X69" s="598"/>
      <c r="Y69" s="598"/>
      <c r="Z69" s="598"/>
      <c r="AA69" s="598"/>
      <c r="AB69" s="598"/>
      <c r="AC69" s="599"/>
      <c r="AD69" s="597" t="s">
        <v>50</v>
      </c>
      <c r="AE69" s="598"/>
      <c r="AF69" s="598"/>
      <c r="AG69" s="598"/>
      <c r="AH69" s="598"/>
      <c r="AI69" s="598"/>
      <c r="AJ69" s="598"/>
      <c r="AK69" s="598"/>
      <c r="AL69" s="598"/>
      <c r="AM69" s="598"/>
      <c r="AN69" s="598"/>
      <c r="AO69" s="598"/>
      <c r="AP69" s="598"/>
      <c r="AQ69" s="598"/>
      <c r="AR69" s="598"/>
      <c r="AS69" s="599"/>
      <c r="AT69" s="475" t="s">
        <v>51</v>
      </c>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c r="DK69" s="476"/>
      <c r="DL69" s="476"/>
      <c r="DM69" s="477"/>
      <c r="DN69" s="597" t="s">
        <v>52</v>
      </c>
      <c r="DO69" s="598"/>
      <c r="DP69" s="598"/>
      <c r="DQ69" s="598"/>
      <c r="DR69" s="598"/>
      <c r="DS69" s="598"/>
      <c r="DT69" s="598"/>
      <c r="DU69" s="598"/>
      <c r="DV69" s="598"/>
      <c r="DW69" s="598"/>
      <c r="DX69" s="598"/>
      <c r="DY69" s="598"/>
      <c r="DZ69" s="598"/>
      <c r="EA69" s="598"/>
      <c r="EB69" s="598"/>
      <c r="EC69" s="599"/>
      <c r="ED69" s="597" t="s">
        <v>100</v>
      </c>
      <c r="EE69" s="598"/>
      <c r="EF69" s="598"/>
      <c r="EG69" s="598"/>
      <c r="EH69" s="598"/>
      <c r="EI69" s="598"/>
      <c r="EJ69" s="598"/>
      <c r="EK69" s="598"/>
      <c r="EL69" s="598"/>
      <c r="EM69" s="598"/>
      <c r="EN69" s="598"/>
      <c r="EO69" s="598"/>
      <c r="EP69" s="598"/>
      <c r="EQ69" s="598"/>
      <c r="ER69" s="598"/>
      <c r="ES69" s="599"/>
      <c r="ET69" s="597" t="s">
        <v>101</v>
      </c>
      <c r="EU69" s="598"/>
      <c r="EV69" s="598"/>
      <c r="EW69" s="598"/>
      <c r="EX69" s="598"/>
      <c r="EY69" s="598"/>
      <c r="EZ69" s="598"/>
      <c r="FA69" s="598"/>
      <c r="FB69" s="598"/>
      <c r="FC69" s="598"/>
      <c r="FD69" s="598"/>
      <c r="FE69" s="598"/>
      <c r="FF69" s="598"/>
      <c r="FG69" s="598"/>
      <c r="FH69" s="598"/>
      <c r="FI69" s="598"/>
      <c r="FJ69" s="599"/>
      <c r="FN69" s="178"/>
    </row>
    <row r="70" spans="1:170" s="18" customFormat="1" ht="24.9" customHeight="1" x14ac:dyDescent="0.3">
      <c r="A70" s="600"/>
      <c r="B70" s="601"/>
      <c r="C70" s="601"/>
      <c r="D70" s="601"/>
      <c r="E70" s="601"/>
      <c r="F70" s="602"/>
      <c r="G70" s="600"/>
      <c r="H70" s="601"/>
      <c r="I70" s="601"/>
      <c r="J70" s="601"/>
      <c r="K70" s="601"/>
      <c r="L70" s="601"/>
      <c r="M70" s="601"/>
      <c r="N70" s="601"/>
      <c r="O70" s="601"/>
      <c r="P70" s="601"/>
      <c r="Q70" s="601"/>
      <c r="R70" s="601"/>
      <c r="S70" s="601"/>
      <c r="T70" s="601"/>
      <c r="U70" s="601"/>
      <c r="V70" s="601"/>
      <c r="W70" s="601"/>
      <c r="X70" s="601"/>
      <c r="Y70" s="601"/>
      <c r="Z70" s="601"/>
      <c r="AA70" s="601"/>
      <c r="AB70" s="601"/>
      <c r="AC70" s="602"/>
      <c r="AD70" s="600"/>
      <c r="AE70" s="601"/>
      <c r="AF70" s="601"/>
      <c r="AG70" s="601"/>
      <c r="AH70" s="601"/>
      <c r="AI70" s="601"/>
      <c r="AJ70" s="601"/>
      <c r="AK70" s="601"/>
      <c r="AL70" s="601"/>
      <c r="AM70" s="601"/>
      <c r="AN70" s="601"/>
      <c r="AO70" s="601"/>
      <c r="AP70" s="601"/>
      <c r="AQ70" s="601"/>
      <c r="AR70" s="601"/>
      <c r="AS70" s="602"/>
      <c r="AT70" s="597" t="s">
        <v>2</v>
      </c>
      <c r="AU70" s="598"/>
      <c r="AV70" s="598"/>
      <c r="AW70" s="598"/>
      <c r="AX70" s="598"/>
      <c r="AY70" s="598"/>
      <c r="AZ70" s="598"/>
      <c r="BA70" s="598"/>
      <c r="BB70" s="598"/>
      <c r="BC70" s="598"/>
      <c r="BD70" s="598"/>
      <c r="BE70" s="598"/>
      <c r="BF70" s="598"/>
      <c r="BG70" s="598"/>
      <c r="BH70" s="598"/>
      <c r="BI70" s="598"/>
      <c r="BJ70" s="599"/>
      <c r="BK70" s="475" t="s">
        <v>3</v>
      </c>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c r="DK70" s="476"/>
      <c r="DL70" s="476"/>
      <c r="DM70" s="477"/>
      <c r="DN70" s="600"/>
      <c r="DO70" s="601"/>
      <c r="DP70" s="601"/>
      <c r="DQ70" s="601"/>
      <c r="DR70" s="601"/>
      <c r="DS70" s="601"/>
      <c r="DT70" s="601"/>
      <c r="DU70" s="601"/>
      <c r="DV70" s="601"/>
      <c r="DW70" s="601"/>
      <c r="DX70" s="601"/>
      <c r="DY70" s="601"/>
      <c r="DZ70" s="601"/>
      <c r="EA70" s="601"/>
      <c r="EB70" s="601"/>
      <c r="EC70" s="602"/>
      <c r="ED70" s="600"/>
      <c r="EE70" s="601"/>
      <c r="EF70" s="601"/>
      <c r="EG70" s="601"/>
      <c r="EH70" s="601"/>
      <c r="EI70" s="601"/>
      <c r="EJ70" s="601"/>
      <c r="EK70" s="601"/>
      <c r="EL70" s="601"/>
      <c r="EM70" s="601"/>
      <c r="EN70" s="601"/>
      <c r="EO70" s="601"/>
      <c r="EP70" s="601"/>
      <c r="EQ70" s="601"/>
      <c r="ER70" s="601"/>
      <c r="ES70" s="602"/>
      <c r="ET70" s="600"/>
      <c r="EU70" s="601"/>
      <c r="EV70" s="601"/>
      <c r="EW70" s="601"/>
      <c r="EX70" s="601"/>
      <c r="EY70" s="601"/>
      <c r="EZ70" s="601"/>
      <c r="FA70" s="601"/>
      <c r="FB70" s="601"/>
      <c r="FC70" s="601"/>
      <c r="FD70" s="601"/>
      <c r="FE70" s="601"/>
      <c r="FF70" s="601"/>
      <c r="FG70" s="601"/>
      <c r="FH70" s="601"/>
      <c r="FI70" s="601"/>
      <c r="FJ70" s="602"/>
      <c r="FN70" s="178"/>
    </row>
    <row r="71" spans="1:170" s="18" customFormat="1" ht="45.75" customHeight="1" x14ac:dyDescent="0.3">
      <c r="A71" s="603"/>
      <c r="B71" s="604"/>
      <c r="C71" s="604"/>
      <c r="D71" s="604"/>
      <c r="E71" s="604"/>
      <c r="F71" s="605"/>
      <c r="G71" s="603"/>
      <c r="H71" s="604"/>
      <c r="I71" s="604"/>
      <c r="J71" s="604"/>
      <c r="K71" s="604"/>
      <c r="L71" s="604"/>
      <c r="M71" s="604"/>
      <c r="N71" s="604"/>
      <c r="O71" s="604"/>
      <c r="P71" s="604"/>
      <c r="Q71" s="604"/>
      <c r="R71" s="604"/>
      <c r="S71" s="604"/>
      <c r="T71" s="604"/>
      <c r="U71" s="604"/>
      <c r="V71" s="604"/>
      <c r="W71" s="604"/>
      <c r="X71" s="604"/>
      <c r="Y71" s="604"/>
      <c r="Z71" s="604"/>
      <c r="AA71" s="604"/>
      <c r="AB71" s="604"/>
      <c r="AC71" s="605"/>
      <c r="AD71" s="603"/>
      <c r="AE71" s="604"/>
      <c r="AF71" s="604"/>
      <c r="AG71" s="604"/>
      <c r="AH71" s="604"/>
      <c r="AI71" s="604"/>
      <c r="AJ71" s="604"/>
      <c r="AK71" s="604"/>
      <c r="AL71" s="604"/>
      <c r="AM71" s="604"/>
      <c r="AN71" s="604"/>
      <c r="AO71" s="604"/>
      <c r="AP71" s="604"/>
      <c r="AQ71" s="604"/>
      <c r="AR71" s="604"/>
      <c r="AS71" s="605"/>
      <c r="AT71" s="603"/>
      <c r="AU71" s="604"/>
      <c r="AV71" s="604"/>
      <c r="AW71" s="604"/>
      <c r="AX71" s="604"/>
      <c r="AY71" s="604"/>
      <c r="AZ71" s="604"/>
      <c r="BA71" s="604"/>
      <c r="BB71" s="604"/>
      <c r="BC71" s="604"/>
      <c r="BD71" s="604"/>
      <c r="BE71" s="604"/>
      <c r="BF71" s="604"/>
      <c r="BG71" s="604"/>
      <c r="BH71" s="604"/>
      <c r="BI71" s="604"/>
      <c r="BJ71" s="605"/>
      <c r="BK71" s="606" t="s">
        <v>53</v>
      </c>
      <c r="BL71" s="606"/>
      <c r="BM71" s="606"/>
      <c r="BN71" s="606"/>
      <c r="BO71" s="606"/>
      <c r="BP71" s="606"/>
      <c r="BQ71" s="606"/>
      <c r="BR71" s="606"/>
      <c r="BS71" s="606"/>
      <c r="BT71" s="606"/>
      <c r="BU71" s="606"/>
      <c r="BV71" s="606"/>
      <c r="BW71" s="606"/>
      <c r="BX71" s="606"/>
      <c r="BY71" s="606"/>
      <c r="BZ71" s="606"/>
      <c r="CA71" s="606"/>
      <c r="CB71" s="606"/>
      <c r="CC71" s="606" t="s">
        <v>54</v>
      </c>
      <c r="CD71" s="606"/>
      <c r="CE71" s="606"/>
      <c r="CF71" s="606"/>
      <c r="CG71" s="606"/>
      <c r="CH71" s="606"/>
      <c r="CI71" s="606"/>
      <c r="CJ71" s="606"/>
      <c r="CK71" s="606"/>
      <c r="CL71" s="606"/>
      <c r="CM71" s="606"/>
      <c r="CN71" s="606"/>
      <c r="CO71" s="606"/>
      <c r="CP71" s="606"/>
      <c r="CQ71" s="606"/>
      <c r="CR71" s="606"/>
      <c r="CS71" s="606"/>
      <c r="CT71" s="606"/>
      <c r="CU71" s="606"/>
      <c r="CV71" s="606" t="s">
        <v>55</v>
      </c>
      <c r="CW71" s="606"/>
      <c r="CX71" s="606"/>
      <c r="CY71" s="606"/>
      <c r="CZ71" s="606"/>
      <c r="DA71" s="606"/>
      <c r="DB71" s="606"/>
      <c r="DC71" s="606"/>
      <c r="DD71" s="606"/>
      <c r="DE71" s="606"/>
      <c r="DF71" s="606"/>
      <c r="DG71" s="606"/>
      <c r="DH71" s="606"/>
      <c r="DI71" s="606"/>
      <c r="DJ71" s="606"/>
      <c r="DK71" s="606"/>
      <c r="DL71" s="606"/>
      <c r="DM71" s="606"/>
      <c r="DN71" s="603"/>
      <c r="DO71" s="604"/>
      <c r="DP71" s="604"/>
      <c r="DQ71" s="604"/>
      <c r="DR71" s="604"/>
      <c r="DS71" s="604"/>
      <c r="DT71" s="604"/>
      <c r="DU71" s="604"/>
      <c r="DV71" s="604"/>
      <c r="DW71" s="604"/>
      <c r="DX71" s="604"/>
      <c r="DY71" s="604"/>
      <c r="DZ71" s="604"/>
      <c r="EA71" s="604"/>
      <c r="EB71" s="604"/>
      <c r="EC71" s="605"/>
      <c r="ED71" s="603"/>
      <c r="EE71" s="604"/>
      <c r="EF71" s="604"/>
      <c r="EG71" s="604"/>
      <c r="EH71" s="604"/>
      <c r="EI71" s="604"/>
      <c r="EJ71" s="604"/>
      <c r="EK71" s="604"/>
      <c r="EL71" s="604"/>
      <c r="EM71" s="604"/>
      <c r="EN71" s="604"/>
      <c r="EO71" s="604"/>
      <c r="EP71" s="604"/>
      <c r="EQ71" s="604"/>
      <c r="ER71" s="604"/>
      <c r="ES71" s="605"/>
      <c r="ET71" s="603"/>
      <c r="EU71" s="604"/>
      <c r="EV71" s="604"/>
      <c r="EW71" s="604"/>
      <c r="EX71" s="604"/>
      <c r="EY71" s="604"/>
      <c r="EZ71" s="604"/>
      <c r="FA71" s="604"/>
      <c r="FB71" s="604"/>
      <c r="FC71" s="604"/>
      <c r="FD71" s="604"/>
      <c r="FE71" s="604"/>
      <c r="FF71" s="604"/>
      <c r="FG71" s="604"/>
      <c r="FH71" s="604"/>
      <c r="FI71" s="604"/>
      <c r="FJ71" s="605"/>
      <c r="FN71" s="178"/>
    </row>
    <row r="72" spans="1:170" s="15" customFormat="1" x14ac:dyDescent="0.3">
      <c r="A72" s="591">
        <v>1</v>
      </c>
      <c r="B72" s="591"/>
      <c r="C72" s="591"/>
      <c r="D72" s="591"/>
      <c r="E72" s="591"/>
      <c r="F72" s="591"/>
      <c r="G72" s="591">
        <v>2</v>
      </c>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v>3</v>
      </c>
      <c r="AE72" s="591"/>
      <c r="AF72" s="591"/>
      <c r="AG72" s="591"/>
      <c r="AH72" s="591"/>
      <c r="AI72" s="591"/>
      <c r="AJ72" s="591"/>
      <c r="AK72" s="591"/>
      <c r="AL72" s="591"/>
      <c r="AM72" s="591"/>
      <c r="AN72" s="591"/>
      <c r="AO72" s="591"/>
      <c r="AP72" s="591"/>
      <c r="AQ72" s="591"/>
      <c r="AR72" s="591"/>
      <c r="AS72" s="591"/>
      <c r="AT72" s="591">
        <v>4</v>
      </c>
      <c r="AU72" s="591"/>
      <c r="AV72" s="591"/>
      <c r="AW72" s="591"/>
      <c r="AX72" s="591"/>
      <c r="AY72" s="591"/>
      <c r="AZ72" s="591"/>
      <c r="BA72" s="591"/>
      <c r="BB72" s="591"/>
      <c r="BC72" s="591"/>
      <c r="BD72" s="591"/>
      <c r="BE72" s="591"/>
      <c r="BF72" s="591"/>
      <c r="BG72" s="591"/>
      <c r="BH72" s="591"/>
      <c r="BI72" s="591"/>
      <c r="BJ72" s="591"/>
      <c r="BK72" s="591">
        <v>5</v>
      </c>
      <c r="BL72" s="591"/>
      <c r="BM72" s="591"/>
      <c r="BN72" s="591"/>
      <c r="BO72" s="591"/>
      <c r="BP72" s="591"/>
      <c r="BQ72" s="591"/>
      <c r="BR72" s="591"/>
      <c r="BS72" s="591"/>
      <c r="BT72" s="591"/>
      <c r="BU72" s="591"/>
      <c r="BV72" s="591"/>
      <c r="BW72" s="591"/>
      <c r="BX72" s="591"/>
      <c r="BY72" s="591"/>
      <c r="BZ72" s="591"/>
      <c r="CA72" s="591"/>
      <c r="CB72" s="591"/>
      <c r="CC72" s="591">
        <v>6</v>
      </c>
      <c r="CD72" s="591"/>
      <c r="CE72" s="591"/>
      <c r="CF72" s="591"/>
      <c r="CG72" s="591"/>
      <c r="CH72" s="591"/>
      <c r="CI72" s="591"/>
      <c r="CJ72" s="591"/>
      <c r="CK72" s="591"/>
      <c r="CL72" s="591"/>
      <c r="CM72" s="591"/>
      <c r="CN72" s="591"/>
      <c r="CO72" s="591"/>
      <c r="CP72" s="591"/>
      <c r="CQ72" s="591"/>
      <c r="CR72" s="591"/>
      <c r="CS72" s="591"/>
      <c r="CT72" s="591"/>
      <c r="CU72" s="591"/>
      <c r="CV72" s="591">
        <v>7</v>
      </c>
      <c r="CW72" s="591"/>
      <c r="CX72" s="591"/>
      <c r="CY72" s="591"/>
      <c r="CZ72" s="591"/>
      <c r="DA72" s="591"/>
      <c r="DB72" s="591"/>
      <c r="DC72" s="591"/>
      <c r="DD72" s="591"/>
      <c r="DE72" s="591"/>
      <c r="DF72" s="591"/>
      <c r="DG72" s="591"/>
      <c r="DH72" s="591"/>
      <c r="DI72" s="591"/>
      <c r="DJ72" s="591"/>
      <c r="DK72" s="591"/>
      <c r="DL72" s="591"/>
      <c r="DM72" s="591"/>
      <c r="DN72" s="591">
        <v>8</v>
      </c>
      <c r="DO72" s="591"/>
      <c r="DP72" s="591"/>
      <c r="DQ72" s="591"/>
      <c r="DR72" s="591"/>
      <c r="DS72" s="591"/>
      <c r="DT72" s="591"/>
      <c r="DU72" s="591"/>
      <c r="DV72" s="591"/>
      <c r="DW72" s="591"/>
      <c r="DX72" s="591"/>
      <c r="DY72" s="591"/>
      <c r="DZ72" s="591"/>
      <c r="EA72" s="591"/>
      <c r="EB72" s="591"/>
      <c r="EC72" s="591"/>
      <c r="ED72" s="591">
        <v>9</v>
      </c>
      <c r="EE72" s="591"/>
      <c r="EF72" s="591"/>
      <c r="EG72" s="591"/>
      <c r="EH72" s="591"/>
      <c r="EI72" s="591"/>
      <c r="EJ72" s="591"/>
      <c r="EK72" s="591"/>
      <c r="EL72" s="591"/>
      <c r="EM72" s="591"/>
      <c r="EN72" s="591"/>
      <c r="EO72" s="591"/>
      <c r="EP72" s="591"/>
      <c r="EQ72" s="591"/>
      <c r="ER72" s="591"/>
      <c r="ES72" s="591"/>
      <c r="ET72" s="591">
        <v>10</v>
      </c>
      <c r="EU72" s="591"/>
      <c r="EV72" s="591"/>
      <c r="EW72" s="591"/>
      <c r="EX72" s="591"/>
      <c r="EY72" s="591"/>
      <c r="EZ72" s="591"/>
      <c r="FA72" s="591"/>
      <c r="FB72" s="591"/>
      <c r="FC72" s="591"/>
      <c r="FD72" s="591"/>
      <c r="FE72" s="591"/>
      <c r="FF72" s="591"/>
      <c r="FG72" s="591"/>
      <c r="FH72" s="591"/>
      <c r="FI72" s="591"/>
      <c r="FJ72" s="591"/>
      <c r="FK72" s="179"/>
      <c r="FN72" s="179"/>
    </row>
    <row r="73" spans="1:170" s="16" customFormat="1" ht="15" customHeight="1" x14ac:dyDescent="0.3">
      <c r="A73" s="475" t="s">
        <v>255</v>
      </c>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6"/>
      <c r="CS73" s="476"/>
      <c r="CT73" s="476"/>
      <c r="CU73" s="476"/>
      <c r="CV73" s="476"/>
      <c r="CW73" s="476"/>
      <c r="CX73" s="476"/>
      <c r="CY73" s="476"/>
      <c r="CZ73" s="476"/>
      <c r="DA73" s="476"/>
      <c r="DB73" s="476"/>
      <c r="DC73" s="476"/>
      <c r="DD73" s="476"/>
      <c r="DE73" s="476"/>
      <c r="DF73" s="476"/>
      <c r="DG73" s="476"/>
      <c r="DH73" s="476"/>
      <c r="DI73" s="476"/>
      <c r="DJ73" s="476"/>
      <c r="DK73" s="476"/>
      <c r="DL73" s="476"/>
      <c r="DM73" s="476"/>
      <c r="DN73" s="476"/>
      <c r="DO73" s="476"/>
      <c r="DP73" s="476"/>
      <c r="DQ73" s="476"/>
      <c r="DR73" s="476"/>
      <c r="DS73" s="476"/>
      <c r="DT73" s="476"/>
      <c r="DU73" s="476"/>
      <c r="DV73" s="476"/>
      <c r="DW73" s="476"/>
      <c r="DX73" s="476"/>
      <c r="DY73" s="476"/>
      <c r="DZ73" s="476"/>
      <c r="EA73" s="476"/>
      <c r="EB73" s="476"/>
      <c r="EC73" s="476"/>
      <c r="ED73" s="476"/>
      <c r="EE73" s="476"/>
      <c r="EF73" s="476"/>
      <c r="EG73" s="476"/>
      <c r="EH73" s="476"/>
      <c r="EI73" s="476"/>
      <c r="EJ73" s="476"/>
      <c r="EK73" s="476"/>
      <c r="EL73" s="476"/>
      <c r="EM73" s="476"/>
      <c r="EN73" s="476"/>
      <c r="EO73" s="476"/>
      <c r="EP73" s="476"/>
      <c r="EQ73" s="476"/>
      <c r="ER73" s="476"/>
      <c r="ES73" s="476"/>
      <c r="ET73" s="476"/>
      <c r="EU73" s="476"/>
      <c r="EV73" s="476"/>
      <c r="EW73" s="476"/>
      <c r="EX73" s="476"/>
      <c r="EY73" s="476"/>
      <c r="EZ73" s="476"/>
      <c r="FA73" s="476"/>
      <c r="FB73" s="476"/>
      <c r="FC73" s="476"/>
      <c r="FD73" s="476"/>
      <c r="FE73" s="476"/>
      <c r="FF73" s="476"/>
      <c r="FG73" s="476"/>
      <c r="FH73" s="476"/>
      <c r="FI73" s="476"/>
      <c r="FJ73" s="477"/>
      <c r="FK73" s="171"/>
      <c r="FN73" s="171"/>
    </row>
    <row r="74" spans="1:170" s="16" customFormat="1" ht="13.2" customHeight="1" x14ac:dyDescent="0.3">
      <c r="A74" s="581"/>
      <c r="B74" s="581"/>
      <c r="C74" s="581"/>
      <c r="D74" s="581"/>
      <c r="E74" s="581"/>
      <c r="F74" s="581"/>
      <c r="G74" s="584"/>
      <c r="H74" s="585"/>
      <c r="I74" s="585"/>
      <c r="J74" s="585"/>
      <c r="K74" s="585"/>
      <c r="L74" s="585"/>
      <c r="M74" s="585"/>
      <c r="N74" s="585"/>
      <c r="O74" s="585"/>
      <c r="P74" s="585"/>
      <c r="Q74" s="585"/>
      <c r="R74" s="585"/>
      <c r="S74" s="585"/>
      <c r="T74" s="585"/>
      <c r="U74" s="585"/>
      <c r="V74" s="585"/>
      <c r="W74" s="585"/>
      <c r="X74" s="585"/>
      <c r="Y74" s="585"/>
      <c r="Z74" s="585"/>
      <c r="AA74" s="585"/>
      <c r="AB74" s="585"/>
      <c r="AC74" s="586"/>
      <c r="AD74" s="582"/>
      <c r="AE74" s="582"/>
      <c r="AF74" s="582"/>
      <c r="AG74" s="582"/>
      <c r="AH74" s="582"/>
      <c r="AI74" s="582"/>
      <c r="AJ74" s="582"/>
      <c r="AK74" s="582"/>
      <c r="AL74" s="582"/>
      <c r="AM74" s="582"/>
      <c r="AN74" s="582"/>
      <c r="AO74" s="582"/>
      <c r="AP74" s="582"/>
      <c r="AQ74" s="582"/>
      <c r="AR74" s="582"/>
      <c r="AS74" s="582"/>
      <c r="AT74" s="573">
        <f>BK74+CC74+CV74</f>
        <v>0</v>
      </c>
      <c r="AU74" s="573"/>
      <c r="AV74" s="573"/>
      <c r="AW74" s="573"/>
      <c r="AX74" s="573"/>
      <c r="AY74" s="573"/>
      <c r="AZ74" s="573"/>
      <c r="BA74" s="573"/>
      <c r="BB74" s="573"/>
      <c r="BC74" s="573"/>
      <c r="BD74" s="573"/>
      <c r="BE74" s="573"/>
      <c r="BF74" s="573"/>
      <c r="BG74" s="573"/>
      <c r="BH74" s="573"/>
      <c r="BI74" s="573"/>
      <c r="BJ74" s="573"/>
      <c r="BK74" s="582"/>
      <c r="BL74" s="582"/>
      <c r="BM74" s="582"/>
      <c r="BN74" s="582"/>
      <c r="BO74" s="582"/>
      <c r="BP74" s="582"/>
      <c r="BQ74" s="582"/>
      <c r="BR74" s="582"/>
      <c r="BS74" s="582"/>
      <c r="BT74" s="582"/>
      <c r="BU74" s="582"/>
      <c r="BV74" s="582"/>
      <c r="BW74" s="582"/>
      <c r="BX74" s="582"/>
      <c r="BY74" s="582"/>
      <c r="BZ74" s="582"/>
      <c r="CA74" s="582"/>
      <c r="CB74" s="582"/>
      <c r="CC74" s="573"/>
      <c r="CD74" s="573"/>
      <c r="CE74" s="573"/>
      <c r="CF74" s="573"/>
      <c r="CG74" s="573"/>
      <c r="CH74" s="573"/>
      <c r="CI74" s="573"/>
      <c r="CJ74" s="573"/>
      <c r="CK74" s="573"/>
      <c r="CL74" s="573"/>
      <c r="CM74" s="573"/>
      <c r="CN74" s="573"/>
      <c r="CO74" s="573"/>
      <c r="CP74" s="573"/>
      <c r="CQ74" s="573"/>
      <c r="CR74" s="573"/>
      <c r="CS74" s="573"/>
      <c r="CT74" s="573"/>
      <c r="CU74" s="573"/>
      <c r="CV74" s="573"/>
      <c r="CW74" s="573"/>
      <c r="CX74" s="573"/>
      <c r="CY74" s="573"/>
      <c r="CZ74" s="573"/>
      <c r="DA74" s="573"/>
      <c r="DB74" s="573"/>
      <c r="DC74" s="573"/>
      <c r="DD74" s="573"/>
      <c r="DE74" s="573"/>
      <c r="DF74" s="573"/>
      <c r="DG74" s="573"/>
      <c r="DH74" s="573"/>
      <c r="DI74" s="573"/>
      <c r="DJ74" s="573"/>
      <c r="DK74" s="573"/>
      <c r="DL74" s="573"/>
      <c r="DM74" s="573"/>
      <c r="DN74" s="573">
        <f t="shared" ref="DN74" si="12">AT74*80%</f>
        <v>0</v>
      </c>
      <c r="DO74" s="573"/>
      <c r="DP74" s="573"/>
      <c r="DQ74" s="573"/>
      <c r="DR74" s="573"/>
      <c r="DS74" s="573"/>
      <c r="DT74" s="573"/>
      <c r="DU74" s="573"/>
      <c r="DV74" s="573"/>
      <c r="DW74" s="573"/>
      <c r="DX74" s="573"/>
      <c r="DY74" s="573"/>
      <c r="DZ74" s="573"/>
      <c r="EA74" s="573"/>
      <c r="EB74" s="573"/>
      <c r="EC74" s="573"/>
      <c r="ED74" s="573">
        <f t="shared" ref="ED74" si="13">AT74*50%</f>
        <v>0</v>
      </c>
      <c r="EE74" s="573"/>
      <c r="EF74" s="573"/>
      <c r="EG74" s="573"/>
      <c r="EH74" s="573"/>
      <c r="EI74" s="573"/>
      <c r="EJ74" s="573"/>
      <c r="EK74" s="573"/>
      <c r="EL74" s="573"/>
      <c r="EM74" s="573"/>
      <c r="EN74" s="573"/>
      <c r="EO74" s="573"/>
      <c r="EP74" s="573"/>
      <c r="EQ74" s="573"/>
      <c r="ER74" s="573"/>
      <c r="ES74" s="573"/>
      <c r="ET74" s="573">
        <f>(AT74+DN74+ED74)*12*AD74</f>
        <v>0</v>
      </c>
      <c r="EU74" s="573"/>
      <c r="EV74" s="573"/>
      <c r="EW74" s="573"/>
      <c r="EX74" s="573"/>
      <c r="EY74" s="573"/>
      <c r="EZ74" s="573"/>
      <c r="FA74" s="573"/>
      <c r="FB74" s="573"/>
      <c r="FC74" s="573"/>
      <c r="FD74" s="573"/>
      <c r="FE74" s="573"/>
      <c r="FF74" s="573"/>
      <c r="FG74" s="573"/>
      <c r="FH74" s="573"/>
      <c r="FI74" s="573"/>
      <c r="FJ74" s="573"/>
      <c r="FK74" s="171"/>
      <c r="FN74" s="171"/>
    </row>
    <row r="75" spans="1:170" s="16" customFormat="1" ht="15" customHeight="1" x14ac:dyDescent="0.3">
      <c r="A75" s="557" t="s">
        <v>252</v>
      </c>
      <c r="B75" s="558"/>
      <c r="C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9"/>
      <c r="AD75" s="560">
        <v>0</v>
      </c>
      <c r="AE75" s="560"/>
      <c r="AF75" s="560"/>
      <c r="AG75" s="560"/>
      <c r="AH75" s="560"/>
      <c r="AI75" s="560"/>
      <c r="AJ75" s="560"/>
      <c r="AK75" s="560"/>
      <c r="AL75" s="560"/>
      <c r="AM75" s="560"/>
      <c r="AN75" s="560"/>
      <c r="AO75" s="560"/>
      <c r="AP75" s="560"/>
      <c r="AQ75" s="560"/>
      <c r="AR75" s="560"/>
      <c r="AS75" s="560"/>
      <c r="AT75" s="561"/>
      <c r="AU75" s="561"/>
      <c r="AV75" s="561"/>
      <c r="AW75" s="561"/>
      <c r="AX75" s="561"/>
      <c r="AY75" s="561"/>
      <c r="AZ75" s="561"/>
      <c r="BA75" s="561"/>
      <c r="BB75" s="561"/>
      <c r="BC75" s="561"/>
      <c r="BD75" s="561"/>
      <c r="BE75" s="561"/>
      <c r="BF75" s="561"/>
      <c r="BG75" s="561"/>
      <c r="BH75" s="561"/>
      <c r="BI75" s="561"/>
      <c r="BJ75" s="561"/>
      <c r="BK75" s="560"/>
      <c r="BL75" s="560"/>
      <c r="BM75" s="560"/>
      <c r="BN75" s="560"/>
      <c r="BO75" s="560"/>
      <c r="BP75" s="560"/>
      <c r="BQ75" s="560"/>
      <c r="BR75" s="560"/>
      <c r="BS75" s="560"/>
      <c r="BT75" s="560"/>
      <c r="BU75" s="560"/>
      <c r="BV75" s="560"/>
      <c r="BW75" s="560"/>
      <c r="BX75" s="560"/>
      <c r="BY75" s="560"/>
      <c r="BZ75" s="560"/>
      <c r="CA75" s="560"/>
      <c r="CB75" s="560"/>
      <c r="CC75" s="561"/>
      <c r="CD75" s="561"/>
      <c r="CE75" s="561"/>
      <c r="CF75" s="561"/>
      <c r="CG75" s="561"/>
      <c r="CH75" s="561"/>
      <c r="CI75" s="561"/>
      <c r="CJ75" s="561"/>
      <c r="CK75" s="561"/>
      <c r="CL75" s="561"/>
      <c r="CM75" s="561"/>
      <c r="CN75" s="561"/>
      <c r="CO75" s="561"/>
      <c r="CP75" s="561"/>
      <c r="CQ75" s="561"/>
      <c r="CR75" s="561"/>
      <c r="CS75" s="561"/>
      <c r="CT75" s="561"/>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1"/>
      <c r="EI75" s="561"/>
      <c r="EJ75" s="561"/>
      <c r="EK75" s="561"/>
      <c r="EL75" s="561"/>
      <c r="EM75" s="561"/>
      <c r="EN75" s="561"/>
      <c r="EO75" s="561"/>
      <c r="EP75" s="561"/>
      <c r="EQ75" s="561"/>
      <c r="ER75" s="561"/>
      <c r="ES75" s="561"/>
      <c r="ET75" s="561">
        <f>SUM(ET74:ET74)</f>
        <v>0</v>
      </c>
      <c r="EU75" s="561"/>
      <c r="EV75" s="561"/>
      <c r="EW75" s="561"/>
      <c r="EX75" s="561"/>
      <c r="EY75" s="561"/>
      <c r="EZ75" s="561"/>
      <c r="FA75" s="561"/>
      <c r="FB75" s="561"/>
      <c r="FC75" s="561"/>
      <c r="FD75" s="561"/>
      <c r="FE75" s="561"/>
      <c r="FF75" s="561"/>
      <c r="FG75" s="561"/>
      <c r="FH75" s="561"/>
      <c r="FI75" s="561"/>
      <c r="FJ75" s="561"/>
      <c r="FK75" s="171"/>
      <c r="FN75" s="171"/>
    </row>
    <row r="76" spans="1:170" s="16" customFormat="1" ht="14.25" customHeight="1" x14ac:dyDescent="0.3">
      <c r="A76" s="541" t="s">
        <v>253</v>
      </c>
      <c r="B76" s="542"/>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42"/>
      <c r="BG76" s="542"/>
      <c r="BH76" s="542"/>
      <c r="BI76" s="542"/>
      <c r="BJ76" s="542"/>
      <c r="BK76" s="542"/>
      <c r="BL76" s="542"/>
      <c r="BM76" s="542"/>
      <c r="BN76" s="542"/>
      <c r="BO76" s="542"/>
      <c r="BP76" s="542"/>
      <c r="BQ76" s="542"/>
      <c r="BR76" s="542"/>
      <c r="BS76" s="542"/>
      <c r="BT76" s="542"/>
      <c r="BU76" s="542"/>
      <c r="BV76" s="542"/>
      <c r="BW76" s="542"/>
      <c r="BX76" s="542"/>
      <c r="BY76" s="542"/>
      <c r="BZ76" s="542"/>
      <c r="CA76" s="542"/>
      <c r="CB76" s="542"/>
      <c r="CC76" s="542"/>
      <c r="CD76" s="542"/>
      <c r="CE76" s="542"/>
      <c r="CF76" s="542"/>
      <c r="CG76" s="542"/>
      <c r="CH76" s="542"/>
      <c r="CI76" s="542"/>
      <c r="CJ76" s="542"/>
      <c r="CK76" s="542"/>
      <c r="CL76" s="542"/>
      <c r="CM76" s="542"/>
      <c r="CN76" s="542"/>
      <c r="CO76" s="542"/>
      <c r="CP76" s="542"/>
      <c r="CQ76" s="542"/>
      <c r="CR76" s="542"/>
      <c r="CS76" s="542"/>
      <c r="CT76" s="542"/>
      <c r="CU76" s="542"/>
      <c r="CV76" s="542"/>
      <c r="CW76" s="542"/>
      <c r="CX76" s="542"/>
      <c r="CY76" s="542"/>
      <c r="CZ76" s="542"/>
      <c r="DA76" s="542"/>
      <c r="DB76" s="542"/>
      <c r="DC76" s="542"/>
      <c r="DD76" s="542"/>
      <c r="DE76" s="542"/>
      <c r="DF76" s="542"/>
      <c r="DG76" s="542"/>
      <c r="DH76" s="542"/>
      <c r="DI76" s="542"/>
      <c r="DJ76" s="542"/>
      <c r="DK76" s="542"/>
      <c r="DL76" s="542"/>
      <c r="DM76" s="542"/>
      <c r="DN76" s="542"/>
      <c r="DO76" s="542"/>
      <c r="DP76" s="542"/>
      <c r="DQ76" s="542"/>
      <c r="DR76" s="542"/>
      <c r="DS76" s="542"/>
      <c r="DT76" s="542"/>
      <c r="DU76" s="542"/>
      <c r="DV76" s="542"/>
      <c r="DW76" s="542"/>
      <c r="DX76" s="542"/>
      <c r="DY76" s="542"/>
      <c r="DZ76" s="542"/>
      <c r="EA76" s="542"/>
      <c r="EB76" s="542"/>
      <c r="EC76" s="542"/>
      <c r="ED76" s="542"/>
      <c r="EE76" s="542"/>
      <c r="EF76" s="542"/>
      <c r="EG76" s="542"/>
      <c r="EH76" s="542"/>
      <c r="EI76" s="542"/>
      <c r="EJ76" s="542"/>
      <c r="EK76" s="542"/>
      <c r="EL76" s="542"/>
      <c r="EM76" s="542"/>
      <c r="EN76" s="542"/>
      <c r="EO76" s="542"/>
      <c r="EP76" s="542"/>
      <c r="EQ76" s="542"/>
      <c r="ER76" s="542"/>
      <c r="ES76" s="542"/>
      <c r="ET76" s="542"/>
      <c r="EU76" s="542"/>
      <c r="EV76" s="542"/>
      <c r="EW76" s="542"/>
      <c r="EX76" s="542"/>
      <c r="EY76" s="542"/>
      <c r="EZ76" s="542"/>
      <c r="FA76" s="542"/>
      <c r="FB76" s="542"/>
      <c r="FC76" s="542"/>
      <c r="FD76" s="542"/>
      <c r="FE76" s="542"/>
      <c r="FF76" s="542"/>
      <c r="FG76" s="542"/>
      <c r="FH76" s="542"/>
      <c r="FI76" s="542"/>
      <c r="FJ76" s="543"/>
      <c r="FK76" s="171"/>
      <c r="FN76" s="171"/>
    </row>
    <row r="77" spans="1:170" s="16" customFormat="1" x14ac:dyDescent="0.3">
      <c r="A77" s="553"/>
      <c r="B77" s="554"/>
      <c r="C77" s="554"/>
      <c r="D77" s="554"/>
      <c r="E77" s="554"/>
      <c r="F77" s="555"/>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44"/>
      <c r="AE77" s="545"/>
      <c r="AF77" s="545"/>
      <c r="AG77" s="545"/>
      <c r="AH77" s="545"/>
      <c r="AI77" s="545"/>
      <c r="AJ77" s="545"/>
      <c r="AK77" s="545"/>
      <c r="AL77" s="545"/>
      <c r="AM77" s="545"/>
      <c r="AN77" s="545"/>
      <c r="AO77" s="545"/>
      <c r="AP77" s="545"/>
      <c r="AQ77" s="545"/>
      <c r="AR77" s="545"/>
      <c r="AS77" s="546"/>
      <c r="AT77" s="547">
        <f t="shared" ref="AT77" si="14">BK77+CC77+CV77</f>
        <v>0</v>
      </c>
      <c r="AU77" s="548"/>
      <c r="AV77" s="548"/>
      <c r="AW77" s="548"/>
      <c r="AX77" s="548"/>
      <c r="AY77" s="548"/>
      <c r="AZ77" s="548"/>
      <c r="BA77" s="548"/>
      <c r="BB77" s="548"/>
      <c r="BC77" s="548"/>
      <c r="BD77" s="548"/>
      <c r="BE77" s="548"/>
      <c r="BF77" s="548"/>
      <c r="BG77" s="548"/>
      <c r="BH77" s="548"/>
      <c r="BI77" s="548"/>
      <c r="BJ77" s="549"/>
      <c r="BK77" s="550"/>
      <c r="BL77" s="551"/>
      <c r="BM77" s="551"/>
      <c r="BN77" s="551"/>
      <c r="BO77" s="551"/>
      <c r="BP77" s="551"/>
      <c r="BQ77" s="551"/>
      <c r="BR77" s="551"/>
      <c r="BS77" s="551"/>
      <c r="BT77" s="551"/>
      <c r="BU77" s="551"/>
      <c r="BV77" s="551"/>
      <c r="BW77" s="551"/>
      <c r="BX77" s="551"/>
      <c r="BY77" s="551"/>
      <c r="BZ77" s="551"/>
      <c r="CA77" s="551"/>
      <c r="CB77" s="552"/>
      <c r="CC77" s="547"/>
      <c r="CD77" s="548"/>
      <c r="CE77" s="548"/>
      <c r="CF77" s="548"/>
      <c r="CG77" s="548"/>
      <c r="CH77" s="548"/>
      <c r="CI77" s="548"/>
      <c r="CJ77" s="548"/>
      <c r="CK77" s="548"/>
      <c r="CL77" s="548"/>
      <c r="CM77" s="548"/>
      <c r="CN77" s="548"/>
      <c r="CO77" s="548"/>
      <c r="CP77" s="548"/>
      <c r="CQ77" s="548"/>
      <c r="CR77" s="548"/>
      <c r="CS77" s="548"/>
      <c r="CT77" s="548"/>
      <c r="CU77" s="549"/>
      <c r="CV77" s="547"/>
      <c r="CW77" s="548"/>
      <c r="CX77" s="548"/>
      <c r="CY77" s="548"/>
      <c r="CZ77" s="548"/>
      <c r="DA77" s="548"/>
      <c r="DB77" s="548"/>
      <c r="DC77" s="548"/>
      <c r="DD77" s="548"/>
      <c r="DE77" s="548"/>
      <c r="DF77" s="548"/>
      <c r="DG77" s="548"/>
      <c r="DH77" s="548"/>
      <c r="DI77" s="548"/>
      <c r="DJ77" s="548"/>
      <c r="DK77" s="548"/>
      <c r="DL77" s="548"/>
      <c r="DM77" s="549"/>
      <c r="DN77" s="547">
        <f t="shared" ref="DN77" si="15">AT77*80%</f>
        <v>0</v>
      </c>
      <c r="DO77" s="548"/>
      <c r="DP77" s="548"/>
      <c r="DQ77" s="548"/>
      <c r="DR77" s="548"/>
      <c r="DS77" s="548"/>
      <c r="DT77" s="548"/>
      <c r="DU77" s="548"/>
      <c r="DV77" s="548"/>
      <c r="DW77" s="548"/>
      <c r="DX77" s="548"/>
      <c r="DY77" s="548"/>
      <c r="DZ77" s="548"/>
      <c r="EA77" s="548"/>
      <c r="EB77" s="548"/>
      <c r="EC77" s="549"/>
      <c r="ED77" s="547">
        <f t="shared" ref="ED77" si="16">AT77*50%</f>
        <v>0</v>
      </c>
      <c r="EE77" s="548"/>
      <c r="EF77" s="548"/>
      <c r="EG77" s="548"/>
      <c r="EH77" s="548"/>
      <c r="EI77" s="548"/>
      <c r="EJ77" s="548"/>
      <c r="EK77" s="548"/>
      <c r="EL77" s="548"/>
      <c r="EM77" s="548"/>
      <c r="EN77" s="548"/>
      <c r="EO77" s="548"/>
      <c r="EP77" s="548"/>
      <c r="EQ77" s="548"/>
      <c r="ER77" s="548"/>
      <c r="ES77" s="549"/>
      <c r="ET77" s="547">
        <f t="shared" ref="ET77" si="17">(AT77+DN77+ED77)*12*AD77</f>
        <v>0</v>
      </c>
      <c r="EU77" s="548"/>
      <c r="EV77" s="548"/>
      <c r="EW77" s="548"/>
      <c r="EX77" s="548"/>
      <c r="EY77" s="548"/>
      <c r="EZ77" s="548"/>
      <c r="FA77" s="548"/>
      <c r="FB77" s="548"/>
      <c r="FC77" s="548"/>
      <c r="FD77" s="548"/>
      <c r="FE77" s="548"/>
      <c r="FF77" s="548"/>
      <c r="FG77" s="548"/>
      <c r="FH77" s="548"/>
      <c r="FI77" s="548"/>
      <c r="FJ77" s="549"/>
      <c r="FK77" s="171"/>
      <c r="FN77" s="171"/>
    </row>
    <row r="78" spans="1:170" s="16" customFormat="1" ht="27.75" customHeight="1" x14ac:dyDescent="0.3">
      <c r="A78" s="557" t="s">
        <v>254</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9"/>
      <c r="AD78" s="560">
        <v>0</v>
      </c>
      <c r="AE78" s="560"/>
      <c r="AF78" s="560"/>
      <c r="AG78" s="560"/>
      <c r="AH78" s="560"/>
      <c r="AI78" s="560"/>
      <c r="AJ78" s="560"/>
      <c r="AK78" s="560"/>
      <c r="AL78" s="560"/>
      <c r="AM78" s="560"/>
      <c r="AN78" s="560"/>
      <c r="AO78" s="560"/>
      <c r="AP78" s="560"/>
      <c r="AQ78" s="560"/>
      <c r="AR78" s="560"/>
      <c r="AS78" s="560"/>
      <c r="AT78" s="561"/>
      <c r="AU78" s="561"/>
      <c r="AV78" s="561"/>
      <c r="AW78" s="561"/>
      <c r="AX78" s="561"/>
      <c r="AY78" s="561"/>
      <c r="AZ78" s="561"/>
      <c r="BA78" s="561"/>
      <c r="BB78" s="561"/>
      <c r="BC78" s="561"/>
      <c r="BD78" s="561"/>
      <c r="BE78" s="561"/>
      <c r="BF78" s="561"/>
      <c r="BG78" s="561"/>
      <c r="BH78" s="561"/>
      <c r="BI78" s="561"/>
      <c r="BJ78" s="561"/>
      <c r="BK78" s="560"/>
      <c r="BL78" s="560"/>
      <c r="BM78" s="560"/>
      <c r="BN78" s="560"/>
      <c r="BO78" s="560"/>
      <c r="BP78" s="560"/>
      <c r="BQ78" s="560"/>
      <c r="BR78" s="560"/>
      <c r="BS78" s="560"/>
      <c r="BT78" s="560"/>
      <c r="BU78" s="560"/>
      <c r="BV78" s="560"/>
      <c r="BW78" s="560"/>
      <c r="BX78" s="560"/>
      <c r="BY78" s="560"/>
      <c r="BZ78" s="560"/>
      <c r="CA78" s="560"/>
      <c r="CB78" s="560"/>
      <c r="CC78" s="560"/>
      <c r="CD78" s="560"/>
      <c r="CE78" s="560"/>
      <c r="CF78" s="560"/>
      <c r="CG78" s="560"/>
      <c r="CH78" s="560"/>
      <c r="CI78" s="560"/>
      <c r="CJ78" s="560"/>
      <c r="CK78" s="560"/>
      <c r="CL78" s="560"/>
      <c r="CM78" s="560"/>
      <c r="CN78" s="560"/>
      <c r="CO78" s="560"/>
      <c r="CP78" s="560"/>
      <c r="CQ78" s="560"/>
      <c r="CR78" s="560"/>
      <c r="CS78" s="560"/>
      <c r="CT78" s="560"/>
      <c r="CU78" s="560"/>
      <c r="CV78" s="560"/>
      <c r="CW78" s="560"/>
      <c r="CX78" s="560"/>
      <c r="CY78" s="560"/>
      <c r="CZ78" s="560"/>
      <c r="DA78" s="560"/>
      <c r="DB78" s="560"/>
      <c r="DC78" s="560"/>
      <c r="DD78" s="560"/>
      <c r="DE78" s="560"/>
      <c r="DF78" s="560"/>
      <c r="DG78" s="560"/>
      <c r="DH78" s="560"/>
      <c r="DI78" s="560"/>
      <c r="DJ78" s="560"/>
      <c r="DK78" s="560"/>
      <c r="DL78" s="560"/>
      <c r="DM78" s="560"/>
      <c r="DN78" s="560"/>
      <c r="DO78" s="560"/>
      <c r="DP78" s="560"/>
      <c r="DQ78" s="560"/>
      <c r="DR78" s="560"/>
      <c r="DS78" s="560"/>
      <c r="DT78" s="560"/>
      <c r="DU78" s="560"/>
      <c r="DV78" s="560"/>
      <c r="DW78" s="560"/>
      <c r="DX78" s="560"/>
      <c r="DY78" s="560"/>
      <c r="DZ78" s="560"/>
      <c r="EA78" s="560"/>
      <c r="EB78" s="560"/>
      <c r="EC78" s="560"/>
      <c r="ED78" s="561"/>
      <c r="EE78" s="561"/>
      <c r="EF78" s="561"/>
      <c r="EG78" s="561"/>
      <c r="EH78" s="561"/>
      <c r="EI78" s="561"/>
      <c r="EJ78" s="561"/>
      <c r="EK78" s="561"/>
      <c r="EL78" s="561"/>
      <c r="EM78" s="561"/>
      <c r="EN78" s="561"/>
      <c r="EO78" s="561"/>
      <c r="EP78" s="561"/>
      <c r="EQ78" s="561"/>
      <c r="ER78" s="561"/>
      <c r="ES78" s="561"/>
      <c r="ET78" s="561">
        <f>ET77</f>
        <v>0</v>
      </c>
      <c r="EU78" s="561"/>
      <c r="EV78" s="561"/>
      <c r="EW78" s="561"/>
      <c r="EX78" s="561"/>
      <c r="EY78" s="561"/>
      <c r="EZ78" s="561"/>
      <c r="FA78" s="561"/>
      <c r="FB78" s="561"/>
      <c r="FC78" s="561"/>
      <c r="FD78" s="561"/>
      <c r="FE78" s="561"/>
      <c r="FF78" s="561"/>
      <c r="FG78" s="561"/>
      <c r="FH78" s="561"/>
      <c r="FI78" s="561"/>
      <c r="FJ78" s="561"/>
      <c r="FK78" s="171"/>
      <c r="FN78" s="171"/>
    </row>
    <row r="79" spans="1:170" s="16" customFormat="1" ht="14.25" customHeight="1" x14ac:dyDescent="0.3">
      <c r="A79" s="541" t="s">
        <v>256</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2"/>
      <c r="AW79" s="542"/>
      <c r="AX79" s="542"/>
      <c r="AY79" s="542"/>
      <c r="AZ79" s="542"/>
      <c r="BA79" s="542"/>
      <c r="BB79" s="542"/>
      <c r="BC79" s="542"/>
      <c r="BD79" s="542"/>
      <c r="BE79" s="542"/>
      <c r="BF79" s="542"/>
      <c r="BG79" s="542"/>
      <c r="BH79" s="542"/>
      <c r="BI79" s="542"/>
      <c r="BJ79" s="542"/>
      <c r="BK79" s="542"/>
      <c r="BL79" s="542"/>
      <c r="BM79" s="542"/>
      <c r="BN79" s="542"/>
      <c r="BO79" s="542"/>
      <c r="BP79" s="542"/>
      <c r="BQ79" s="542"/>
      <c r="BR79" s="542"/>
      <c r="BS79" s="542"/>
      <c r="BT79" s="542"/>
      <c r="BU79" s="542"/>
      <c r="BV79" s="542"/>
      <c r="BW79" s="542"/>
      <c r="BX79" s="542"/>
      <c r="BY79" s="542"/>
      <c r="BZ79" s="542"/>
      <c r="CA79" s="542"/>
      <c r="CB79" s="542"/>
      <c r="CC79" s="542"/>
      <c r="CD79" s="542"/>
      <c r="CE79" s="542"/>
      <c r="CF79" s="542"/>
      <c r="CG79" s="542"/>
      <c r="CH79" s="542"/>
      <c r="CI79" s="542"/>
      <c r="CJ79" s="542"/>
      <c r="CK79" s="542"/>
      <c r="CL79" s="542"/>
      <c r="CM79" s="542"/>
      <c r="CN79" s="542"/>
      <c r="CO79" s="542"/>
      <c r="CP79" s="542"/>
      <c r="CQ79" s="542"/>
      <c r="CR79" s="542"/>
      <c r="CS79" s="542"/>
      <c r="CT79" s="542"/>
      <c r="CU79" s="542"/>
      <c r="CV79" s="542"/>
      <c r="CW79" s="542"/>
      <c r="CX79" s="542"/>
      <c r="CY79" s="542"/>
      <c r="CZ79" s="542"/>
      <c r="DA79" s="542"/>
      <c r="DB79" s="542"/>
      <c r="DC79" s="542"/>
      <c r="DD79" s="542"/>
      <c r="DE79" s="542"/>
      <c r="DF79" s="542"/>
      <c r="DG79" s="542"/>
      <c r="DH79" s="542"/>
      <c r="DI79" s="542"/>
      <c r="DJ79" s="542"/>
      <c r="DK79" s="542"/>
      <c r="DL79" s="542"/>
      <c r="DM79" s="542"/>
      <c r="DN79" s="542"/>
      <c r="DO79" s="542"/>
      <c r="DP79" s="542"/>
      <c r="DQ79" s="542"/>
      <c r="DR79" s="542"/>
      <c r="DS79" s="542"/>
      <c r="DT79" s="542"/>
      <c r="DU79" s="542"/>
      <c r="DV79" s="542"/>
      <c r="DW79" s="542"/>
      <c r="DX79" s="542"/>
      <c r="DY79" s="542"/>
      <c r="DZ79" s="542"/>
      <c r="EA79" s="542"/>
      <c r="EB79" s="542"/>
      <c r="EC79" s="542"/>
      <c r="ED79" s="542"/>
      <c r="EE79" s="542"/>
      <c r="EF79" s="542"/>
      <c r="EG79" s="542"/>
      <c r="EH79" s="542"/>
      <c r="EI79" s="542"/>
      <c r="EJ79" s="542"/>
      <c r="EK79" s="542"/>
      <c r="EL79" s="542"/>
      <c r="EM79" s="542"/>
      <c r="EN79" s="542"/>
      <c r="EO79" s="542"/>
      <c r="EP79" s="542"/>
      <c r="EQ79" s="542"/>
      <c r="ER79" s="542"/>
      <c r="ES79" s="542"/>
      <c r="ET79" s="542"/>
      <c r="EU79" s="542"/>
      <c r="EV79" s="542"/>
      <c r="EW79" s="542"/>
      <c r="EX79" s="542"/>
      <c r="EY79" s="542"/>
      <c r="EZ79" s="542"/>
      <c r="FA79" s="542"/>
      <c r="FB79" s="542"/>
      <c r="FC79" s="542"/>
      <c r="FD79" s="542"/>
      <c r="FE79" s="542"/>
      <c r="FF79" s="542"/>
      <c r="FG79" s="542"/>
      <c r="FH79" s="542"/>
      <c r="FI79" s="542"/>
      <c r="FJ79" s="543"/>
      <c r="FK79" s="171"/>
      <c r="FN79" s="171"/>
    </row>
    <row r="80" spans="1:170" s="16" customFormat="1" ht="13.2" customHeight="1" x14ac:dyDescent="0.3">
      <c r="A80" s="616" t="s">
        <v>67</v>
      </c>
      <c r="B80" s="617"/>
      <c r="C80" s="617"/>
      <c r="D80" s="617"/>
      <c r="E80" s="617"/>
      <c r="F80" s="618"/>
      <c r="G80" s="587" t="s">
        <v>527</v>
      </c>
      <c r="H80" s="588"/>
      <c r="I80" s="588"/>
      <c r="J80" s="588"/>
      <c r="K80" s="588"/>
      <c r="L80" s="588"/>
      <c r="M80" s="588"/>
      <c r="N80" s="588"/>
      <c r="O80" s="588"/>
      <c r="P80" s="588"/>
      <c r="Q80" s="588"/>
      <c r="R80" s="588"/>
      <c r="S80" s="588"/>
      <c r="T80" s="588"/>
      <c r="U80" s="588"/>
      <c r="V80" s="588"/>
      <c r="W80" s="588"/>
      <c r="X80" s="588"/>
      <c r="Y80" s="588"/>
      <c r="Z80" s="588"/>
      <c r="AA80" s="588"/>
      <c r="AB80" s="588"/>
      <c r="AC80" s="589"/>
      <c r="AD80" s="619">
        <v>0.5</v>
      </c>
      <c r="AE80" s="620"/>
      <c r="AF80" s="620"/>
      <c r="AG80" s="620"/>
      <c r="AH80" s="620"/>
      <c r="AI80" s="620"/>
      <c r="AJ80" s="620"/>
      <c r="AK80" s="620"/>
      <c r="AL80" s="620"/>
      <c r="AM80" s="620"/>
      <c r="AN80" s="620"/>
      <c r="AO80" s="620"/>
      <c r="AP80" s="620"/>
      <c r="AQ80" s="620"/>
      <c r="AR80" s="620"/>
      <c r="AS80" s="621"/>
      <c r="AT80" s="562">
        <f t="shared" ref="AT80" si="18">BK80+CC80+CV80</f>
        <v>20113.983</v>
      </c>
      <c r="AU80" s="563"/>
      <c r="AV80" s="563"/>
      <c r="AW80" s="563"/>
      <c r="AX80" s="563"/>
      <c r="AY80" s="563"/>
      <c r="AZ80" s="563"/>
      <c r="BA80" s="563"/>
      <c r="BB80" s="563"/>
      <c r="BC80" s="563"/>
      <c r="BD80" s="563"/>
      <c r="BE80" s="563"/>
      <c r="BF80" s="563"/>
      <c r="BG80" s="563"/>
      <c r="BH80" s="563"/>
      <c r="BI80" s="563"/>
      <c r="BJ80" s="564"/>
      <c r="BK80" s="570">
        <v>7498</v>
      </c>
      <c r="BL80" s="570"/>
      <c r="BM80" s="570"/>
      <c r="BN80" s="570"/>
      <c r="BO80" s="570"/>
      <c r="BP80" s="570"/>
      <c r="BQ80" s="570"/>
      <c r="BR80" s="570"/>
      <c r="BS80" s="570"/>
      <c r="BT80" s="570"/>
      <c r="BU80" s="570"/>
      <c r="BV80" s="570"/>
      <c r="BW80" s="570"/>
      <c r="BX80" s="570"/>
      <c r="BY80" s="570"/>
      <c r="BZ80" s="570"/>
      <c r="CA80" s="570"/>
      <c r="CB80" s="570"/>
      <c r="CC80" s="562"/>
      <c r="CD80" s="563"/>
      <c r="CE80" s="563"/>
      <c r="CF80" s="563"/>
      <c r="CG80" s="563"/>
      <c r="CH80" s="563"/>
      <c r="CI80" s="563"/>
      <c r="CJ80" s="563"/>
      <c r="CK80" s="563"/>
      <c r="CL80" s="563"/>
      <c r="CM80" s="563"/>
      <c r="CN80" s="563"/>
      <c r="CO80" s="563"/>
      <c r="CP80" s="563"/>
      <c r="CQ80" s="563"/>
      <c r="CR80" s="563"/>
      <c r="CS80" s="563"/>
      <c r="CT80" s="563"/>
      <c r="CU80" s="564"/>
      <c r="CV80" s="562">
        <v>12615.983</v>
      </c>
      <c r="CW80" s="563"/>
      <c r="CX80" s="563"/>
      <c r="CY80" s="563"/>
      <c r="CZ80" s="563"/>
      <c r="DA80" s="563"/>
      <c r="DB80" s="563"/>
      <c r="DC80" s="563"/>
      <c r="DD80" s="563"/>
      <c r="DE80" s="563"/>
      <c r="DF80" s="563"/>
      <c r="DG80" s="563"/>
      <c r="DH80" s="563"/>
      <c r="DI80" s="563"/>
      <c r="DJ80" s="563"/>
      <c r="DK80" s="563"/>
      <c r="DL80" s="563"/>
      <c r="DM80" s="564"/>
      <c r="DN80" s="562">
        <f t="shared" ref="DN80" si="19">AT80*80%</f>
        <v>16091.186400000001</v>
      </c>
      <c r="DO80" s="563"/>
      <c r="DP80" s="563"/>
      <c r="DQ80" s="563"/>
      <c r="DR80" s="563"/>
      <c r="DS80" s="563"/>
      <c r="DT80" s="563"/>
      <c r="DU80" s="563"/>
      <c r="DV80" s="563"/>
      <c r="DW80" s="563"/>
      <c r="DX80" s="563"/>
      <c r="DY80" s="563"/>
      <c r="DZ80" s="563"/>
      <c r="EA80" s="563"/>
      <c r="EB80" s="563"/>
      <c r="EC80" s="564"/>
      <c r="ED80" s="562">
        <f t="shared" ref="ED80" si="20">AT80*50%</f>
        <v>10056.9915</v>
      </c>
      <c r="EE80" s="563"/>
      <c r="EF80" s="563"/>
      <c r="EG80" s="563"/>
      <c r="EH80" s="563"/>
      <c r="EI80" s="563"/>
      <c r="EJ80" s="563"/>
      <c r="EK80" s="563"/>
      <c r="EL80" s="563"/>
      <c r="EM80" s="563"/>
      <c r="EN80" s="563"/>
      <c r="EO80" s="563"/>
      <c r="EP80" s="563"/>
      <c r="EQ80" s="563"/>
      <c r="ER80" s="563"/>
      <c r="ES80" s="564"/>
      <c r="ET80" s="562">
        <f t="shared" ref="ET80" si="21">(AT80+DN80+ED80)*12*AD80</f>
        <v>277572.96539999999</v>
      </c>
      <c r="EU80" s="563"/>
      <c r="EV80" s="563"/>
      <c r="EW80" s="563"/>
      <c r="EX80" s="563"/>
      <c r="EY80" s="563"/>
      <c r="EZ80" s="563"/>
      <c r="FA80" s="563"/>
      <c r="FB80" s="563"/>
      <c r="FC80" s="563"/>
      <c r="FD80" s="563"/>
      <c r="FE80" s="563"/>
      <c r="FF80" s="563"/>
      <c r="FG80" s="563"/>
      <c r="FH80" s="563"/>
      <c r="FI80" s="563"/>
      <c r="FJ80" s="564"/>
      <c r="FK80" s="180">
        <v>662561.23153200001</v>
      </c>
      <c r="FN80" s="171"/>
    </row>
    <row r="81" spans="1:170" s="16" customFormat="1" x14ac:dyDescent="0.3">
      <c r="A81" s="612" t="s">
        <v>257</v>
      </c>
      <c r="B81" s="613"/>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4"/>
      <c r="AD81" s="537">
        <f>AD80</f>
        <v>0.5</v>
      </c>
      <c r="AE81" s="537"/>
      <c r="AF81" s="537"/>
      <c r="AG81" s="537"/>
      <c r="AH81" s="537"/>
      <c r="AI81" s="537"/>
      <c r="AJ81" s="537"/>
      <c r="AK81" s="537"/>
      <c r="AL81" s="537"/>
      <c r="AM81" s="537"/>
      <c r="AN81" s="537"/>
      <c r="AO81" s="537"/>
      <c r="AP81" s="537"/>
      <c r="AQ81" s="537"/>
      <c r="AR81" s="537"/>
      <c r="AS81" s="537"/>
      <c r="AT81" s="538"/>
      <c r="AU81" s="538"/>
      <c r="AV81" s="538"/>
      <c r="AW81" s="538"/>
      <c r="AX81" s="538"/>
      <c r="AY81" s="538"/>
      <c r="AZ81" s="538"/>
      <c r="BA81" s="538"/>
      <c r="BB81" s="538"/>
      <c r="BC81" s="538"/>
      <c r="BD81" s="538"/>
      <c r="BE81" s="538"/>
      <c r="BF81" s="538"/>
      <c r="BG81" s="538"/>
      <c r="BH81" s="538"/>
      <c r="BI81" s="538"/>
      <c r="BJ81" s="538"/>
      <c r="BK81" s="537"/>
      <c r="BL81" s="537"/>
      <c r="BM81" s="537"/>
      <c r="BN81" s="537"/>
      <c r="BO81" s="537"/>
      <c r="BP81" s="537"/>
      <c r="BQ81" s="537"/>
      <c r="BR81" s="537"/>
      <c r="BS81" s="537"/>
      <c r="BT81" s="537"/>
      <c r="BU81" s="537"/>
      <c r="BV81" s="537"/>
      <c r="BW81" s="537"/>
      <c r="BX81" s="537"/>
      <c r="BY81" s="537"/>
      <c r="BZ81" s="537"/>
      <c r="CA81" s="537"/>
      <c r="CB81" s="537"/>
      <c r="CC81" s="536"/>
      <c r="CD81" s="536"/>
      <c r="CE81" s="536"/>
      <c r="CF81" s="536"/>
      <c r="CG81" s="536"/>
      <c r="CH81" s="536"/>
      <c r="CI81" s="536"/>
      <c r="CJ81" s="536"/>
      <c r="CK81" s="536"/>
      <c r="CL81" s="536"/>
      <c r="CM81" s="536"/>
      <c r="CN81" s="536"/>
      <c r="CO81" s="536"/>
      <c r="CP81" s="536"/>
      <c r="CQ81" s="536"/>
      <c r="CR81" s="536"/>
      <c r="CS81" s="536"/>
      <c r="CT81" s="536"/>
      <c r="CU81" s="536"/>
      <c r="CV81" s="536"/>
      <c r="CW81" s="536"/>
      <c r="CX81" s="536"/>
      <c r="CY81" s="536"/>
      <c r="CZ81" s="536"/>
      <c r="DA81" s="536"/>
      <c r="DB81" s="536"/>
      <c r="DC81" s="536"/>
      <c r="DD81" s="536"/>
      <c r="DE81" s="536"/>
      <c r="DF81" s="536"/>
      <c r="DG81" s="536"/>
      <c r="DH81" s="536"/>
      <c r="DI81" s="536"/>
      <c r="DJ81" s="536"/>
      <c r="DK81" s="536"/>
      <c r="DL81" s="536"/>
      <c r="DM81" s="536"/>
      <c r="DN81" s="538"/>
      <c r="DO81" s="538"/>
      <c r="DP81" s="538"/>
      <c r="DQ81" s="538"/>
      <c r="DR81" s="538"/>
      <c r="DS81" s="538"/>
      <c r="DT81" s="538"/>
      <c r="DU81" s="538"/>
      <c r="DV81" s="538"/>
      <c r="DW81" s="538"/>
      <c r="DX81" s="538"/>
      <c r="DY81" s="538"/>
      <c r="DZ81" s="538"/>
      <c r="EA81" s="538"/>
      <c r="EB81" s="538"/>
      <c r="EC81" s="538"/>
      <c r="ED81" s="538"/>
      <c r="EE81" s="538"/>
      <c r="EF81" s="538"/>
      <c r="EG81" s="538"/>
      <c r="EH81" s="538"/>
      <c r="EI81" s="538"/>
      <c r="EJ81" s="538"/>
      <c r="EK81" s="538"/>
      <c r="EL81" s="538"/>
      <c r="EM81" s="538"/>
      <c r="EN81" s="538"/>
      <c r="EO81" s="538"/>
      <c r="EP81" s="538"/>
      <c r="EQ81" s="538"/>
      <c r="ER81" s="538"/>
      <c r="ES81" s="538"/>
      <c r="ET81" s="536">
        <f>ET80</f>
        <v>277572.96539999999</v>
      </c>
      <c r="EU81" s="536"/>
      <c r="EV81" s="536"/>
      <c r="EW81" s="536"/>
      <c r="EX81" s="536"/>
      <c r="EY81" s="536"/>
      <c r="EZ81" s="536"/>
      <c r="FA81" s="536"/>
      <c r="FB81" s="536"/>
      <c r="FC81" s="536"/>
      <c r="FD81" s="536"/>
      <c r="FE81" s="536"/>
      <c r="FF81" s="536"/>
      <c r="FG81" s="536"/>
      <c r="FH81" s="536"/>
      <c r="FI81" s="536"/>
      <c r="FJ81" s="536"/>
      <c r="FK81" s="171"/>
      <c r="FN81" s="171"/>
    </row>
    <row r="82" spans="1:170" s="16" customFormat="1" x14ac:dyDescent="0.3">
      <c r="A82" s="622" t="s">
        <v>56</v>
      </c>
      <c r="B82" s="623"/>
      <c r="C82" s="623"/>
      <c r="D82" s="623"/>
      <c r="E82" s="623"/>
      <c r="F82" s="623"/>
      <c r="G82" s="623"/>
      <c r="H82" s="623"/>
      <c r="I82" s="623"/>
      <c r="J82" s="623"/>
      <c r="K82" s="623"/>
      <c r="L82" s="623"/>
      <c r="M82" s="623"/>
      <c r="N82" s="623"/>
      <c r="O82" s="623"/>
      <c r="P82" s="623"/>
      <c r="Q82" s="623"/>
      <c r="R82" s="623"/>
      <c r="S82" s="623"/>
      <c r="T82" s="623"/>
      <c r="U82" s="623"/>
      <c r="V82" s="623"/>
      <c r="W82" s="623"/>
      <c r="X82" s="623"/>
      <c r="Y82" s="623"/>
      <c r="Z82" s="623"/>
      <c r="AA82" s="623"/>
      <c r="AB82" s="623"/>
      <c r="AC82" s="624"/>
      <c r="AD82" s="539">
        <f>AD78+AD81</f>
        <v>0.5</v>
      </c>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c r="BB82" s="539"/>
      <c r="BC82" s="539"/>
      <c r="BD82" s="539"/>
      <c r="BE82" s="539"/>
      <c r="BF82" s="539"/>
      <c r="BG82" s="539"/>
      <c r="BH82" s="539"/>
      <c r="BI82" s="539"/>
      <c r="BJ82" s="539"/>
      <c r="BK82" s="539"/>
      <c r="BL82" s="539"/>
      <c r="BM82" s="539"/>
      <c r="BN82" s="539"/>
      <c r="BO82" s="539"/>
      <c r="BP82" s="539"/>
      <c r="BQ82" s="539"/>
      <c r="BR82" s="539"/>
      <c r="BS82" s="539"/>
      <c r="BT82" s="539"/>
      <c r="BU82" s="539"/>
      <c r="BV82" s="539"/>
      <c r="BW82" s="539"/>
      <c r="BX82" s="539"/>
      <c r="BY82" s="539"/>
      <c r="BZ82" s="539"/>
      <c r="CA82" s="539"/>
      <c r="CB82" s="539"/>
      <c r="CC82" s="540"/>
      <c r="CD82" s="540"/>
      <c r="CE82" s="540"/>
      <c r="CF82" s="540"/>
      <c r="CG82" s="540"/>
      <c r="CH82" s="540"/>
      <c r="CI82" s="540"/>
      <c r="CJ82" s="540"/>
      <c r="CK82" s="540"/>
      <c r="CL82" s="540"/>
      <c r="CM82" s="540"/>
      <c r="CN82" s="540"/>
      <c r="CO82" s="540"/>
      <c r="CP82" s="540"/>
      <c r="CQ82" s="540"/>
      <c r="CR82" s="540"/>
      <c r="CS82" s="540"/>
      <c r="CT82" s="540"/>
      <c r="CU82" s="540"/>
      <c r="CV82" s="540"/>
      <c r="CW82" s="540"/>
      <c r="CX82" s="540"/>
      <c r="CY82" s="540"/>
      <c r="CZ82" s="540"/>
      <c r="DA82" s="540"/>
      <c r="DB82" s="540"/>
      <c r="DC82" s="540"/>
      <c r="DD82" s="540"/>
      <c r="DE82" s="540"/>
      <c r="DF82" s="540"/>
      <c r="DG82" s="540"/>
      <c r="DH82" s="540"/>
      <c r="DI82" s="540"/>
      <c r="DJ82" s="540"/>
      <c r="DK82" s="540"/>
      <c r="DL82" s="540"/>
      <c r="DM82" s="540"/>
      <c r="DN82" s="540"/>
      <c r="DO82" s="540"/>
      <c r="DP82" s="540"/>
      <c r="DQ82" s="540"/>
      <c r="DR82" s="540"/>
      <c r="DS82" s="540"/>
      <c r="DT82" s="540"/>
      <c r="DU82" s="540"/>
      <c r="DV82" s="540"/>
      <c r="DW82" s="540"/>
      <c r="DX82" s="540"/>
      <c r="DY82" s="540"/>
      <c r="DZ82" s="540"/>
      <c r="EA82" s="540"/>
      <c r="EB82" s="540"/>
      <c r="EC82" s="540"/>
      <c r="ED82" s="540"/>
      <c r="EE82" s="540"/>
      <c r="EF82" s="540"/>
      <c r="EG82" s="540"/>
      <c r="EH82" s="540"/>
      <c r="EI82" s="540"/>
      <c r="EJ82" s="540"/>
      <c r="EK82" s="540"/>
      <c r="EL82" s="540"/>
      <c r="EM82" s="540"/>
      <c r="EN82" s="540"/>
      <c r="EO82" s="540"/>
      <c r="EP82" s="540"/>
      <c r="EQ82" s="540"/>
      <c r="ER82" s="540"/>
      <c r="ES82" s="540"/>
      <c r="ET82" s="540">
        <f>ET75+ET78+ET81</f>
        <v>277572.96539999999</v>
      </c>
      <c r="EU82" s="540"/>
      <c r="EV82" s="540"/>
      <c r="EW82" s="540"/>
      <c r="EX82" s="540"/>
      <c r="EY82" s="540"/>
      <c r="EZ82" s="540"/>
      <c r="FA82" s="540"/>
      <c r="FB82" s="540"/>
      <c r="FC82" s="540"/>
      <c r="FD82" s="540"/>
      <c r="FE82" s="540"/>
      <c r="FF82" s="540"/>
      <c r="FG82" s="540"/>
      <c r="FH82" s="540"/>
      <c r="FI82" s="540"/>
      <c r="FJ82" s="540"/>
      <c r="FK82" s="171">
        <f>662561.23+47474.34+1730094.42</f>
        <v>2440129.9899999998</v>
      </c>
      <c r="FN82" s="171"/>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81"/>
      <c r="CD83" s="181"/>
      <c r="CE83" s="181"/>
      <c r="CF83" s="181"/>
      <c r="CG83" s="181"/>
      <c r="CH83" s="181"/>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81"/>
      <c r="DF83" s="181"/>
      <c r="DG83" s="181"/>
      <c r="DH83" s="181"/>
      <c r="DI83" s="181"/>
      <c r="DJ83" s="181"/>
      <c r="DK83" s="181"/>
      <c r="DL83" s="181"/>
      <c r="DM83" s="181"/>
      <c r="DN83" s="181"/>
      <c r="DO83" s="181"/>
      <c r="DP83" s="181"/>
      <c r="DQ83" s="181"/>
      <c r="DR83" s="181"/>
      <c r="DS83" s="181"/>
      <c r="DT83" s="181"/>
      <c r="DU83" s="181"/>
      <c r="DV83" s="181"/>
      <c r="DW83" s="181"/>
      <c r="DX83" s="181"/>
      <c r="DY83" s="181"/>
      <c r="DZ83" s="181"/>
      <c r="EA83" s="181"/>
      <c r="EB83" s="181"/>
      <c r="EC83" s="181"/>
      <c r="ED83" s="181"/>
      <c r="EE83" s="181"/>
      <c r="EF83" s="181"/>
      <c r="EG83" s="181"/>
      <c r="EH83" s="181"/>
      <c r="EI83" s="181"/>
      <c r="EJ83" s="181"/>
      <c r="EK83" s="181"/>
      <c r="EL83" s="181"/>
      <c r="EM83" s="181"/>
      <c r="EN83" s="181"/>
      <c r="EO83" s="181"/>
      <c r="EP83" s="181"/>
      <c r="EQ83" s="181"/>
      <c r="ER83" s="181"/>
      <c r="ES83" s="181"/>
      <c r="ET83" s="534"/>
      <c r="EU83" s="534"/>
      <c r="EV83" s="534"/>
      <c r="EW83" s="534"/>
      <c r="EX83" s="534"/>
      <c r="EY83" s="534"/>
      <c r="EZ83" s="534"/>
      <c r="FA83" s="534"/>
      <c r="FB83" s="534"/>
      <c r="FC83" s="534"/>
      <c r="FD83" s="534"/>
      <c r="FE83" s="534"/>
      <c r="FF83" s="534"/>
      <c r="FG83" s="534"/>
      <c r="FH83" s="534"/>
      <c r="FI83" s="534"/>
      <c r="FJ83" s="534"/>
      <c r="FN83" s="171"/>
    </row>
    <row r="85" spans="1:170" x14ac:dyDescent="0.25">
      <c r="ET85" s="615"/>
      <c r="EU85" s="615"/>
      <c r="EV85" s="615"/>
      <c r="EW85" s="615"/>
      <c r="EX85" s="615"/>
      <c r="EY85" s="615"/>
      <c r="EZ85" s="615"/>
      <c r="FA85" s="615"/>
      <c r="FB85" s="615"/>
      <c r="FC85" s="615"/>
      <c r="FD85" s="615"/>
      <c r="FE85" s="615"/>
      <c r="FF85" s="615"/>
      <c r="FG85" s="615"/>
      <c r="FH85" s="615"/>
      <c r="FI85" s="615"/>
      <c r="FJ85" s="615"/>
      <c r="FK85" s="152"/>
      <c r="FL85" s="152"/>
    </row>
    <row r="86" spans="1:170" ht="14.4" x14ac:dyDescent="0.3">
      <c r="AD86" s="526"/>
      <c r="AE86" s="527"/>
      <c r="AF86" s="527"/>
      <c r="AG86" s="527"/>
      <c r="AH86" s="527"/>
      <c r="AI86" s="527"/>
      <c r="AJ86" s="527"/>
      <c r="AK86" s="527"/>
      <c r="AL86" s="527"/>
      <c r="AM86" s="527"/>
      <c r="AN86" s="527"/>
      <c r="AO86" s="527"/>
      <c r="AP86" s="527"/>
      <c r="AQ86" s="527"/>
      <c r="AR86" s="527"/>
      <c r="AS86" s="527"/>
      <c r="DN86" s="528"/>
      <c r="DO86" s="529"/>
      <c r="DP86" s="529"/>
      <c r="DQ86" s="529"/>
      <c r="DR86" s="529"/>
      <c r="DS86" s="529"/>
      <c r="DT86" s="529"/>
      <c r="DU86" s="529"/>
      <c r="DV86" s="529"/>
      <c r="DW86" s="529"/>
      <c r="DX86" s="529"/>
      <c r="DY86" s="529"/>
      <c r="DZ86" s="529"/>
      <c r="EA86" s="529"/>
      <c r="EB86" s="529"/>
      <c r="EC86" s="529"/>
      <c r="ED86" s="529"/>
      <c r="EE86" s="529"/>
      <c r="EF86" s="529"/>
      <c r="EG86" s="529"/>
      <c r="EH86" s="529"/>
      <c r="EI86" s="529"/>
      <c r="EJ86" s="529"/>
      <c r="EK86" s="529"/>
      <c r="EL86" s="529"/>
      <c r="EM86" s="529"/>
      <c r="EN86" s="529"/>
      <c r="EO86" s="529"/>
      <c r="EP86" s="529"/>
      <c r="EQ86" s="529"/>
      <c r="ER86" s="529"/>
      <c r="ES86" s="529"/>
      <c r="ET86" s="533">
        <f>ET82+ET63</f>
        <v>88813885.725400001</v>
      </c>
      <c r="EU86" s="529"/>
      <c r="EV86" s="529"/>
      <c r="EW86" s="529"/>
      <c r="EX86" s="529"/>
      <c r="EY86" s="529"/>
      <c r="EZ86" s="529"/>
      <c r="FA86" s="529"/>
      <c r="FB86" s="529"/>
      <c r="FC86" s="529"/>
      <c r="FD86" s="529"/>
      <c r="FE86" s="529"/>
      <c r="FF86" s="529"/>
      <c r="FG86" s="529"/>
      <c r="FH86" s="529"/>
      <c r="FI86" s="529"/>
      <c r="FJ86" s="529"/>
      <c r="FN86" s="182"/>
    </row>
    <row r="87" spans="1:170" ht="14.4" x14ac:dyDescent="0.3">
      <c r="DN87" s="530"/>
      <c r="DO87" s="531"/>
      <c r="DP87" s="531"/>
      <c r="DQ87" s="531"/>
      <c r="DR87" s="531"/>
      <c r="DS87" s="531"/>
      <c r="DT87" s="531"/>
      <c r="DU87" s="531"/>
      <c r="DV87" s="531"/>
      <c r="DW87" s="531"/>
      <c r="DX87" s="531"/>
      <c r="DY87" s="531"/>
      <c r="DZ87" s="531"/>
      <c r="EA87" s="531"/>
      <c r="EB87" s="531"/>
      <c r="EC87" s="531"/>
      <c r="ED87" s="531"/>
      <c r="EE87" s="531"/>
      <c r="EF87" s="531"/>
      <c r="EG87" s="531"/>
      <c r="EH87" s="531"/>
      <c r="EI87" s="531"/>
      <c r="EJ87" s="531"/>
      <c r="EK87" s="531"/>
      <c r="EL87" s="531"/>
      <c r="EM87" s="531"/>
      <c r="EN87" s="531"/>
      <c r="EO87" s="531"/>
      <c r="EP87" s="531"/>
      <c r="EQ87" s="531"/>
      <c r="ER87" s="531"/>
      <c r="ES87" s="532"/>
      <c r="ET87" s="533">
        <f>ET82+ET61</f>
        <v>67079112.412464015</v>
      </c>
      <c r="EU87" s="529"/>
      <c r="EV87" s="529"/>
      <c r="EW87" s="529"/>
      <c r="EX87" s="529"/>
      <c r="EY87" s="529"/>
      <c r="EZ87" s="529"/>
      <c r="FA87" s="529"/>
      <c r="FB87" s="529"/>
      <c r="FC87" s="529"/>
      <c r="FD87" s="529"/>
      <c r="FE87" s="529"/>
      <c r="FF87" s="529"/>
      <c r="FG87" s="529"/>
      <c r="FH87" s="529"/>
      <c r="FI87" s="529"/>
      <c r="FJ87" s="529"/>
      <c r="FK87" s="183"/>
    </row>
    <row r="88" spans="1:170" ht="14.4" x14ac:dyDescent="0.3">
      <c r="DN88" s="530"/>
      <c r="DO88" s="531"/>
      <c r="DP88" s="531"/>
      <c r="DQ88" s="531"/>
      <c r="DR88" s="531"/>
      <c r="DS88" s="531"/>
      <c r="DT88" s="531"/>
      <c r="DU88" s="531"/>
      <c r="DV88" s="531"/>
      <c r="DW88" s="531"/>
      <c r="DX88" s="531"/>
      <c r="DY88" s="531"/>
      <c r="DZ88" s="531"/>
      <c r="EA88" s="531"/>
      <c r="EB88" s="531"/>
      <c r="EC88" s="531"/>
      <c r="ED88" s="531"/>
      <c r="EE88" s="531"/>
      <c r="EF88" s="531"/>
      <c r="EG88" s="531"/>
      <c r="EH88" s="531"/>
      <c r="EI88" s="531"/>
      <c r="EJ88" s="531"/>
      <c r="EK88" s="531"/>
      <c r="EL88" s="531"/>
      <c r="EM88" s="531"/>
      <c r="EN88" s="531"/>
      <c r="EO88" s="531"/>
      <c r="EP88" s="531"/>
      <c r="EQ88" s="531"/>
      <c r="ER88" s="531"/>
      <c r="ES88" s="532"/>
      <c r="ET88" s="533">
        <f>ET87/ET86</f>
        <v>0.75527730674754134</v>
      </c>
      <c r="EU88" s="529"/>
      <c r="EV88" s="529"/>
      <c r="EW88" s="529"/>
      <c r="EX88" s="529"/>
      <c r="EY88" s="529"/>
      <c r="EZ88" s="529"/>
      <c r="FA88" s="529"/>
      <c r="FB88" s="529"/>
      <c r="FC88" s="529"/>
      <c r="FD88" s="529"/>
      <c r="FE88" s="529"/>
      <c r="FF88" s="529"/>
      <c r="FG88" s="529"/>
      <c r="FH88" s="529"/>
      <c r="FI88" s="529"/>
      <c r="FJ88" s="529"/>
      <c r="FK88" s="183"/>
    </row>
    <row r="91" spans="1:170" x14ac:dyDescent="0.25">
      <c r="EW91" s="184"/>
      <c r="EX91" s="185"/>
      <c r="EY91" s="185"/>
      <c r="EZ91" s="185"/>
      <c r="FA91" s="185"/>
      <c r="FB91" s="185"/>
      <c r="FC91" s="185"/>
    </row>
    <row r="92" spans="1:170" x14ac:dyDescent="0.25">
      <c r="EW92" s="535"/>
      <c r="EX92" s="535"/>
      <c r="EY92" s="535"/>
      <c r="EZ92" s="535"/>
      <c r="FA92" s="535"/>
      <c r="FB92" s="535"/>
      <c r="FC92" s="535"/>
    </row>
    <row r="93" spans="1:170" x14ac:dyDescent="0.25">
      <c r="FK93" s="186"/>
    </row>
    <row r="94" spans="1:170" x14ac:dyDescent="0.25">
      <c r="FK94" s="187"/>
    </row>
    <row r="95" spans="1:170" x14ac:dyDescent="0.25">
      <c r="FK95" s="186"/>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55118110236220474" bottom="0" header="0.11811023622047245" footer="0"/>
  <pageSetup paperSize="9" scale="79" fitToHeight="0" orientation="landscape" r:id="rId1"/>
  <rowBreaks count="2" manualBreakCount="2">
    <brk id="36" max="165" man="1"/>
    <brk id="61" max="16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V951"/>
  <sheetViews>
    <sheetView view="pageBreakPreview" topLeftCell="A447" zoomScale="70" zoomScaleNormal="57" zoomScaleSheetLayoutView="70" workbookViewId="0">
      <selection activeCell="DB486" sqref="DB486"/>
    </sheetView>
  </sheetViews>
  <sheetFormatPr defaultColWidth="0.88671875" defaultRowHeight="13.8" x14ac:dyDescent="0.25"/>
  <cols>
    <col min="1" max="49" width="1" style="13" customWidth="1"/>
    <col min="50" max="50" width="1.88671875" style="13" customWidth="1"/>
    <col min="51" max="104" width="1" style="13" customWidth="1"/>
    <col min="105" max="105" width="2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93" t="s">
        <v>821</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214" t="s">
        <v>912</v>
      </c>
      <c r="DB1" s="16"/>
    </row>
    <row r="2" spans="1:106" s="20" customFormat="1" x14ac:dyDescent="0.25">
      <c r="A2" s="732" t="s">
        <v>275</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c r="BH2" s="732"/>
      <c r="BI2" s="732"/>
      <c r="BJ2" s="732"/>
      <c r="BK2" s="732"/>
      <c r="BL2" s="732"/>
      <c r="BM2" s="732"/>
      <c r="BN2" s="732"/>
      <c r="BO2" s="732"/>
      <c r="BP2" s="732"/>
      <c r="BQ2" s="732"/>
      <c r="BR2" s="732"/>
      <c r="BS2" s="732"/>
      <c r="BT2" s="732"/>
      <c r="BU2" s="732"/>
      <c r="BV2" s="732"/>
      <c r="BW2" s="732"/>
      <c r="BX2" s="732"/>
      <c r="BY2" s="732"/>
      <c r="BZ2" s="732"/>
      <c r="CA2" s="732"/>
      <c r="CB2" s="732"/>
      <c r="CC2" s="732"/>
      <c r="CD2" s="732"/>
      <c r="CE2" s="732"/>
      <c r="CF2" s="732"/>
      <c r="CG2" s="732"/>
      <c r="CH2" s="732"/>
      <c r="CI2" s="732"/>
      <c r="CJ2" s="732"/>
      <c r="CK2" s="732"/>
      <c r="CL2" s="732"/>
      <c r="CM2" s="732"/>
      <c r="CN2" s="732"/>
      <c r="CO2" s="732"/>
      <c r="CP2" s="732"/>
      <c r="CQ2" s="732"/>
      <c r="CR2" s="732"/>
      <c r="CS2" s="732"/>
      <c r="CT2" s="732"/>
      <c r="CU2" s="732"/>
      <c r="CV2" s="732"/>
      <c r="CW2" s="732"/>
      <c r="CX2" s="732"/>
      <c r="CY2" s="732"/>
      <c r="CZ2" s="732"/>
      <c r="DA2" s="220">
        <f>CI73+CI213+CI502+CI572+CI674+CI889+CI912</f>
        <v>33323104.000000004</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5">
        <f>'[2]Раздел 1'!$G$82</f>
        <v>145799591.82999998</v>
      </c>
      <c r="DB3" s="216" t="s">
        <v>423</v>
      </c>
    </row>
    <row r="4" spans="1:106" s="20" customFormat="1" x14ac:dyDescent="0.25">
      <c r="A4" s="20" t="s">
        <v>47</v>
      </c>
      <c r="W4" s="595" t="s">
        <v>536</v>
      </c>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217" t="s">
        <v>913</v>
      </c>
      <c r="DB4" s="16"/>
    </row>
    <row r="5" spans="1:106" s="20" customFormat="1" ht="12" customHeight="1" x14ac:dyDescent="0.25">
      <c r="DA5" s="214"/>
      <c r="DB5" s="16"/>
    </row>
    <row r="6" spans="1:106" s="18" customFormat="1" ht="45" customHeight="1" x14ac:dyDescent="0.25">
      <c r="A6" s="597" t="s">
        <v>49</v>
      </c>
      <c r="B6" s="598"/>
      <c r="C6" s="598"/>
      <c r="D6" s="598"/>
      <c r="E6" s="598"/>
      <c r="F6" s="599"/>
      <c r="G6" s="597" t="s">
        <v>57</v>
      </c>
      <c r="H6" s="598"/>
      <c r="I6" s="598"/>
      <c r="J6" s="598"/>
      <c r="K6" s="598"/>
      <c r="L6" s="598"/>
      <c r="M6" s="598"/>
      <c r="N6" s="598"/>
      <c r="O6" s="598"/>
      <c r="P6" s="598"/>
      <c r="Q6" s="598"/>
      <c r="R6" s="598"/>
      <c r="S6" s="598"/>
      <c r="T6" s="598"/>
      <c r="U6" s="598"/>
      <c r="V6" s="598"/>
      <c r="W6" s="598"/>
      <c r="X6" s="598"/>
      <c r="Y6" s="598"/>
      <c r="Z6" s="598"/>
      <c r="AA6" s="598"/>
      <c r="AB6" s="598"/>
      <c r="AC6" s="599"/>
      <c r="AD6" s="597" t="s">
        <v>58</v>
      </c>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597" t="s">
        <v>59</v>
      </c>
      <c r="BD6" s="598"/>
      <c r="BE6" s="598"/>
      <c r="BF6" s="598"/>
      <c r="BG6" s="598"/>
      <c r="BH6" s="598"/>
      <c r="BI6" s="598"/>
      <c r="BJ6" s="598"/>
      <c r="BK6" s="598"/>
      <c r="BL6" s="598"/>
      <c r="BM6" s="598"/>
      <c r="BN6" s="598"/>
      <c r="BO6" s="598"/>
      <c r="BP6" s="598"/>
      <c r="BQ6" s="598"/>
      <c r="BR6" s="599"/>
      <c r="BS6" s="597" t="s">
        <v>60</v>
      </c>
      <c r="BT6" s="598"/>
      <c r="BU6" s="598"/>
      <c r="BV6" s="598"/>
      <c r="BW6" s="598"/>
      <c r="BX6" s="598"/>
      <c r="BY6" s="598"/>
      <c r="BZ6" s="598"/>
      <c r="CA6" s="598"/>
      <c r="CB6" s="598"/>
      <c r="CC6" s="598"/>
      <c r="CD6" s="598"/>
      <c r="CE6" s="598"/>
      <c r="CF6" s="598"/>
      <c r="CG6" s="598"/>
      <c r="CH6" s="599"/>
      <c r="CI6" s="597" t="s">
        <v>61</v>
      </c>
      <c r="CJ6" s="598"/>
      <c r="CK6" s="598"/>
      <c r="CL6" s="598"/>
      <c r="CM6" s="598"/>
      <c r="CN6" s="598"/>
      <c r="CO6" s="598"/>
      <c r="CP6" s="598"/>
      <c r="CQ6" s="598"/>
      <c r="CR6" s="598"/>
      <c r="CS6" s="598"/>
      <c r="CT6" s="598"/>
      <c r="CU6" s="598"/>
      <c r="CV6" s="598"/>
      <c r="CW6" s="598"/>
      <c r="CX6" s="598"/>
      <c r="CY6" s="598"/>
      <c r="CZ6" s="599"/>
      <c r="DA6" s="20"/>
      <c r="DB6" s="13"/>
    </row>
    <row r="7" spans="1:106" s="15" customFormat="1" x14ac:dyDescent="0.25">
      <c r="A7" s="591">
        <v>1</v>
      </c>
      <c r="B7" s="591"/>
      <c r="C7" s="591"/>
      <c r="D7" s="591"/>
      <c r="E7" s="591"/>
      <c r="F7" s="591"/>
      <c r="G7" s="591">
        <v>2</v>
      </c>
      <c r="H7" s="591"/>
      <c r="I7" s="591"/>
      <c r="J7" s="591"/>
      <c r="K7" s="591"/>
      <c r="L7" s="591"/>
      <c r="M7" s="591"/>
      <c r="N7" s="591"/>
      <c r="O7" s="591"/>
      <c r="P7" s="591"/>
      <c r="Q7" s="591"/>
      <c r="R7" s="591"/>
      <c r="S7" s="591"/>
      <c r="T7" s="591"/>
      <c r="U7" s="591"/>
      <c r="V7" s="591"/>
      <c r="W7" s="591"/>
      <c r="X7" s="591"/>
      <c r="Y7" s="591"/>
      <c r="Z7" s="591"/>
      <c r="AA7" s="591"/>
      <c r="AB7" s="591"/>
      <c r="AC7" s="591"/>
      <c r="AD7" s="591">
        <v>3</v>
      </c>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v>4</v>
      </c>
      <c r="BD7" s="591"/>
      <c r="BE7" s="591"/>
      <c r="BF7" s="591"/>
      <c r="BG7" s="591"/>
      <c r="BH7" s="591"/>
      <c r="BI7" s="591"/>
      <c r="BJ7" s="591"/>
      <c r="BK7" s="591"/>
      <c r="BL7" s="591"/>
      <c r="BM7" s="591"/>
      <c r="BN7" s="591"/>
      <c r="BO7" s="591"/>
      <c r="BP7" s="591"/>
      <c r="BQ7" s="591"/>
      <c r="BR7" s="591"/>
      <c r="BS7" s="591">
        <v>5</v>
      </c>
      <c r="BT7" s="591"/>
      <c r="BU7" s="591"/>
      <c r="BV7" s="591"/>
      <c r="BW7" s="591"/>
      <c r="BX7" s="591"/>
      <c r="BY7" s="591"/>
      <c r="BZ7" s="591"/>
      <c r="CA7" s="591"/>
      <c r="CB7" s="591"/>
      <c r="CC7" s="591"/>
      <c r="CD7" s="591"/>
      <c r="CE7" s="591"/>
      <c r="CF7" s="591"/>
      <c r="CG7" s="591"/>
      <c r="CH7" s="591"/>
      <c r="CI7" s="591">
        <v>6</v>
      </c>
      <c r="CJ7" s="591"/>
      <c r="CK7" s="591"/>
      <c r="CL7" s="591"/>
      <c r="CM7" s="591"/>
      <c r="CN7" s="591"/>
      <c r="CO7" s="591"/>
      <c r="CP7" s="591"/>
      <c r="CQ7" s="591"/>
      <c r="CR7" s="591"/>
      <c r="CS7" s="591"/>
      <c r="CT7" s="591"/>
      <c r="CU7" s="591"/>
      <c r="CV7" s="591"/>
      <c r="CW7" s="591"/>
      <c r="CX7" s="591"/>
      <c r="CY7" s="591"/>
      <c r="CZ7" s="591"/>
      <c r="DA7" s="20"/>
      <c r="DB7" s="20"/>
    </row>
    <row r="8" spans="1:106" s="16" customFormat="1" ht="15" customHeight="1" x14ac:dyDescent="0.25">
      <c r="A8" s="656" t="s">
        <v>537</v>
      </c>
      <c r="B8" s="657"/>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657"/>
      <c r="CP8" s="657"/>
      <c r="CQ8" s="657"/>
      <c r="CR8" s="657"/>
      <c r="CS8" s="657"/>
      <c r="CT8" s="657"/>
      <c r="CU8" s="657"/>
      <c r="CV8" s="657"/>
      <c r="CW8" s="657"/>
      <c r="CX8" s="657"/>
      <c r="CY8" s="657"/>
      <c r="CZ8" s="658"/>
      <c r="DA8" s="20"/>
      <c r="DB8" s="20"/>
    </row>
    <row r="9" spans="1:106" s="16" customFormat="1" ht="18" customHeight="1" x14ac:dyDescent="0.25">
      <c r="A9" s="630" t="s">
        <v>441</v>
      </c>
      <c r="B9" s="631"/>
      <c r="C9" s="631"/>
      <c r="D9" s="631"/>
      <c r="E9" s="631"/>
      <c r="F9" s="632"/>
      <c r="G9" s="584" t="s">
        <v>538</v>
      </c>
      <c r="H9" s="585"/>
      <c r="I9" s="585"/>
      <c r="J9" s="585"/>
      <c r="K9" s="585"/>
      <c r="L9" s="585"/>
      <c r="M9" s="585"/>
      <c r="N9" s="585"/>
      <c r="O9" s="585"/>
      <c r="P9" s="585"/>
      <c r="Q9" s="585"/>
      <c r="R9" s="585"/>
      <c r="S9" s="585"/>
      <c r="T9" s="585"/>
      <c r="U9" s="585"/>
      <c r="V9" s="585"/>
      <c r="W9" s="585"/>
      <c r="X9" s="585"/>
      <c r="Y9" s="585"/>
      <c r="Z9" s="585"/>
      <c r="AA9" s="585"/>
      <c r="AB9" s="585"/>
      <c r="AC9" s="586"/>
      <c r="AD9" s="639">
        <v>100</v>
      </c>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1"/>
      <c r="BC9" s="544">
        <v>5</v>
      </c>
      <c r="BD9" s="545"/>
      <c r="BE9" s="545"/>
      <c r="BF9" s="545"/>
      <c r="BG9" s="545"/>
      <c r="BH9" s="545"/>
      <c r="BI9" s="545"/>
      <c r="BJ9" s="545"/>
      <c r="BK9" s="545"/>
      <c r="BL9" s="545"/>
      <c r="BM9" s="545"/>
      <c r="BN9" s="545"/>
      <c r="BO9" s="545"/>
      <c r="BP9" s="545"/>
      <c r="BQ9" s="545"/>
      <c r="BR9" s="546"/>
      <c r="BS9" s="544">
        <v>10</v>
      </c>
      <c r="BT9" s="545"/>
      <c r="BU9" s="545"/>
      <c r="BV9" s="545"/>
      <c r="BW9" s="545"/>
      <c r="BX9" s="545"/>
      <c r="BY9" s="545"/>
      <c r="BZ9" s="545"/>
      <c r="CA9" s="545"/>
      <c r="CB9" s="545"/>
      <c r="CC9" s="545"/>
      <c r="CD9" s="545"/>
      <c r="CE9" s="545"/>
      <c r="CF9" s="545"/>
      <c r="CG9" s="545"/>
      <c r="CH9" s="546"/>
      <c r="CI9" s="627">
        <f>AD9*BC9*BS9</f>
        <v>5000</v>
      </c>
      <c r="CJ9" s="628"/>
      <c r="CK9" s="628"/>
      <c r="CL9" s="628"/>
      <c r="CM9" s="628"/>
      <c r="CN9" s="628"/>
      <c r="CO9" s="628"/>
      <c r="CP9" s="628"/>
      <c r="CQ9" s="628"/>
      <c r="CR9" s="628"/>
      <c r="CS9" s="628"/>
      <c r="CT9" s="628"/>
      <c r="CU9" s="628"/>
      <c r="CV9" s="628"/>
      <c r="CW9" s="628"/>
      <c r="CX9" s="628"/>
      <c r="CY9" s="628"/>
      <c r="CZ9" s="629"/>
      <c r="DA9" s="20"/>
      <c r="DB9" s="20"/>
    </row>
    <row r="10" spans="1:106" s="16" customFormat="1" ht="42.75" customHeight="1" x14ac:dyDescent="0.3">
      <c r="A10" s="630" t="s">
        <v>444</v>
      </c>
      <c r="B10" s="631"/>
      <c r="C10" s="631"/>
      <c r="D10" s="631"/>
      <c r="E10" s="631"/>
      <c r="F10" s="632"/>
      <c r="G10" s="584" t="s">
        <v>539</v>
      </c>
      <c r="H10" s="585"/>
      <c r="I10" s="585"/>
      <c r="J10" s="585"/>
      <c r="K10" s="585"/>
      <c r="L10" s="585"/>
      <c r="M10" s="585"/>
      <c r="N10" s="585"/>
      <c r="O10" s="585"/>
      <c r="P10" s="585"/>
      <c r="Q10" s="585"/>
      <c r="R10" s="585"/>
      <c r="S10" s="585"/>
      <c r="T10" s="585"/>
      <c r="U10" s="585"/>
      <c r="V10" s="585"/>
      <c r="W10" s="585"/>
      <c r="X10" s="585"/>
      <c r="Y10" s="585"/>
      <c r="Z10" s="585"/>
      <c r="AA10" s="585"/>
      <c r="AB10" s="585"/>
      <c r="AC10" s="586"/>
      <c r="AD10" s="639">
        <v>400</v>
      </c>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1"/>
      <c r="BC10" s="544">
        <v>5</v>
      </c>
      <c r="BD10" s="545"/>
      <c r="BE10" s="545"/>
      <c r="BF10" s="545"/>
      <c r="BG10" s="545"/>
      <c r="BH10" s="545"/>
      <c r="BI10" s="545"/>
      <c r="BJ10" s="545"/>
      <c r="BK10" s="545"/>
      <c r="BL10" s="545"/>
      <c r="BM10" s="545"/>
      <c r="BN10" s="545"/>
      <c r="BO10" s="545"/>
      <c r="BP10" s="545"/>
      <c r="BQ10" s="545"/>
      <c r="BR10" s="546"/>
      <c r="BS10" s="733">
        <v>10</v>
      </c>
      <c r="BT10" s="734"/>
      <c r="BU10" s="734"/>
      <c r="BV10" s="734"/>
      <c r="BW10" s="734"/>
      <c r="BX10" s="734"/>
      <c r="BY10" s="734"/>
      <c r="BZ10" s="734"/>
      <c r="CA10" s="734"/>
      <c r="CB10" s="734"/>
      <c r="CC10" s="734"/>
      <c r="CD10" s="734"/>
      <c r="CE10" s="734"/>
      <c r="CF10" s="734"/>
      <c r="CG10" s="734"/>
      <c r="CH10" s="735"/>
      <c r="CI10" s="627">
        <f>AD10*BC10*BS10</f>
        <v>20000</v>
      </c>
      <c r="CJ10" s="628"/>
      <c r="CK10" s="628"/>
      <c r="CL10" s="628"/>
      <c r="CM10" s="628"/>
      <c r="CN10" s="628"/>
      <c r="CO10" s="628"/>
      <c r="CP10" s="628"/>
      <c r="CQ10" s="628"/>
      <c r="CR10" s="628"/>
      <c r="CS10" s="628"/>
      <c r="CT10" s="628"/>
      <c r="CU10" s="628"/>
      <c r="CV10" s="628"/>
      <c r="CW10" s="628"/>
      <c r="CX10" s="628"/>
      <c r="CY10" s="628"/>
      <c r="CZ10" s="629"/>
      <c r="DA10" s="218"/>
      <c r="DB10" s="18"/>
    </row>
    <row r="11" spans="1:106" s="16" customFormat="1" ht="44.25" customHeight="1" x14ac:dyDescent="0.3">
      <c r="A11" s="630" t="s">
        <v>446</v>
      </c>
      <c r="B11" s="631"/>
      <c r="C11" s="631"/>
      <c r="D11" s="631"/>
      <c r="E11" s="631"/>
      <c r="F11" s="632"/>
      <c r="G11" s="584" t="s">
        <v>540</v>
      </c>
      <c r="H11" s="585"/>
      <c r="I11" s="585"/>
      <c r="J11" s="585"/>
      <c r="K11" s="585"/>
      <c r="L11" s="585"/>
      <c r="M11" s="585"/>
      <c r="N11" s="585"/>
      <c r="O11" s="585"/>
      <c r="P11" s="585"/>
      <c r="Q11" s="585"/>
      <c r="R11" s="585"/>
      <c r="S11" s="585"/>
      <c r="T11" s="585"/>
      <c r="U11" s="585"/>
      <c r="V11" s="585"/>
      <c r="W11" s="585"/>
      <c r="X11" s="585"/>
      <c r="Y11" s="585"/>
      <c r="Z11" s="585"/>
      <c r="AA11" s="585"/>
      <c r="AB11" s="585"/>
      <c r="AC11" s="586"/>
      <c r="AD11" s="639">
        <v>700</v>
      </c>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1"/>
      <c r="BC11" s="544">
        <v>5</v>
      </c>
      <c r="BD11" s="545"/>
      <c r="BE11" s="545"/>
      <c r="BF11" s="545"/>
      <c r="BG11" s="545"/>
      <c r="BH11" s="545"/>
      <c r="BI11" s="545"/>
      <c r="BJ11" s="545"/>
      <c r="BK11" s="545"/>
      <c r="BL11" s="545"/>
      <c r="BM11" s="545"/>
      <c r="BN11" s="545"/>
      <c r="BO11" s="545"/>
      <c r="BP11" s="545"/>
      <c r="BQ11" s="545"/>
      <c r="BR11" s="546"/>
      <c r="BS11" s="544">
        <v>10</v>
      </c>
      <c r="BT11" s="545"/>
      <c r="BU11" s="545"/>
      <c r="BV11" s="545"/>
      <c r="BW11" s="545"/>
      <c r="BX11" s="545"/>
      <c r="BY11" s="545"/>
      <c r="BZ11" s="545"/>
      <c r="CA11" s="545"/>
      <c r="CB11" s="545"/>
      <c r="CC11" s="545"/>
      <c r="CD11" s="545"/>
      <c r="CE11" s="545"/>
      <c r="CF11" s="545"/>
      <c r="CG11" s="545"/>
      <c r="CH11" s="546"/>
      <c r="CI11" s="627">
        <f>AD11*BC11*BS11</f>
        <v>35000</v>
      </c>
      <c r="CJ11" s="628"/>
      <c r="CK11" s="628"/>
      <c r="CL11" s="628"/>
      <c r="CM11" s="628"/>
      <c r="CN11" s="628"/>
      <c r="CO11" s="628"/>
      <c r="CP11" s="628"/>
      <c r="CQ11" s="628"/>
      <c r="CR11" s="628"/>
      <c r="CS11" s="628"/>
      <c r="CT11" s="628"/>
      <c r="CU11" s="628"/>
      <c r="CV11" s="628"/>
      <c r="CW11" s="628"/>
      <c r="CX11" s="628"/>
      <c r="CY11" s="628"/>
      <c r="CZ11" s="629"/>
      <c r="DA11" s="219"/>
      <c r="DB11" s="15"/>
    </row>
    <row r="12" spans="1:106" s="16" customFormat="1" ht="27" customHeight="1" x14ac:dyDescent="0.3">
      <c r="A12" s="633" t="s">
        <v>292</v>
      </c>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5"/>
      <c r="AD12" s="582" t="s">
        <v>4</v>
      </c>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t="s">
        <v>4</v>
      </c>
      <c r="BD12" s="582"/>
      <c r="BE12" s="582"/>
      <c r="BF12" s="582"/>
      <c r="BG12" s="582"/>
      <c r="BH12" s="582"/>
      <c r="BI12" s="582"/>
      <c r="BJ12" s="582"/>
      <c r="BK12" s="582"/>
      <c r="BL12" s="582"/>
      <c r="BM12" s="582"/>
      <c r="BN12" s="582"/>
      <c r="BO12" s="582"/>
      <c r="BP12" s="582"/>
      <c r="BQ12" s="582"/>
      <c r="BR12" s="582"/>
      <c r="BS12" s="582" t="s">
        <v>4</v>
      </c>
      <c r="BT12" s="582"/>
      <c r="BU12" s="582"/>
      <c r="BV12" s="582"/>
      <c r="BW12" s="582"/>
      <c r="BX12" s="582"/>
      <c r="BY12" s="582"/>
      <c r="BZ12" s="582"/>
      <c r="CA12" s="582"/>
      <c r="CB12" s="582"/>
      <c r="CC12" s="582"/>
      <c r="CD12" s="582"/>
      <c r="CE12" s="582"/>
      <c r="CF12" s="582"/>
      <c r="CG12" s="582"/>
      <c r="CH12" s="582"/>
      <c r="CI12" s="636">
        <f>SUM(CI9:CZ11)</f>
        <v>60000</v>
      </c>
      <c r="CJ12" s="654"/>
      <c r="CK12" s="654"/>
      <c r="CL12" s="654"/>
      <c r="CM12" s="654"/>
      <c r="CN12" s="654"/>
      <c r="CO12" s="654"/>
      <c r="CP12" s="654"/>
      <c r="CQ12" s="654"/>
      <c r="CR12" s="654"/>
      <c r="CS12" s="654"/>
      <c r="CT12" s="654"/>
      <c r="CU12" s="654"/>
      <c r="CV12" s="654"/>
      <c r="CW12" s="654"/>
      <c r="CX12" s="654"/>
      <c r="CY12" s="654"/>
      <c r="CZ12" s="655"/>
      <c r="DA12" s="214"/>
    </row>
    <row r="13" spans="1:106" s="16" customFormat="1" ht="15" customHeight="1" x14ac:dyDescent="0.3">
      <c r="A13" s="656" t="s">
        <v>541</v>
      </c>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8"/>
      <c r="DA13" s="214"/>
    </row>
    <row r="14" spans="1:106" s="16" customFormat="1" ht="15" customHeight="1" x14ac:dyDescent="0.3">
      <c r="A14" s="659" t="s">
        <v>441</v>
      </c>
      <c r="B14" s="659"/>
      <c r="C14" s="659"/>
      <c r="D14" s="659"/>
      <c r="E14" s="659"/>
      <c r="F14" s="659"/>
      <c r="G14" s="584" t="s">
        <v>538</v>
      </c>
      <c r="H14" s="585"/>
      <c r="I14" s="585"/>
      <c r="J14" s="585"/>
      <c r="K14" s="585"/>
      <c r="L14" s="585"/>
      <c r="M14" s="585"/>
      <c r="N14" s="585"/>
      <c r="O14" s="585"/>
      <c r="P14" s="585"/>
      <c r="Q14" s="585"/>
      <c r="R14" s="585"/>
      <c r="S14" s="585"/>
      <c r="T14" s="585"/>
      <c r="U14" s="585"/>
      <c r="V14" s="585"/>
      <c r="W14" s="585"/>
      <c r="X14" s="585"/>
      <c r="Y14" s="585"/>
      <c r="Z14" s="585"/>
      <c r="AA14" s="585"/>
      <c r="AB14" s="585"/>
      <c r="AC14" s="586"/>
      <c r="AD14" s="664">
        <v>100</v>
      </c>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59" t="s">
        <v>489</v>
      </c>
      <c r="BD14" s="659"/>
      <c r="BE14" s="659"/>
      <c r="BF14" s="659"/>
      <c r="BG14" s="659"/>
      <c r="BH14" s="659"/>
      <c r="BI14" s="659"/>
      <c r="BJ14" s="659"/>
      <c r="BK14" s="659"/>
      <c r="BL14" s="659"/>
      <c r="BM14" s="659"/>
      <c r="BN14" s="659"/>
      <c r="BO14" s="659"/>
      <c r="BP14" s="659"/>
      <c r="BQ14" s="659"/>
      <c r="BR14" s="659"/>
      <c r="BS14" s="630" t="s">
        <v>489</v>
      </c>
      <c r="BT14" s="631"/>
      <c r="BU14" s="631"/>
      <c r="BV14" s="631"/>
      <c r="BW14" s="631"/>
      <c r="BX14" s="631"/>
      <c r="BY14" s="631"/>
      <c r="BZ14" s="631"/>
      <c r="CA14" s="631"/>
      <c r="CB14" s="631"/>
      <c r="CC14" s="631"/>
      <c r="CD14" s="631"/>
      <c r="CE14" s="631"/>
      <c r="CF14" s="631"/>
      <c r="CG14" s="631"/>
      <c r="CH14" s="631"/>
      <c r="CI14" s="627">
        <f>AD14*BC14*BS14</f>
        <v>10000</v>
      </c>
      <c r="CJ14" s="628"/>
      <c r="CK14" s="628"/>
      <c r="CL14" s="628"/>
      <c r="CM14" s="628"/>
      <c r="CN14" s="628"/>
      <c r="CO14" s="628"/>
      <c r="CP14" s="628"/>
      <c r="CQ14" s="628"/>
      <c r="CR14" s="628"/>
      <c r="CS14" s="628"/>
      <c r="CT14" s="628"/>
      <c r="CU14" s="628"/>
      <c r="CV14" s="628"/>
      <c r="CW14" s="628"/>
      <c r="CX14" s="628"/>
      <c r="CY14" s="628"/>
      <c r="CZ14" s="629"/>
      <c r="DA14" s="214"/>
    </row>
    <row r="15" spans="1:106" s="16" customFormat="1" ht="48.75" customHeight="1" x14ac:dyDescent="0.3">
      <c r="A15" s="630" t="s">
        <v>444</v>
      </c>
      <c r="B15" s="631"/>
      <c r="C15" s="631"/>
      <c r="D15" s="631"/>
      <c r="E15" s="631"/>
      <c r="F15" s="632"/>
      <c r="G15" s="584" t="s">
        <v>539</v>
      </c>
      <c r="H15" s="585"/>
      <c r="I15" s="585"/>
      <c r="J15" s="585"/>
      <c r="K15" s="585"/>
      <c r="L15" s="585"/>
      <c r="M15" s="585"/>
      <c r="N15" s="585"/>
      <c r="O15" s="585"/>
      <c r="P15" s="585"/>
      <c r="Q15" s="585"/>
      <c r="R15" s="585"/>
      <c r="S15" s="585"/>
      <c r="T15" s="585"/>
      <c r="U15" s="585"/>
      <c r="V15" s="585"/>
      <c r="W15" s="585"/>
      <c r="X15" s="585"/>
      <c r="Y15" s="585"/>
      <c r="Z15" s="585"/>
      <c r="AA15" s="585"/>
      <c r="AB15" s="585"/>
      <c r="AC15" s="586"/>
      <c r="AD15" s="639">
        <v>300</v>
      </c>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1"/>
      <c r="BC15" s="544">
        <v>10</v>
      </c>
      <c r="BD15" s="545"/>
      <c r="BE15" s="545"/>
      <c r="BF15" s="545"/>
      <c r="BG15" s="545"/>
      <c r="BH15" s="545"/>
      <c r="BI15" s="545"/>
      <c r="BJ15" s="545"/>
      <c r="BK15" s="545"/>
      <c r="BL15" s="545"/>
      <c r="BM15" s="545"/>
      <c r="BN15" s="545"/>
      <c r="BO15" s="545"/>
      <c r="BP15" s="545"/>
      <c r="BQ15" s="545"/>
      <c r="BR15" s="546"/>
      <c r="BS15" s="544">
        <v>10</v>
      </c>
      <c r="BT15" s="545"/>
      <c r="BU15" s="545"/>
      <c r="BV15" s="545"/>
      <c r="BW15" s="545"/>
      <c r="BX15" s="545"/>
      <c r="BY15" s="545"/>
      <c r="BZ15" s="545"/>
      <c r="CA15" s="545"/>
      <c r="CB15" s="545"/>
      <c r="CC15" s="545"/>
      <c r="CD15" s="545"/>
      <c r="CE15" s="545"/>
      <c r="CF15" s="545"/>
      <c r="CG15" s="545"/>
      <c r="CH15" s="546"/>
      <c r="CI15" s="627">
        <f>AD15*BC15*BS15</f>
        <v>30000</v>
      </c>
      <c r="CJ15" s="628"/>
      <c r="CK15" s="628"/>
      <c r="CL15" s="628"/>
      <c r="CM15" s="628"/>
      <c r="CN15" s="628"/>
      <c r="CO15" s="628"/>
      <c r="CP15" s="628"/>
      <c r="CQ15" s="628"/>
      <c r="CR15" s="628"/>
      <c r="CS15" s="628"/>
      <c r="CT15" s="628"/>
      <c r="CU15" s="628"/>
      <c r="CV15" s="628"/>
      <c r="CW15" s="628"/>
      <c r="CX15" s="628"/>
      <c r="CY15" s="628"/>
      <c r="CZ15" s="629"/>
      <c r="DA15" s="214"/>
    </row>
    <row r="16" spans="1:106" s="16" customFormat="1" ht="26.25" customHeight="1" x14ac:dyDescent="0.3">
      <c r="A16" s="633" t="s">
        <v>292</v>
      </c>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5"/>
      <c r="AD16" s="582" t="s">
        <v>4</v>
      </c>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t="s">
        <v>4</v>
      </c>
      <c r="BD16" s="582"/>
      <c r="BE16" s="582"/>
      <c r="BF16" s="582"/>
      <c r="BG16" s="582"/>
      <c r="BH16" s="582"/>
      <c r="BI16" s="582"/>
      <c r="BJ16" s="582"/>
      <c r="BK16" s="582"/>
      <c r="BL16" s="582"/>
      <c r="BM16" s="582"/>
      <c r="BN16" s="582"/>
      <c r="BO16" s="582"/>
      <c r="BP16" s="582"/>
      <c r="BQ16" s="582"/>
      <c r="BR16" s="582"/>
      <c r="BS16" s="582" t="s">
        <v>4</v>
      </c>
      <c r="BT16" s="582"/>
      <c r="BU16" s="582"/>
      <c r="BV16" s="582"/>
      <c r="BW16" s="582"/>
      <c r="BX16" s="582"/>
      <c r="BY16" s="582"/>
      <c r="BZ16" s="582"/>
      <c r="CA16" s="582"/>
      <c r="CB16" s="582"/>
      <c r="CC16" s="582"/>
      <c r="CD16" s="582"/>
      <c r="CE16" s="582"/>
      <c r="CF16" s="582"/>
      <c r="CG16" s="582"/>
      <c r="CH16" s="582"/>
      <c r="CI16" s="636">
        <f>SUM(CI14:CZ15)</f>
        <v>40000</v>
      </c>
      <c r="CJ16" s="654"/>
      <c r="CK16" s="654"/>
      <c r="CL16" s="654"/>
      <c r="CM16" s="654"/>
      <c r="CN16" s="654"/>
      <c r="CO16" s="654"/>
      <c r="CP16" s="654"/>
      <c r="CQ16" s="654"/>
      <c r="CR16" s="654"/>
      <c r="CS16" s="654"/>
      <c r="CT16" s="654"/>
      <c r="CU16" s="654"/>
      <c r="CV16" s="654"/>
      <c r="CW16" s="654"/>
      <c r="CX16" s="654"/>
      <c r="CY16" s="654"/>
      <c r="CZ16" s="655"/>
      <c r="DA16" s="214"/>
    </row>
    <row r="17" spans="1:106" s="16" customFormat="1" ht="15" customHeight="1" x14ac:dyDescent="0.3">
      <c r="A17" s="553" t="s">
        <v>56</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5"/>
      <c r="AD17" s="582" t="s">
        <v>4</v>
      </c>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t="s">
        <v>4</v>
      </c>
      <c r="BD17" s="582"/>
      <c r="BE17" s="582"/>
      <c r="BF17" s="582"/>
      <c r="BG17" s="582"/>
      <c r="BH17" s="582"/>
      <c r="BI17" s="582"/>
      <c r="BJ17" s="582"/>
      <c r="BK17" s="582"/>
      <c r="BL17" s="582"/>
      <c r="BM17" s="582"/>
      <c r="BN17" s="582"/>
      <c r="BO17" s="582"/>
      <c r="BP17" s="582"/>
      <c r="BQ17" s="582"/>
      <c r="BR17" s="582"/>
      <c r="BS17" s="582" t="s">
        <v>4</v>
      </c>
      <c r="BT17" s="582"/>
      <c r="BU17" s="582"/>
      <c r="BV17" s="582"/>
      <c r="BW17" s="582"/>
      <c r="BX17" s="582"/>
      <c r="BY17" s="582"/>
      <c r="BZ17" s="582"/>
      <c r="CA17" s="582"/>
      <c r="CB17" s="582"/>
      <c r="CC17" s="582"/>
      <c r="CD17" s="582"/>
      <c r="CE17" s="582"/>
      <c r="CF17" s="582"/>
      <c r="CG17" s="582"/>
      <c r="CH17" s="582"/>
      <c r="CI17" s="611">
        <f>CI12+CI16</f>
        <v>100000</v>
      </c>
      <c r="CJ17" s="611"/>
      <c r="CK17" s="611"/>
      <c r="CL17" s="611"/>
      <c r="CM17" s="611"/>
      <c r="CN17" s="611"/>
      <c r="CO17" s="611"/>
      <c r="CP17" s="611"/>
      <c r="CQ17" s="611"/>
      <c r="CR17" s="611"/>
      <c r="CS17" s="611"/>
      <c r="CT17" s="611"/>
      <c r="CU17" s="611"/>
      <c r="CV17" s="611"/>
      <c r="CW17" s="611"/>
      <c r="CX17" s="611"/>
      <c r="CY17" s="611"/>
      <c r="CZ17" s="611"/>
      <c r="DA17" s="220">
        <f>CI17</f>
        <v>100000</v>
      </c>
    </row>
    <row r="18" spans="1:106" ht="12" customHeight="1" x14ac:dyDescent="0.25">
      <c r="DA18" s="214"/>
      <c r="DB18" s="16"/>
    </row>
    <row r="19" spans="1:106" s="20" customFormat="1" ht="26.25" hidden="1" customHeight="1" x14ac:dyDescent="0.25">
      <c r="A19" s="594" t="s">
        <v>276</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94"/>
      <c r="BW19" s="594"/>
      <c r="BX19" s="594"/>
      <c r="BY19" s="594"/>
      <c r="BZ19" s="594"/>
      <c r="CA19" s="594"/>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214"/>
      <c r="DB19" s="16"/>
    </row>
    <row r="20" spans="1:106" s="20" customFormat="1" hidden="1" x14ac:dyDescent="0.25">
      <c r="A20" s="20" t="s">
        <v>47</v>
      </c>
      <c r="W20" s="595" t="s">
        <v>536</v>
      </c>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214"/>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4"/>
      <c r="DB21" s="16"/>
    </row>
    <row r="22" spans="1:106" s="18" customFormat="1" ht="55.5" hidden="1" customHeight="1" x14ac:dyDescent="0.25">
      <c r="A22" s="597" t="s">
        <v>49</v>
      </c>
      <c r="B22" s="598"/>
      <c r="C22" s="598"/>
      <c r="D22" s="598"/>
      <c r="E22" s="598"/>
      <c r="F22" s="599"/>
      <c r="G22" s="597" t="s">
        <v>57</v>
      </c>
      <c r="H22" s="598"/>
      <c r="I22" s="598"/>
      <c r="J22" s="598"/>
      <c r="K22" s="598"/>
      <c r="L22" s="598"/>
      <c r="M22" s="598"/>
      <c r="N22" s="598"/>
      <c r="O22" s="598"/>
      <c r="P22" s="598"/>
      <c r="Q22" s="598"/>
      <c r="R22" s="598"/>
      <c r="S22" s="598"/>
      <c r="T22" s="598"/>
      <c r="U22" s="598"/>
      <c r="V22" s="598"/>
      <c r="W22" s="598"/>
      <c r="X22" s="598"/>
      <c r="Y22" s="598"/>
      <c r="Z22" s="598"/>
      <c r="AA22" s="598"/>
      <c r="AB22" s="598"/>
      <c r="AC22" s="599"/>
      <c r="AD22" s="597" t="s">
        <v>293</v>
      </c>
      <c r="AE22" s="598"/>
      <c r="AF22" s="598"/>
      <c r="AG22" s="598"/>
      <c r="AH22" s="598"/>
      <c r="AI22" s="598"/>
      <c r="AJ22" s="598"/>
      <c r="AK22" s="598"/>
      <c r="AL22" s="598"/>
      <c r="AM22" s="598"/>
      <c r="AN22" s="598"/>
      <c r="AO22" s="598"/>
      <c r="AP22" s="598"/>
      <c r="AQ22" s="598"/>
      <c r="AR22" s="598"/>
      <c r="AS22" s="598"/>
      <c r="AT22" s="598"/>
      <c r="AU22" s="598"/>
      <c r="AV22" s="598"/>
      <c r="AW22" s="598"/>
      <c r="AX22" s="599"/>
      <c r="AY22" s="597" t="s">
        <v>62</v>
      </c>
      <c r="AZ22" s="598"/>
      <c r="BA22" s="598"/>
      <c r="BB22" s="598"/>
      <c r="BC22" s="598"/>
      <c r="BD22" s="598"/>
      <c r="BE22" s="598"/>
      <c r="BF22" s="598"/>
      <c r="BG22" s="598"/>
      <c r="BH22" s="598"/>
      <c r="BI22" s="598"/>
      <c r="BJ22" s="598"/>
      <c r="BK22" s="598"/>
      <c r="BL22" s="598"/>
      <c r="BM22" s="598"/>
      <c r="BN22" s="598"/>
      <c r="BO22" s="598"/>
      <c r="BP22" s="599"/>
      <c r="BQ22" s="597" t="s">
        <v>63</v>
      </c>
      <c r="BR22" s="598"/>
      <c r="BS22" s="598"/>
      <c r="BT22" s="598"/>
      <c r="BU22" s="598"/>
      <c r="BV22" s="598"/>
      <c r="BW22" s="598"/>
      <c r="BX22" s="598"/>
      <c r="BY22" s="598"/>
      <c r="BZ22" s="598"/>
      <c r="CA22" s="598"/>
      <c r="CB22" s="598"/>
      <c r="CC22" s="598"/>
      <c r="CD22" s="598"/>
      <c r="CE22" s="598"/>
      <c r="CF22" s="598"/>
      <c r="CG22" s="598"/>
      <c r="CH22" s="599"/>
      <c r="CI22" s="597" t="s">
        <v>61</v>
      </c>
      <c r="CJ22" s="598"/>
      <c r="CK22" s="598"/>
      <c r="CL22" s="598"/>
      <c r="CM22" s="598"/>
      <c r="CN22" s="598"/>
      <c r="CO22" s="598"/>
      <c r="CP22" s="598"/>
      <c r="CQ22" s="598"/>
      <c r="CR22" s="598"/>
      <c r="CS22" s="598"/>
      <c r="CT22" s="598"/>
      <c r="CU22" s="598"/>
      <c r="CV22" s="598"/>
      <c r="CW22" s="598"/>
      <c r="CX22" s="598"/>
      <c r="CY22" s="598"/>
      <c r="CZ22" s="599"/>
      <c r="DA22" s="20"/>
      <c r="DB22" s="20"/>
    </row>
    <row r="23" spans="1:106" s="15" customFormat="1" hidden="1" x14ac:dyDescent="0.25">
      <c r="A23" s="591">
        <v>1</v>
      </c>
      <c r="B23" s="591"/>
      <c r="C23" s="591"/>
      <c r="D23" s="591"/>
      <c r="E23" s="591"/>
      <c r="F23" s="591"/>
      <c r="G23" s="591">
        <v>2</v>
      </c>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v>3</v>
      </c>
      <c r="AE23" s="591"/>
      <c r="AF23" s="591"/>
      <c r="AG23" s="591"/>
      <c r="AH23" s="591"/>
      <c r="AI23" s="591"/>
      <c r="AJ23" s="591"/>
      <c r="AK23" s="591"/>
      <c r="AL23" s="591"/>
      <c r="AM23" s="591"/>
      <c r="AN23" s="591"/>
      <c r="AO23" s="591"/>
      <c r="AP23" s="591"/>
      <c r="AQ23" s="591"/>
      <c r="AR23" s="591"/>
      <c r="AS23" s="591"/>
      <c r="AT23" s="591"/>
      <c r="AU23" s="591"/>
      <c r="AV23" s="591"/>
      <c r="AW23" s="591"/>
      <c r="AX23" s="591"/>
      <c r="AY23" s="591">
        <v>4</v>
      </c>
      <c r="AZ23" s="591"/>
      <c r="BA23" s="591"/>
      <c r="BB23" s="591"/>
      <c r="BC23" s="591"/>
      <c r="BD23" s="591"/>
      <c r="BE23" s="591"/>
      <c r="BF23" s="591"/>
      <c r="BG23" s="591"/>
      <c r="BH23" s="591"/>
      <c r="BI23" s="591"/>
      <c r="BJ23" s="591"/>
      <c r="BK23" s="591"/>
      <c r="BL23" s="591"/>
      <c r="BM23" s="591"/>
      <c r="BN23" s="591"/>
      <c r="BO23" s="591"/>
      <c r="BP23" s="591"/>
      <c r="BQ23" s="591">
        <v>5</v>
      </c>
      <c r="BR23" s="591"/>
      <c r="BS23" s="591"/>
      <c r="BT23" s="591"/>
      <c r="BU23" s="591"/>
      <c r="BV23" s="591"/>
      <c r="BW23" s="591"/>
      <c r="BX23" s="591"/>
      <c r="BY23" s="591"/>
      <c r="BZ23" s="591"/>
      <c r="CA23" s="591"/>
      <c r="CB23" s="591"/>
      <c r="CC23" s="591"/>
      <c r="CD23" s="591"/>
      <c r="CE23" s="591"/>
      <c r="CF23" s="591"/>
      <c r="CG23" s="591"/>
      <c r="CH23" s="591"/>
      <c r="CI23" s="591">
        <v>6</v>
      </c>
      <c r="CJ23" s="591"/>
      <c r="CK23" s="591"/>
      <c r="CL23" s="591"/>
      <c r="CM23" s="591"/>
      <c r="CN23" s="591"/>
      <c r="CO23" s="591"/>
      <c r="CP23" s="591"/>
      <c r="CQ23" s="591"/>
      <c r="CR23" s="591"/>
      <c r="CS23" s="591"/>
      <c r="CT23" s="591"/>
      <c r="CU23" s="591"/>
      <c r="CV23" s="591"/>
      <c r="CW23" s="591"/>
      <c r="CX23" s="591"/>
      <c r="CY23" s="591"/>
      <c r="CZ23" s="591"/>
      <c r="DA23" s="20"/>
      <c r="DB23" s="20"/>
    </row>
    <row r="24" spans="1:106" s="16" customFormat="1" ht="15" hidden="1" customHeight="1" x14ac:dyDescent="0.25">
      <c r="A24" s="656" t="s">
        <v>537</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57"/>
      <c r="BQ24" s="657"/>
      <c r="BR24" s="657"/>
      <c r="BS24" s="657"/>
      <c r="BT24" s="657"/>
      <c r="BU24" s="657"/>
      <c r="BV24" s="657"/>
      <c r="BW24" s="657"/>
      <c r="BX24" s="657"/>
      <c r="BY24" s="657"/>
      <c r="BZ24" s="657"/>
      <c r="CA24" s="657"/>
      <c r="CB24" s="657"/>
      <c r="CC24" s="657"/>
      <c r="CD24" s="657"/>
      <c r="CE24" s="657"/>
      <c r="CF24" s="657"/>
      <c r="CG24" s="657"/>
      <c r="CH24" s="657"/>
      <c r="CI24" s="657"/>
      <c r="CJ24" s="657"/>
      <c r="CK24" s="657"/>
      <c r="CL24" s="657"/>
      <c r="CM24" s="657"/>
      <c r="CN24" s="657"/>
      <c r="CO24" s="657"/>
      <c r="CP24" s="657"/>
      <c r="CQ24" s="657"/>
      <c r="CR24" s="657"/>
      <c r="CS24" s="657"/>
      <c r="CT24" s="657"/>
      <c r="CU24" s="657"/>
      <c r="CV24" s="657"/>
      <c r="CW24" s="657"/>
      <c r="CX24" s="657"/>
      <c r="CY24" s="657"/>
      <c r="CZ24" s="658"/>
      <c r="DA24" s="20"/>
      <c r="DB24" s="20"/>
    </row>
    <row r="25" spans="1:106" s="16" customFormat="1" ht="24" hidden="1" customHeight="1" x14ac:dyDescent="0.25">
      <c r="A25" s="630" t="s">
        <v>441</v>
      </c>
      <c r="B25" s="631"/>
      <c r="C25" s="631"/>
      <c r="D25" s="631"/>
      <c r="E25" s="631"/>
      <c r="F25" s="632"/>
      <c r="G25" s="584" t="s">
        <v>542</v>
      </c>
      <c r="H25" s="585"/>
      <c r="I25" s="585"/>
      <c r="J25" s="585"/>
      <c r="K25" s="585"/>
      <c r="L25" s="585"/>
      <c r="M25" s="585"/>
      <c r="N25" s="585"/>
      <c r="O25" s="585"/>
      <c r="P25" s="585"/>
      <c r="Q25" s="585"/>
      <c r="R25" s="585"/>
      <c r="S25" s="585"/>
      <c r="T25" s="585"/>
      <c r="U25" s="585"/>
      <c r="V25" s="585"/>
      <c r="W25" s="585"/>
      <c r="X25" s="585"/>
      <c r="Y25" s="585"/>
      <c r="Z25" s="585"/>
      <c r="AA25" s="585"/>
      <c r="AB25" s="585"/>
      <c r="AC25" s="586"/>
      <c r="AD25" s="544"/>
      <c r="AE25" s="545"/>
      <c r="AF25" s="545"/>
      <c r="AG25" s="545"/>
      <c r="AH25" s="545"/>
      <c r="AI25" s="545"/>
      <c r="AJ25" s="545"/>
      <c r="AK25" s="545"/>
      <c r="AL25" s="545"/>
      <c r="AM25" s="545"/>
      <c r="AN25" s="545"/>
      <c r="AO25" s="545"/>
      <c r="AP25" s="545"/>
      <c r="AQ25" s="545"/>
      <c r="AR25" s="545"/>
      <c r="AS25" s="545"/>
      <c r="AT25" s="545"/>
      <c r="AU25" s="545"/>
      <c r="AV25" s="545"/>
      <c r="AW25" s="545"/>
      <c r="AX25" s="546"/>
      <c r="AY25" s="544"/>
      <c r="AZ25" s="545"/>
      <c r="BA25" s="545"/>
      <c r="BB25" s="545"/>
      <c r="BC25" s="545"/>
      <c r="BD25" s="545"/>
      <c r="BE25" s="545"/>
      <c r="BF25" s="545"/>
      <c r="BG25" s="545"/>
      <c r="BH25" s="545"/>
      <c r="BI25" s="545"/>
      <c r="BJ25" s="545"/>
      <c r="BK25" s="545"/>
      <c r="BL25" s="545"/>
      <c r="BM25" s="545"/>
      <c r="BN25" s="545"/>
      <c r="BO25" s="545"/>
      <c r="BP25" s="546"/>
      <c r="BQ25" s="547"/>
      <c r="BR25" s="548"/>
      <c r="BS25" s="548"/>
      <c r="BT25" s="548"/>
      <c r="BU25" s="548"/>
      <c r="BV25" s="548"/>
      <c r="BW25" s="548"/>
      <c r="BX25" s="548"/>
      <c r="BY25" s="548"/>
      <c r="BZ25" s="548"/>
      <c r="CA25" s="548"/>
      <c r="CB25" s="548"/>
      <c r="CC25" s="548"/>
      <c r="CD25" s="548"/>
      <c r="CE25" s="548"/>
      <c r="CF25" s="548"/>
      <c r="CG25" s="548"/>
      <c r="CH25" s="549"/>
      <c r="CI25" s="627"/>
      <c r="CJ25" s="628"/>
      <c r="CK25" s="628"/>
      <c r="CL25" s="628"/>
      <c r="CM25" s="628"/>
      <c r="CN25" s="628"/>
      <c r="CO25" s="628"/>
      <c r="CP25" s="628"/>
      <c r="CQ25" s="628"/>
      <c r="CR25" s="628"/>
      <c r="CS25" s="628"/>
      <c r="CT25" s="628"/>
      <c r="CU25" s="628"/>
      <c r="CV25" s="628"/>
      <c r="CW25" s="628"/>
      <c r="CX25" s="628"/>
      <c r="CY25" s="628"/>
      <c r="CZ25" s="629"/>
      <c r="DA25" s="20"/>
      <c r="DB25" s="20"/>
    </row>
    <row r="26" spans="1:106" s="16" customFormat="1" ht="56.25" hidden="1" customHeight="1" x14ac:dyDescent="0.3">
      <c r="A26" s="630" t="s">
        <v>444</v>
      </c>
      <c r="B26" s="631"/>
      <c r="C26" s="631"/>
      <c r="D26" s="631"/>
      <c r="E26" s="631"/>
      <c r="F26" s="632"/>
      <c r="G26" s="584" t="s">
        <v>543</v>
      </c>
      <c r="H26" s="585"/>
      <c r="I26" s="585"/>
      <c r="J26" s="585"/>
      <c r="K26" s="585"/>
      <c r="L26" s="585"/>
      <c r="M26" s="585"/>
      <c r="N26" s="585"/>
      <c r="O26" s="585"/>
      <c r="P26" s="585"/>
      <c r="Q26" s="585"/>
      <c r="R26" s="585"/>
      <c r="S26" s="585"/>
      <c r="T26" s="585"/>
      <c r="U26" s="585"/>
      <c r="V26" s="585"/>
      <c r="W26" s="585"/>
      <c r="X26" s="585"/>
      <c r="Y26" s="585"/>
      <c r="Z26" s="585"/>
      <c r="AA26" s="585"/>
      <c r="AB26" s="585"/>
      <c r="AC26" s="586"/>
      <c r="AD26" s="544"/>
      <c r="AE26" s="545"/>
      <c r="AF26" s="545"/>
      <c r="AG26" s="545"/>
      <c r="AH26" s="545"/>
      <c r="AI26" s="545"/>
      <c r="AJ26" s="545"/>
      <c r="AK26" s="545"/>
      <c r="AL26" s="545"/>
      <c r="AM26" s="545"/>
      <c r="AN26" s="545"/>
      <c r="AO26" s="545"/>
      <c r="AP26" s="545"/>
      <c r="AQ26" s="545"/>
      <c r="AR26" s="545"/>
      <c r="AS26" s="545"/>
      <c r="AT26" s="545"/>
      <c r="AU26" s="545"/>
      <c r="AV26" s="545"/>
      <c r="AW26" s="545"/>
      <c r="AX26" s="546"/>
      <c r="AY26" s="544"/>
      <c r="AZ26" s="545"/>
      <c r="BA26" s="545"/>
      <c r="BB26" s="545"/>
      <c r="BC26" s="545"/>
      <c r="BD26" s="545"/>
      <c r="BE26" s="545"/>
      <c r="BF26" s="545"/>
      <c r="BG26" s="545"/>
      <c r="BH26" s="545"/>
      <c r="BI26" s="545"/>
      <c r="BJ26" s="545"/>
      <c r="BK26" s="545"/>
      <c r="BL26" s="545"/>
      <c r="BM26" s="545"/>
      <c r="BN26" s="545"/>
      <c r="BO26" s="545"/>
      <c r="BP26" s="546"/>
      <c r="BQ26" s="547"/>
      <c r="BR26" s="548"/>
      <c r="BS26" s="548"/>
      <c r="BT26" s="548"/>
      <c r="BU26" s="548"/>
      <c r="BV26" s="548"/>
      <c r="BW26" s="548"/>
      <c r="BX26" s="548"/>
      <c r="BY26" s="548"/>
      <c r="BZ26" s="548"/>
      <c r="CA26" s="548"/>
      <c r="CB26" s="548"/>
      <c r="CC26" s="548"/>
      <c r="CD26" s="548"/>
      <c r="CE26" s="548"/>
      <c r="CF26" s="548"/>
      <c r="CG26" s="548"/>
      <c r="CH26" s="549"/>
      <c r="CI26" s="627"/>
      <c r="CJ26" s="628"/>
      <c r="CK26" s="628"/>
      <c r="CL26" s="628"/>
      <c r="CM26" s="628"/>
      <c r="CN26" s="628"/>
      <c r="CO26" s="628"/>
      <c r="CP26" s="628"/>
      <c r="CQ26" s="628"/>
      <c r="CR26" s="628"/>
      <c r="CS26" s="628"/>
      <c r="CT26" s="628"/>
      <c r="CU26" s="628"/>
      <c r="CV26" s="628"/>
      <c r="CW26" s="628"/>
      <c r="CX26" s="628"/>
      <c r="CY26" s="628"/>
      <c r="CZ26" s="629"/>
      <c r="DA26" s="218"/>
      <c r="DB26" s="18"/>
    </row>
    <row r="27" spans="1:106" s="16" customFormat="1" ht="27" hidden="1" customHeight="1" x14ac:dyDescent="0.3">
      <c r="A27" s="633" t="s">
        <v>292</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5"/>
      <c r="AD27" s="544" t="s">
        <v>4</v>
      </c>
      <c r="AE27" s="545"/>
      <c r="AF27" s="545"/>
      <c r="AG27" s="545"/>
      <c r="AH27" s="545"/>
      <c r="AI27" s="545"/>
      <c r="AJ27" s="545"/>
      <c r="AK27" s="545"/>
      <c r="AL27" s="545"/>
      <c r="AM27" s="545"/>
      <c r="AN27" s="545"/>
      <c r="AO27" s="545"/>
      <c r="AP27" s="545"/>
      <c r="AQ27" s="545"/>
      <c r="AR27" s="545"/>
      <c r="AS27" s="545"/>
      <c r="AT27" s="545"/>
      <c r="AU27" s="545"/>
      <c r="AV27" s="545"/>
      <c r="AW27" s="545"/>
      <c r="AX27" s="546"/>
      <c r="AY27" s="544" t="s">
        <v>4</v>
      </c>
      <c r="AZ27" s="545"/>
      <c r="BA27" s="545"/>
      <c r="BB27" s="545"/>
      <c r="BC27" s="545"/>
      <c r="BD27" s="545"/>
      <c r="BE27" s="545"/>
      <c r="BF27" s="545"/>
      <c r="BG27" s="545"/>
      <c r="BH27" s="545"/>
      <c r="BI27" s="545"/>
      <c r="BJ27" s="545"/>
      <c r="BK27" s="545"/>
      <c r="BL27" s="545"/>
      <c r="BM27" s="545"/>
      <c r="BN27" s="545"/>
      <c r="BO27" s="545"/>
      <c r="BP27" s="546"/>
      <c r="BQ27" s="544" t="s">
        <v>4</v>
      </c>
      <c r="BR27" s="545"/>
      <c r="BS27" s="545"/>
      <c r="BT27" s="545"/>
      <c r="BU27" s="545"/>
      <c r="BV27" s="545"/>
      <c r="BW27" s="545"/>
      <c r="BX27" s="545"/>
      <c r="BY27" s="545"/>
      <c r="BZ27" s="545"/>
      <c r="CA27" s="545"/>
      <c r="CB27" s="545"/>
      <c r="CC27" s="545"/>
      <c r="CD27" s="545"/>
      <c r="CE27" s="545"/>
      <c r="CF27" s="545"/>
      <c r="CG27" s="545"/>
      <c r="CH27" s="546"/>
      <c r="CI27" s="636">
        <f>SUM(CI25:CZ26)</f>
        <v>0</v>
      </c>
      <c r="CJ27" s="654"/>
      <c r="CK27" s="654"/>
      <c r="CL27" s="654"/>
      <c r="CM27" s="654"/>
      <c r="CN27" s="654"/>
      <c r="CO27" s="654"/>
      <c r="CP27" s="654"/>
      <c r="CQ27" s="654"/>
      <c r="CR27" s="654"/>
      <c r="CS27" s="654"/>
      <c r="CT27" s="654"/>
      <c r="CU27" s="654"/>
      <c r="CV27" s="654"/>
      <c r="CW27" s="654"/>
      <c r="CX27" s="654"/>
      <c r="CY27" s="654"/>
      <c r="CZ27" s="655"/>
      <c r="DA27" s="219"/>
      <c r="DB27" s="15"/>
    </row>
    <row r="28" spans="1:106" s="16" customFormat="1" ht="15" hidden="1" customHeight="1" x14ac:dyDescent="0.3">
      <c r="A28" s="656" t="s">
        <v>258</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657"/>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8"/>
      <c r="DA28" s="214"/>
    </row>
    <row r="29" spans="1:106" s="16" customFormat="1" ht="15" hidden="1" customHeight="1" x14ac:dyDescent="0.3">
      <c r="A29" s="630"/>
      <c r="B29" s="631"/>
      <c r="C29" s="631"/>
      <c r="D29" s="631"/>
      <c r="E29" s="631"/>
      <c r="F29" s="632"/>
      <c r="G29" s="584"/>
      <c r="H29" s="585"/>
      <c r="I29" s="585"/>
      <c r="J29" s="585"/>
      <c r="K29" s="585"/>
      <c r="L29" s="585"/>
      <c r="M29" s="585"/>
      <c r="N29" s="585"/>
      <c r="O29" s="585"/>
      <c r="P29" s="585"/>
      <c r="Q29" s="585"/>
      <c r="R29" s="585"/>
      <c r="S29" s="585"/>
      <c r="T29" s="585"/>
      <c r="U29" s="585"/>
      <c r="V29" s="585"/>
      <c r="W29" s="585"/>
      <c r="X29" s="585"/>
      <c r="Y29" s="585"/>
      <c r="Z29" s="585"/>
      <c r="AA29" s="585"/>
      <c r="AB29" s="585"/>
      <c r="AC29" s="586"/>
      <c r="AD29" s="544"/>
      <c r="AE29" s="545"/>
      <c r="AF29" s="545"/>
      <c r="AG29" s="545"/>
      <c r="AH29" s="545"/>
      <c r="AI29" s="545"/>
      <c r="AJ29" s="545"/>
      <c r="AK29" s="545"/>
      <c r="AL29" s="545"/>
      <c r="AM29" s="545"/>
      <c r="AN29" s="545"/>
      <c r="AO29" s="545"/>
      <c r="AP29" s="545"/>
      <c r="AQ29" s="545"/>
      <c r="AR29" s="545"/>
      <c r="AS29" s="545"/>
      <c r="AT29" s="545"/>
      <c r="AU29" s="545"/>
      <c r="AV29" s="545"/>
      <c r="AW29" s="545"/>
      <c r="AX29" s="546"/>
      <c r="AY29" s="544"/>
      <c r="AZ29" s="545"/>
      <c r="BA29" s="545"/>
      <c r="BB29" s="545"/>
      <c r="BC29" s="545"/>
      <c r="BD29" s="545"/>
      <c r="BE29" s="545"/>
      <c r="BF29" s="545"/>
      <c r="BG29" s="545"/>
      <c r="BH29" s="545"/>
      <c r="BI29" s="545"/>
      <c r="BJ29" s="545"/>
      <c r="BK29" s="545"/>
      <c r="BL29" s="545"/>
      <c r="BM29" s="545"/>
      <c r="BN29" s="545"/>
      <c r="BO29" s="545"/>
      <c r="BP29" s="546"/>
      <c r="BQ29" s="544"/>
      <c r="BR29" s="545"/>
      <c r="BS29" s="545"/>
      <c r="BT29" s="545"/>
      <c r="BU29" s="545"/>
      <c r="BV29" s="545"/>
      <c r="BW29" s="545"/>
      <c r="BX29" s="545"/>
      <c r="BY29" s="545"/>
      <c r="BZ29" s="545"/>
      <c r="CA29" s="545"/>
      <c r="CB29" s="545"/>
      <c r="CC29" s="545"/>
      <c r="CD29" s="545"/>
      <c r="CE29" s="545"/>
      <c r="CF29" s="545"/>
      <c r="CG29" s="545"/>
      <c r="CH29" s="546"/>
      <c r="CI29" s="627"/>
      <c r="CJ29" s="628"/>
      <c r="CK29" s="628"/>
      <c r="CL29" s="628"/>
      <c r="CM29" s="628"/>
      <c r="CN29" s="628"/>
      <c r="CO29" s="628"/>
      <c r="CP29" s="628"/>
      <c r="CQ29" s="628"/>
      <c r="CR29" s="628"/>
      <c r="CS29" s="628"/>
      <c r="CT29" s="628"/>
      <c r="CU29" s="628"/>
      <c r="CV29" s="628"/>
      <c r="CW29" s="628"/>
      <c r="CX29" s="628"/>
      <c r="CY29" s="628"/>
      <c r="CZ29" s="629"/>
      <c r="DA29" s="214"/>
    </row>
    <row r="30" spans="1:106" s="16" customFormat="1" ht="2.25" hidden="1" customHeight="1" x14ac:dyDescent="0.3">
      <c r="A30" s="633" t="s">
        <v>292</v>
      </c>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5"/>
      <c r="AD30" s="544" t="s">
        <v>4</v>
      </c>
      <c r="AE30" s="545"/>
      <c r="AF30" s="545"/>
      <c r="AG30" s="545"/>
      <c r="AH30" s="545"/>
      <c r="AI30" s="545"/>
      <c r="AJ30" s="545"/>
      <c r="AK30" s="545"/>
      <c r="AL30" s="545"/>
      <c r="AM30" s="545"/>
      <c r="AN30" s="545"/>
      <c r="AO30" s="545"/>
      <c r="AP30" s="545"/>
      <c r="AQ30" s="545"/>
      <c r="AR30" s="545"/>
      <c r="AS30" s="545"/>
      <c r="AT30" s="545"/>
      <c r="AU30" s="545"/>
      <c r="AV30" s="545"/>
      <c r="AW30" s="545"/>
      <c r="AX30" s="546"/>
      <c r="AY30" s="544" t="s">
        <v>4</v>
      </c>
      <c r="AZ30" s="545"/>
      <c r="BA30" s="545"/>
      <c r="BB30" s="545"/>
      <c r="BC30" s="545"/>
      <c r="BD30" s="545"/>
      <c r="BE30" s="545"/>
      <c r="BF30" s="545"/>
      <c r="BG30" s="545"/>
      <c r="BH30" s="545"/>
      <c r="BI30" s="545"/>
      <c r="BJ30" s="545"/>
      <c r="BK30" s="545"/>
      <c r="BL30" s="545"/>
      <c r="BM30" s="545"/>
      <c r="BN30" s="545"/>
      <c r="BO30" s="545"/>
      <c r="BP30" s="546"/>
      <c r="BQ30" s="544" t="s">
        <v>4</v>
      </c>
      <c r="BR30" s="545"/>
      <c r="BS30" s="545"/>
      <c r="BT30" s="545"/>
      <c r="BU30" s="545"/>
      <c r="BV30" s="545"/>
      <c r="BW30" s="545"/>
      <c r="BX30" s="545"/>
      <c r="BY30" s="545"/>
      <c r="BZ30" s="545"/>
      <c r="CA30" s="545"/>
      <c r="CB30" s="545"/>
      <c r="CC30" s="545"/>
      <c r="CD30" s="545"/>
      <c r="CE30" s="545"/>
      <c r="CF30" s="545"/>
      <c r="CG30" s="545"/>
      <c r="CH30" s="546"/>
      <c r="CI30" s="627"/>
      <c r="CJ30" s="628"/>
      <c r="CK30" s="628"/>
      <c r="CL30" s="628"/>
      <c r="CM30" s="628"/>
      <c r="CN30" s="628"/>
      <c r="CO30" s="628"/>
      <c r="CP30" s="628"/>
      <c r="CQ30" s="628"/>
      <c r="CR30" s="628"/>
      <c r="CS30" s="628"/>
      <c r="CT30" s="628"/>
      <c r="CU30" s="628"/>
      <c r="CV30" s="628"/>
      <c r="CW30" s="628"/>
      <c r="CX30" s="628"/>
      <c r="CY30" s="628"/>
      <c r="CZ30" s="629"/>
      <c r="DA30" s="214"/>
    </row>
    <row r="31" spans="1:106" s="16" customFormat="1" ht="15" hidden="1" customHeight="1" x14ac:dyDescent="0.3">
      <c r="A31" s="630"/>
      <c r="B31" s="631"/>
      <c r="C31" s="631"/>
      <c r="D31" s="631"/>
      <c r="E31" s="631"/>
      <c r="F31" s="632"/>
      <c r="G31" s="553" t="s">
        <v>56</v>
      </c>
      <c r="H31" s="554"/>
      <c r="I31" s="554"/>
      <c r="J31" s="554"/>
      <c r="K31" s="554"/>
      <c r="L31" s="554"/>
      <c r="M31" s="554"/>
      <c r="N31" s="554"/>
      <c r="O31" s="554"/>
      <c r="P31" s="554"/>
      <c r="Q31" s="554"/>
      <c r="R31" s="554"/>
      <c r="S31" s="554"/>
      <c r="T31" s="554"/>
      <c r="U31" s="554"/>
      <c r="V31" s="554"/>
      <c r="W31" s="554"/>
      <c r="X31" s="554"/>
      <c r="Y31" s="554"/>
      <c r="Z31" s="554"/>
      <c r="AA31" s="554"/>
      <c r="AB31" s="554"/>
      <c r="AC31" s="555"/>
      <c r="AD31" s="544" t="s">
        <v>4</v>
      </c>
      <c r="AE31" s="545"/>
      <c r="AF31" s="545"/>
      <c r="AG31" s="545"/>
      <c r="AH31" s="545"/>
      <c r="AI31" s="545"/>
      <c r="AJ31" s="545"/>
      <c r="AK31" s="545"/>
      <c r="AL31" s="545"/>
      <c r="AM31" s="545"/>
      <c r="AN31" s="545"/>
      <c r="AO31" s="545"/>
      <c r="AP31" s="545"/>
      <c r="AQ31" s="545"/>
      <c r="AR31" s="545"/>
      <c r="AS31" s="545"/>
      <c r="AT31" s="545"/>
      <c r="AU31" s="545"/>
      <c r="AV31" s="545"/>
      <c r="AW31" s="545"/>
      <c r="AX31" s="546"/>
      <c r="AY31" s="544" t="s">
        <v>4</v>
      </c>
      <c r="AZ31" s="545"/>
      <c r="BA31" s="545"/>
      <c r="BB31" s="545"/>
      <c r="BC31" s="545"/>
      <c r="BD31" s="545"/>
      <c r="BE31" s="545"/>
      <c r="BF31" s="545"/>
      <c r="BG31" s="545"/>
      <c r="BH31" s="545"/>
      <c r="BI31" s="545"/>
      <c r="BJ31" s="545"/>
      <c r="BK31" s="545"/>
      <c r="BL31" s="545"/>
      <c r="BM31" s="545"/>
      <c r="BN31" s="545"/>
      <c r="BO31" s="545"/>
      <c r="BP31" s="546"/>
      <c r="BQ31" s="544" t="s">
        <v>4</v>
      </c>
      <c r="BR31" s="545"/>
      <c r="BS31" s="545"/>
      <c r="BT31" s="545"/>
      <c r="BU31" s="545"/>
      <c r="BV31" s="545"/>
      <c r="BW31" s="545"/>
      <c r="BX31" s="545"/>
      <c r="BY31" s="545"/>
      <c r="BZ31" s="545"/>
      <c r="CA31" s="545"/>
      <c r="CB31" s="545"/>
      <c r="CC31" s="545"/>
      <c r="CD31" s="545"/>
      <c r="CE31" s="545"/>
      <c r="CF31" s="545"/>
      <c r="CG31" s="545"/>
      <c r="CH31" s="546"/>
      <c r="CI31" s="636">
        <f>CI27</f>
        <v>0</v>
      </c>
      <c r="CJ31" s="654"/>
      <c r="CK31" s="654"/>
      <c r="CL31" s="654"/>
      <c r="CM31" s="654"/>
      <c r="CN31" s="654"/>
      <c r="CO31" s="654"/>
      <c r="CP31" s="654"/>
      <c r="CQ31" s="654"/>
      <c r="CR31" s="654"/>
      <c r="CS31" s="654"/>
      <c r="CT31" s="654"/>
      <c r="CU31" s="654"/>
      <c r="CV31" s="654"/>
      <c r="CW31" s="654"/>
      <c r="CX31" s="654"/>
      <c r="CY31" s="654"/>
      <c r="CZ31" s="655"/>
      <c r="DA31" s="214"/>
    </row>
    <row r="32" spans="1:106" s="16" customFormat="1" ht="40.5" hidden="1" customHeight="1" x14ac:dyDescent="0.3">
      <c r="A32" s="221"/>
      <c r="B32" s="221"/>
      <c r="C32" s="221"/>
      <c r="D32" s="221"/>
      <c r="E32" s="221"/>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14"/>
    </row>
    <row r="33" spans="1:106" s="20" customFormat="1" ht="18" hidden="1" customHeight="1" x14ac:dyDescent="0.25">
      <c r="A33" s="437" t="s">
        <v>305</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214"/>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4"/>
      <c r="DB34" s="16"/>
    </row>
    <row r="35" spans="1:106" s="20" customFormat="1" hidden="1" x14ac:dyDescent="0.25">
      <c r="A35" s="20" t="s">
        <v>47</v>
      </c>
      <c r="W35" s="595" t="s">
        <v>544</v>
      </c>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214"/>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4"/>
      <c r="DB36" s="16"/>
    </row>
    <row r="37" spans="1:106" s="18" customFormat="1" ht="55.5" hidden="1" customHeight="1" x14ac:dyDescent="0.3">
      <c r="A37" s="597" t="s">
        <v>49</v>
      </c>
      <c r="B37" s="598"/>
      <c r="C37" s="598"/>
      <c r="D37" s="598"/>
      <c r="E37" s="598"/>
      <c r="F37" s="599"/>
      <c r="G37" s="475" t="s">
        <v>57</v>
      </c>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7"/>
      <c r="AY37" s="597" t="s">
        <v>59</v>
      </c>
      <c r="AZ37" s="598"/>
      <c r="BA37" s="598"/>
      <c r="BB37" s="598"/>
      <c r="BC37" s="598"/>
      <c r="BD37" s="598"/>
      <c r="BE37" s="598"/>
      <c r="BF37" s="598"/>
      <c r="BG37" s="598"/>
      <c r="BH37" s="598"/>
      <c r="BI37" s="598"/>
      <c r="BJ37" s="598"/>
      <c r="BK37" s="598"/>
      <c r="BL37" s="598"/>
      <c r="BM37" s="598"/>
      <c r="BN37" s="598"/>
      <c r="BO37" s="598"/>
      <c r="BP37" s="599"/>
      <c r="BQ37" s="597" t="s">
        <v>306</v>
      </c>
      <c r="BR37" s="598"/>
      <c r="BS37" s="598"/>
      <c r="BT37" s="598"/>
      <c r="BU37" s="598"/>
      <c r="BV37" s="598"/>
      <c r="BW37" s="598"/>
      <c r="BX37" s="598"/>
      <c r="BY37" s="598"/>
      <c r="BZ37" s="598"/>
      <c r="CA37" s="598"/>
      <c r="CB37" s="598"/>
      <c r="CC37" s="598"/>
      <c r="CD37" s="598"/>
      <c r="CE37" s="598"/>
      <c r="CF37" s="598"/>
      <c r="CG37" s="598"/>
      <c r="CH37" s="599"/>
      <c r="CI37" s="597" t="s">
        <v>61</v>
      </c>
      <c r="CJ37" s="598"/>
      <c r="CK37" s="598"/>
      <c r="CL37" s="598"/>
      <c r="CM37" s="598"/>
      <c r="CN37" s="598"/>
      <c r="CO37" s="598"/>
      <c r="CP37" s="598"/>
      <c r="CQ37" s="598"/>
      <c r="CR37" s="598"/>
      <c r="CS37" s="598"/>
      <c r="CT37" s="598"/>
      <c r="CU37" s="598"/>
      <c r="CV37" s="598"/>
      <c r="CW37" s="598"/>
      <c r="CX37" s="598"/>
      <c r="CY37" s="598"/>
      <c r="CZ37" s="599"/>
      <c r="DA37" s="214"/>
      <c r="DB37" s="16"/>
    </row>
    <row r="38" spans="1:106" s="15" customFormat="1" ht="13.2" hidden="1" x14ac:dyDescent="0.3">
      <c r="A38" s="591">
        <v>1</v>
      </c>
      <c r="B38" s="591"/>
      <c r="C38" s="591"/>
      <c r="D38" s="591"/>
      <c r="E38" s="591"/>
      <c r="F38" s="591"/>
      <c r="G38" s="591">
        <v>2</v>
      </c>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v>3</v>
      </c>
      <c r="AE38" s="591"/>
      <c r="AF38" s="591"/>
      <c r="AG38" s="591"/>
      <c r="AH38" s="591"/>
      <c r="AI38" s="591"/>
      <c r="AJ38" s="591"/>
      <c r="AK38" s="591"/>
      <c r="AL38" s="591"/>
      <c r="AM38" s="591"/>
      <c r="AN38" s="591"/>
      <c r="AO38" s="591"/>
      <c r="AP38" s="591"/>
      <c r="AQ38" s="591"/>
      <c r="AR38" s="591"/>
      <c r="AS38" s="591"/>
      <c r="AT38" s="591"/>
      <c r="AU38" s="591"/>
      <c r="AV38" s="591"/>
      <c r="AW38" s="591"/>
      <c r="AX38" s="591"/>
      <c r="AY38" s="591">
        <v>4</v>
      </c>
      <c r="AZ38" s="591"/>
      <c r="BA38" s="591"/>
      <c r="BB38" s="591"/>
      <c r="BC38" s="591"/>
      <c r="BD38" s="591"/>
      <c r="BE38" s="591"/>
      <c r="BF38" s="591"/>
      <c r="BG38" s="591"/>
      <c r="BH38" s="591"/>
      <c r="BI38" s="591"/>
      <c r="BJ38" s="591"/>
      <c r="BK38" s="591"/>
      <c r="BL38" s="591"/>
      <c r="BM38" s="591"/>
      <c r="BN38" s="591"/>
      <c r="BO38" s="591"/>
      <c r="BP38" s="591"/>
      <c r="BQ38" s="591">
        <v>5</v>
      </c>
      <c r="BR38" s="591"/>
      <c r="BS38" s="591"/>
      <c r="BT38" s="591"/>
      <c r="BU38" s="591"/>
      <c r="BV38" s="591"/>
      <c r="BW38" s="591"/>
      <c r="BX38" s="591"/>
      <c r="BY38" s="591"/>
      <c r="BZ38" s="591"/>
      <c r="CA38" s="591"/>
      <c r="CB38" s="591"/>
      <c r="CC38" s="591"/>
      <c r="CD38" s="591"/>
      <c r="CE38" s="591"/>
      <c r="CF38" s="591"/>
      <c r="CG38" s="591"/>
      <c r="CH38" s="591"/>
      <c r="CI38" s="591">
        <v>6</v>
      </c>
      <c r="CJ38" s="591"/>
      <c r="CK38" s="591"/>
      <c r="CL38" s="591"/>
      <c r="CM38" s="591"/>
      <c r="CN38" s="591"/>
      <c r="CO38" s="591"/>
      <c r="CP38" s="591"/>
      <c r="CQ38" s="591"/>
      <c r="CR38" s="591"/>
      <c r="CS38" s="591"/>
      <c r="CT38" s="591"/>
      <c r="CU38" s="591"/>
      <c r="CV38" s="591"/>
      <c r="CW38" s="591"/>
      <c r="CX38" s="591"/>
      <c r="CY38" s="591"/>
      <c r="CZ38" s="591"/>
      <c r="DA38" s="214"/>
      <c r="DB38" s="16"/>
    </row>
    <row r="39" spans="1:106" s="16" customFormat="1" ht="15" hidden="1" customHeight="1" x14ac:dyDescent="0.3">
      <c r="A39" s="656" t="s">
        <v>537</v>
      </c>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8"/>
      <c r="DA39" s="214"/>
    </row>
    <row r="40" spans="1:106" s="16" customFormat="1" ht="22.5" hidden="1" customHeight="1" x14ac:dyDescent="0.3">
      <c r="A40" s="630" t="s">
        <v>441</v>
      </c>
      <c r="B40" s="631"/>
      <c r="C40" s="631"/>
      <c r="D40" s="631"/>
      <c r="E40" s="631"/>
      <c r="F40" s="632"/>
      <c r="G40" s="475" t="s">
        <v>545</v>
      </c>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7"/>
      <c r="AY40" s="544"/>
      <c r="AZ40" s="545"/>
      <c r="BA40" s="545"/>
      <c r="BB40" s="545"/>
      <c r="BC40" s="545"/>
      <c r="BD40" s="545"/>
      <c r="BE40" s="545"/>
      <c r="BF40" s="545"/>
      <c r="BG40" s="545"/>
      <c r="BH40" s="545"/>
      <c r="BI40" s="545"/>
      <c r="BJ40" s="545"/>
      <c r="BK40" s="545"/>
      <c r="BL40" s="545"/>
      <c r="BM40" s="545"/>
      <c r="BN40" s="545"/>
      <c r="BO40" s="545"/>
      <c r="BP40" s="546"/>
      <c r="BQ40" s="627"/>
      <c r="BR40" s="628"/>
      <c r="BS40" s="628"/>
      <c r="BT40" s="628"/>
      <c r="BU40" s="628"/>
      <c r="BV40" s="628"/>
      <c r="BW40" s="628"/>
      <c r="BX40" s="628"/>
      <c r="BY40" s="628"/>
      <c r="BZ40" s="628"/>
      <c r="CA40" s="628"/>
      <c r="CB40" s="628"/>
      <c r="CC40" s="628"/>
      <c r="CD40" s="628"/>
      <c r="CE40" s="628"/>
      <c r="CF40" s="628"/>
      <c r="CG40" s="628"/>
      <c r="CH40" s="629"/>
      <c r="CI40" s="627"/>
      <c r="CJ40" s="628"/>
      <c r="CK40" s="628"/>
      <c r="CL40" s="628"/>
      <c r="CM40" s="628"/>
      <c r="CN40" s="628"/>
      <c r="CO40" s="628"/>
      <c r="CP40" s="628"/>
      <c r="CQ40" s="628"/>
      <c r="CR40" s="628"/>
      <c r="CS40" s="628"/>
      <c r="CT40" s="628"/>
      <c r="CU40" s="628"/>
      <c r="CV40" s="628"/>
      <c r="CW40" s="628"/>
      <c r="CX40" s="628"/>
      <c r="CY40" s="628"/>
      <c r="CZ40" s="629"/>
      <c r="DA40" s="214"/>
    </row>
    <row r="41" spans="1:106" s="16" customFormat="1" ht="28.5" hidden="1" customHeight="1" x14ac:dyDescent="0.3">
      <c r="A41" s="633" t="s">
        <v>292</v>
      </c>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5"/>
      <c r="AY41" s="544" t="s">
        <v>4</v>
      </c>
      <c r="AZ41" s="545"/>
      <c r="BA41" s="545"/>
      <c r="BB41" s="545"/>
      <c r="BC41" s="545"/>
      <c r="BD41" s="545"/>
      <c r="BE41" s="545"/>
      <c r="BF41" s="545"/>
      <c r="BG41" s="545"/>
      <c r="BH41" s="545"/>
      <c r="BI41" s="545"/>
      <c r="BJ41" s="545"/>
      <c r="BK41" s="545"/>
      <c r="BL41" s="545"/>
      <c r="BM41" s="545"/>
      <c r="BN41" s="545"/>
      <c r="BO41" s="545"/>
      <c r="BP41" s="546"/>
      <c r="BQ41" s="544" t="s">
        <v>4</v>
      </c>
      <c r="BR41" s="545"/>
      <c r="BS41" s="545"/>
      <c r="BT41" s="545"/>
      <c r="BU41" s="545"/>
      <c r="BV41" s="545"/>
      <c r="BW41" s="545"/>
      <c r="BX41" s="545"/>
      <c r="BY41" s="545"/>
      <c r="BZ41" s="545"/>
      <c r="CA41" s="545"/>
      <c r="CB41" s="545"/>
      <c r="CC41" s="545"/>
      <c r="CD41" s="545"/>
      <c r="CE41" s="545"/>
      <c r="CF41" s="545"/>
      <c r="CG41" s="545"/>
      <c r="CH41" s="546"/>
      <c r="CI41" s="636">
        <f>SUM(CI40)</f>
        <v>0</v>
      </c>
      <c r="CJ41" s="654"/>
      <c r="CK41" s="654"/>
      <c r="CL41" s="654"/>
      <c r="CM41" s="654"/>
      <c r="CN41" s="654"/>
      <c r="CO41" s="654"/>
      <c r="CP41" s="654"/>
      <c r="CQ41" s="654"/>
      <c r="CR41" s="654"/>
      <c r="CS41" s="654"/>
      <c r="CT41" s="654"/>
      <c r="CU41" s="654"/>
      <c r="CV41" s="654"/>
      <c r="CW41" s="654"/>
      <c r="CX41" s="654"/>
      <c r="CY41" s="654"/>
      <c r="CZ41" s="655"/>
      <c r="DA41" s="214"/>
    </row>
    <row r="42" spans="1:106" s="16" customFormat="1" ht="15" hidden="1" customHeight="1" x14ac:dyDescent="0.3">
      <c r="A42" s="656" t="s">
        <v>258</v>
      </c>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657"/>
      <c r="CZ42" s="658"/>
      <c r="DA42" s="214"/>
    </row>
    <row r="43" spans="1:106" s="16" customFormat="1" ht="23.25" hidden="1" customHeight="1" x14ac:dyDescent="0.3">
      <c r="A43" s="630"/>
      <c r="B43" s="631"/>
      <c r="C43" s="631"/>
      <c r="D43" s="631"/>
      <c r="E43" s="631"/>
      <c r="F43" s="632"/>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7"/>
      <c r="AY43" s="544"/>
      <c r="AZ43" s="545"/>
      <c r="BA43" s="545"/>
      <c r="BB43" s="545"/>
      <c r="BC43" s="545"/>
      <c r="BD43" s="545"/>
      <c r="BE43" s="545"/>
      <c r="BF43" s="545"/>
      <c r="BG43" s="545"/>
      <c r="BH43" s="545"/>
      <c r="BI43" s="545"/>
      <c r="BJ43" s="545"/>
      <c r="BK43" s="545"/>
      <c r="BL43" s="545"/>
      <c r="BM43" s="545"/>
      <c r="BN43" s="545"/>
      <c r="BO43" s="545"/>
      <c r="BP43" s="546"/>
      <c r="BQ43" s="544"/>
      <c r="BR43" s="545"/>
      <c r="BS43" s="545"/>
      <c r="BT43" s="545"/>
      <c r="BU43" s="545"/>
      <c r="BV43" s="545"/>
      <c r="BW43" s="545"/>
      <c r="BX43" s="545"/>
      <c r="BY43" s="545"/>
      <c r="BZ43" s="545"/>
      <c r="CA43" s="545"/>
      <c r="CB43" s="545"/>
      <c r="CC43" s="545"/>
      <c r="CD43" s="545"/>
      <c r="CE43" s="545"/>
      <c r="CF43" s="545"/>
      <c r="CG43" s="545"/>
      <c r="CH43" s="546"/>
      <c r="CI43" s="627"/>
      <c r="CJ43" s="628"/>
      <c r="CK43" s="628"/>
      <c r="CL43" s="628"/>
      <c r="CM43" s="628"/>
      <c r="CN43" s="628"/>
      <c r="CO43" s="628"/>
      <c r="CP43" s="628"/>
      <c r="CQ43" s="628"/>
      <c r="CR43" s="628"/>
      <c r="CS43" s="628"/>
      <c r="CT43" s="628"/>
      <c r="CU43" s="628"/>
      <c r="CV43" s="628"/>
      <c r="CW43" s="628"/>
      <c r="CX43" s="628"/>
      <c r="CY43" s="628"/>
      <c r="CZ43" s="629"/>
      <c r="DA43" s="214"/>
    </row>
    <row r="44" spans="1:106" s="16" customFormat="1" ht="24" hidden="1" customHeight="1" x14ac:dyDescent="0.3">
      <c r="A44" s="633" t="s">
        <v>292</v>
      </c>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5"/>
      <c r="AY44" s="544" t="s">
        <v>4</v>
      </c>
      <c r="AZ44" s="545"/>
      <c r="BA44" s="545"/>
      <c r="BB44" s="545"/>
      <c r="BC44" s="545"/>
      <c r="BD44" s="545"/>
      <c r="BE44" s="545"/>
      <c r="BF44" s="545"/>
      <c r="BG44" s="545"/>
      <c r="BH44" s="545"/>
      <c r="BI44" s="545"/>
      <c r="BJ44" s="545"/>
      <c r="BK44" s="545"/>
      <c r="BL44" s="545"/>
      <c r="BM44" s="545"/>
      <c r="BN44" s="545"/>
      <c r="BO44" s="545"/>
      <c r="BP44" s="546"/>
      <c r="BQ44" s="544" t="s">
        <v>4</v>
      </c>
      <c r="BR44" s="545"/>
      <c r="BS44" s="545"/>
      <c r="BT44" s="545"/>
      <c r="BU44" s="545"/>
      <c r="BV44" s="545"/>
      <c r="BW44" s="545"/>
      <c r="BX44" s="545"/>
      <c r="BY44" s="545"/>
      <c r="BZ44" s="545"/>
      <c r="CA44" s="545"/>
      <c r="CB44" s="545"/>
      <c r="CC44" s="545"/>
      <c r="CD44" s="545"/>
      <c r="CE44" s="545"/>
      <c r="CF44" s="545"/>
      <c r="CG44" s="545"/>
      <c r="CH44" s="546"/>
      <c r="CI44" s="627"/>
      <c r="CJ44" s="628"/>
      <c r="CK44" s="628"/>
      <c r="CL44" s="628"/>
      <c r="CM44" s="628"/>
      <c r="CN44" s="628"/>
      <c r="CO44" s="628"/>
      <c r="CP44" s="628"/>
      <c r="CQ44" s="628"/>
      <c r="CR44" s="628"/>
      <c r="CS44" s="628"/>
      <c r="CT44" s="628"/>
      <c r="CU44" s="628"/>
      <c r="CV44" s="628"/>
      <c r="CW44" s="628"/>
      <c r="CX44" s="628"/>
      <c r="CY44" s="628"/>
      <c r="CZ44" s="629"/>
      <c r="DA44" s="214"/>
    </row>
    <row r="45" spans="1:106" s="16" customFormat="1" ht="18.75" hidden="1" customHeight="1" x14ac:dyDescent="0.3">
      <c r="A45" s="630"/>
      <c r="B45" s="631"/>
      <c r="C45" s="631"/>
      <c r="D45" s="631"/>
      <c r="E45" s="631"/>
      <c r="F45" s="632"/>
      <c r="G45" s="630" t="s">
        <v>56</v>
      </c>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2"/>
      <c r="AY45" s="544" t="s">
        <v>4</v>
      </c>
      <c r="AZ45" s="545"/>
      <c r="BA45" s="545"/>
      <c r="BB45" s="545"/>
      <c r="BC45" s="545"/>
      <c r="BD45" s="545"/>
      <c r="BE45" s="545"/>
      <c r="BF45" s="545"/>
      <c r="BG45" s="545"/>
      <c r="BH45" s="545"/>
      <c r="BI45" s="545"/>
      <c r="BJ45" s="545"/>
      <c r="BK45" s="545"/>
      <c r="BL45" s="545"/>
      <c r="BM45" s="545"/>
      <c r="BN45" s="545"/>
      <c r="BO45" s="545"/>
      <c r="BP45" s="546"/>
      <c r="BQ45" s="544" t="s">
        <v>4</v>
      </c>
      <c r="BR45" s="545"/>
      <c r="BS45" s="545"/>
      <c r="BT45" s="545"/>
      <c r="BU45" s="545"/>
      <c r="BV45" s="545"/>
      <c r="BW45" s="545"/>
      <c r="BX45" s="545"/>
      <c r="BY45" s="545"/>
      <c r="BZ45" s="545"/>
      <c r="CA45" s="545"/>
      <c r="CB45" s="545"/>
      <c r="CC45" s="545"/>
      <c r="CD45" s="545"/>
      <c r="CE45" s="545"/>
      <c r="CF45" s="545"/>
      <c r="CG45" s="545"/>
      <c r="CH45" s="546"/>
      <c r="CI45" s="636">
        <f>CI41+CI44</f>
        <v>0</v>
      </c>
      <c r="CJ45" s="654"/>
      <c r="CK45" s="654"/>
      <c r="CL45" s="654"/>
      <c r="CM45" s="654"/>
      <c r="CN45" s="654"/>
      <c r="CO45" s="654"/>
      <c r="CP45" s="654"/>
      <c r="CQ45" s="654"/>
      <c r="CR45" s="654"/>
      <c r="CS45" s="654"/>
      <c r="CT45" s="654"/>
      <c r="CU45" s="654"/>
      <c r="CV45" s="654"/>
      <c r="CW45" s="654"/>
      <c r="CX45" s="654"/>
      <c r="CY45" s="654"/>
      <c r="CZ45" s="655"/>
      <c r="DA45" s="214"/>
    </row>
    <row r="46" spans="1:106" s="16" customFormat="1" ht="18.75" hidden="1" customHeight="1" x14ac:dyDescent="0.25">
      <c r="A46" s="594" t="s">
        <v>276</v>
      </c>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214"/>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214"/>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4"/>
    </row>
    <row r="49" spans="1:106" s="16" customFormat="1" ht="36" hidden="1" customHeight="1" x14ac:dyDescent="0.3">
      <c r="A49" s="597" t="s">
        <v>49</v>
      </c>
      <c r="B49" s="598"/>
      <c r="C49" s="598"/>
      <c r="D49" s="598"/>
      <c r="E49" s="598"/>
      <c r="F49" s="599"/>
      <c r="G49" s="597" t="s">
        <v>57</v>
      </c>
      <c r="H49" s="598"/>
      <c r="I49" s="598"/>
      <c r="J49" s="598"/>
      <c r="K49" s="598"/>
      <c r="L49" s="598"/>
      <c r="M49" s="598"/>
      <c r="N49" s="598"/>
      <c r="O49" s="598"/>
      <c r="P49" s="598"/>
      <c r="Q49" s="598"/>
      <c r="R49" s="598"/>
      <c r="S49" s="598"/>
      <c r="T49" s="598"/>
      <c r="U49" s="598"/>
      <c r="V49" s="598"/>
      <c r="W49" s="598"/>
      <c r="X49" s="598"/>
      <c r="Y49" s="598"/>
      <c r="Z49" s="598"/>
      <c r="AA49" s="598"/>
      <c r="AB49" s="598"/>
      <c r="AC49" s="599"/>
      <c r="AD49" s="597" t="s">
        <v>293</v>
      </c>
      <c r="AE49" s="598"/>
      <c r="AF49" s="598"/>
      <c r="AG49" s="598"/>
      <c r="AH49" s="598"/>
      <c r="AI49" s="598"/>
      <c r="AJ49" s="598"/>
      <c r="AK49" s="598"/>
      <c r="AL49" s="598"/>
      <c r="AM49" s="598"/>
      <c r="AN49" s="598"/>
      <c r="AO49" s="598"/>
      <c r="AP49" s="598"/>
      <c r="AQ49" s="598"/>
      <c r="AR49" s="598"/>
      <c r="AS49" s="598"/>
      <c r="AT49" s="598"/>
      <c r="AU49" s="598"/>
      <c r="AV49" s="598"/>
      <c r="AW49" s="598"/>
      <c r="AX49" s="599"/>
      <c r="AY49" s="597" t="s">
        <v>62</v>
      </c>
      <c r="AZ49" s="598"/>
      <c r="BA49" s="598"/>
      <c r="BB49" s="598"/>
      <c r="BC49" s="598"/>
      <c r="BD49" s="598"/>
      <c r="BE49" s="598"/>
      <c r="BF49" s="598"/>
      <c r="BG49" s="598"/>
      <c r="BH49" s="598"/>
      <c r="BI49" s="598"/>
      <c r="BJ49" s="598"/>
      <c r="BK49" s="598"/>
      <c r="BL49" s="598"/>
      <c r="BM49" s="598"/>
      <c r="BN49" s="598"/>
      <c r="BO49" s="598"/>
      <c r="BP49" s="599"/>
      <c r="BQ49" s="597" t="s">
        <v>63</v>
      </c>
      <c r="BR49" s="598"/>
      <c r="BS49" s="598"/>
      <c r="BT49" s="598"/>
      <c r="BU49" s="598"/>
      <c r="BV49" s="598"/>
      <c r="BW49" s="598"/>
      <c r="BX49" s="598"/>
      <c r="BY49" s="598"/>
      <c r="BZ49" s="598"/>
      <c r="CA49" s="598"/>
      <c r="CB49" s="598"/>
      <c r="CC49" s="598"/>
      <c r="CD49" s="598"/>
      <c r="CE49" s="598"/>
      <c r="CF49" s="598"/>
      <c r="CG49" s="598"/>
      <c r="CH49" s="599"/>
      <c r="CI49" s="597" t="s">
        <v>61</v>
      </c>
      <c r="CJ49" s="598"/>
      <c r="CK49" s="598"/>
      <c r="CL49" s="598"/>
      <c r="CM49" s="598"/>
      <c r="CN49" s="598"/>
      <c r="CO49" s="598"/>
      <c r="CP49" s="598"/>
      <c r="CQ49" s="598"/>
      <c r="CR49" s="598"/>
      <c r="CS49" s="598"/>
      <c r="CT49" s="598"/>
      <c r="CU49" s="598"/>
      <c r="CV49" s="598"/>
      <c r="CW49" s="598"/>
      <c r="CX49" s="598"/>
      <c r="CY49" s="598"/>
      <c r="CZ49" s="599"/>
      <c r="DA49" s="214"/>
    </row>
    <row r="50" spans="1:106" s="16" customFormat="1" ht="12" hidden="1" customHeight="1" x14ac:dyDescent="0.3">
      <c r="A50" s="591">
        <v>1</v>
      </c>
      <c r="B50" s="591"/>
      <c r="C50" s="591"/>
      <c r="D50" s="591"/>
      <c r="E50" s="591"/>
      <c r="F50" s="591"/>
      <c r="G50" s="591">
        <v>2</v>
      </c>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v>3</v>
      </c>
      <c r="AE50" s="591"/>
      <c r="AF50" s="591"/>
      <c r="AG50" s="591"/>
      <c r="AH50" s="591"/>
      <c r="AI50" s="591"/>
      <c r="AJ50" s="591"/>
      <c r="AK50" s="591"/>
      <c r="AL50" s="591"/>
      <c r="AM50" s="591"/>
      <c r="AN50" s="591"/>
      <c r="AO50" s="591"/>
      <c r="AP50" s="591"/>
      <c r="AQ50" s="591"/>
      <c r="AR50" s="591"/>
      <c r="AS50" s="591"/>
      <c r="AT50" s="591"/>
      <c r="AU50" s="591"/>
      <c r="AV50" s="591"/>
      <c r="AW50" s="591"/>
      <c r="AX50" s="591"/>
      <c r="AY50" s="591">
        <v>4</v>
      </c>
      <c r="AZ50" s="591"/>
      <c r="BA50" s="591"/>
      <c r="BB50" s="591"/>
      <c r="BC50" s="591"/>
      <c r="BD50" s="591"/>
      <c r="BE50" s="591"/>
      <c r="BF50" s="591"/>
      <c r="BG50" s="591"/>
      <c r="BH50" s="591"/>
      <c r="BI50" s="591"/>
      <c r="BJ50" s="591"/>
      <c r="BK50" s="591"/>
      <c r="BL50" s="591"/>
      <c r="BM50" s="591"/>
      <c r="BN50" s="591"/>
      <c r="BO50" s="591"/>
      <c r="BP50" s="591"/>
      <c r="BQ50" s="591">
        <v>5</v>
      </c>
      <c r="BR50" s="591"/>
      <c r="BS50" s="591"/>
      <c r="BT50" s="591"/>
      <c r="BU50" s="591"/>
      <c r="BV50" s="591"/>
      <c r="BW50" s="591"/>
      <c r="BX50" s="591"/>
      <c r="BY50" s="591"/>
      <c r="BZ50" s="591"/>
      <c r="CA50" s="591"/>
      <c r="CB50" s="591"/>
      <c r="CC50" s="591"/>
      <c r="CD50" s="591"/>
      <c r="CE50" s="591"/>
      <c r="CF50" s="591"/>
      <c r="CG50" s="591"/>
      <c r="CH50" s="591"/>
      <c r="CI50" s="591">
        <v>6</v>
      </c>
      <c r="CJ50" s="591"/>
      <c r="CK50" s="591"/>
      <c r="CL50" s="591"/>
      <c r="CM50" s="591"/>
      <c r="CN50" s="591"/>
      <c r="CO50" s="591"/>
      <c r="CP50" s="591"/>
      <c r="CQ50" s="591"/>
      <c r="CR50" s="591"/>
      <c r="CS50" s="591"/>
      <c r="CT50" s="591"/>
      <c r="CU50" s="591"/>
      <c r="CV50" s="591"/>
      <c r="CW50" s="591"/>
      <c r="CX50" s="591"/>
      <c r="CY50" s="591"/>
      <c r="CZ50" s="591"/>
      <c r="DA50" s="214"/>
    </row>
    <row r="51" spans="1:106" s="16" customFormat="1" ht="18.75" hidden="1" customHeight="1" x14ac:dyDescent="0.3">
      <c r="A51" s="656" t="s">
        <v>258</v>
      </c>
      <c r="B51" s="65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57"/>
      <c r="BQ51" s="657"/>
      <c r="BR51" s="657"/>
      <c r="BS51" s="657"/>
      <c r="BT51" s="657"/>
      <c r="BU51" s="657"/>
      <c r="BV51" s="657"/>
      <c r="BW51" s="657"/>
      <c r="BX51" s="657"/>
      <c r="BY51" s="657"/>
      <c r="BZ51" s="657"/>
      <c r="CA51" s="657"/>
      <c r="CB51" s="657"/>
      <c r="CC51" s="657"/>
      <c r="CD51" s="657"/>
      <c r="CE51" s="657"/>
      <c r="CF51" s="657"/>
      <c r="CG51" s="657"/>
      <c r="CH51" s="657"/>
      <c r="CI51" s="657"/>
      <c r="CJ51" s="657"/>
      <c r="CK51" s="657"/>
      <c r="CL51" s="657"/>
      <c r="CM51" s="657"/>
      <c r="CN51" s="657"/>
      <c r="CO51" s="657"/>
      <c r="CP51" s="657"/>
      <c r="CQ51" s="657"/>
      <c r="CR51" s="657"/>
      <c r="CS51" s="657"/>
      <c r="CT51" s="657"/>
      <c r="CU51" s="657"/>
      <c r="CV51" s="657"/>
      <c r="CW51" s="657"/>
      <c r="CX51" s="657"/>
      <c r="CY51" s="657"/>
      <c r="CZ51" s="658"/>
      <c r="DA51" s="214"/>
    </row>
    <row r="52" spans="1:106" s="16" customFormat="1" ht="18.75" hidden="1" customHeight="1" x14ac:dyDescent="0.3">
      <c r="A52" s="630"/>
      <c r="B52" s="631"/>
      <c r="C52" s="631"/>
      <c r="D52" s="631"/>
      <c r="E52" s="631"/>
      <c r="F52" s="632"/>
      <c r="G52" s="584"/>
      <c r="H52" s="585"/>
      <c r="I52" s="585"/>
      <c r="J52" s="585"/>
      <c r="K52" s="585"/>
      <c r="L52" s="585"/>
      <c r="M52" s="585"/>
      <c r="N52" s="585"/>
      <c r="O52" s="585"/>
      <c r="P52" s="585"/>
      <c r="Q52" s="585"/>
      <c r="R52" s="585"/>
      <c r="S52" s="585"/>
      <c r="T52" s="585"/>
      <c r="U52" s="585"/>
      <c r="V52" s="585"/>
      <c r="W52" s="585"/>
      <c r="X52" s="585"/>
      <c r="Y52" s="585"/>
      <c r="Z52" s="585"/>
      <c r="AA52" s="585"/>
      <c r="AB52" s="585"/>
      <c r="AC52" s="586"/>
      <c r="AD52" s="544"/>
      <c r="AE52" s="545"/>
      <c r="AF52" s="545"/>
      <c r="AG52" s="545"/>
      <c r="AH52" s="545"/>
      <c r="AI52" s="545"/>
      <c r="AJ52" s="545"/>
      <c r="AK52" s="545"/>
      <c r="AL52" s="545"/>
      <c r="AM52" s="545"/>
      <c r="AN52" s="545"/>
      <c r="AO52" s="545"/>
      <c r="AP52" s="545"/>
      <c r="AQ52" s="545"/>
      <c r="AR52" s="545"/>
      <c r="AS52" s="545"/>
      <c r="AT52" s="545"/>
      <c r="AU52" s="545"/>
      <c r="AV52" s="545"/>
      <c r="AW52" s="545"/>
      <c r="AX52" s="546"/>
      <c r="AY52" s="544"/>
      <c r="AZ52" s="545"/>
      <c r="BA52" s="545"/>
      <c r="BB52" s="545"/>
      <c r="BC52" s="545"/>
      <c r="BD52" s="545"/>
      <c r="BE52" s="545"/>
      <c r="BF52" s="545"/>
      <c r="BG52" s="545"/>
      <c r="BH52" s="545"/>
      <c r="BI52" s="545"/>
      <c r="BJ52" s="545"/>
      <c r="BK52" s="545"/>
      <c r="BL52" s="545"/>
      <c r="BM52" s="545"/>
      <c r="BN52" s="545"/>
      <c r="BO52" s="545"/>
      <c r="BP52" s="546"/>
      <c r="BQ52" s="544"/>
      <c r="BR52" s="545"/>
      <c r="BS52" s="545"/>
      <c r="BT52" s="545"/>
      <c r="BU52" s="545"/>
      <c r="BV52" s="545"/>
      <c r="BW52" s="545"/>
      <c r="BX52" s="545"/>
      <c r="BY52" s="545"/>
      <c r="BZ52" s="545"/>
      <c r="CA52" s="545"/>
      <c r="CB52" s="545"/>
      <c r="CC52" s="545"/>
      <c r="CD52" s="545"/>
      <c r="CE52" s="545"/>
      <c r="CF52" s="545"/>
      <c r="CG52" s="545"/>
      <c r="CH52" s="546"/>
      <c r="CI52" s="544"/>
      <c r="CJ52" s="545"/>
      <c r="CK52" s="545"/>
      <c r="CL52" s="545"/>
      <c r="CM52" s="545"/>
      <c r="CN52" s="545"/>
      <c r="CO52" s="545"/>
      <c r="CP52" s="545"/>
      <c r="CQ52" s="545"/>
      <c r="CR52" s="545"/>
      <c r="CS52" s="545"/>
      <c r="CT52" s="545"/>
      <c r="CU52" s="545"/>
      <c r="CV52" s="545"/>
      <c r="CW52" s="545"/>
      <c r="CX52" s="545"/>
      <c r="CY52" s="545"/>
      <c r="CZ52" s="546"/>
      <c r="DA52" s="214"/>
    </row>
    <row r="53" spans="1:106" s="16" customFormat="1" ht="24" hidden="1" customHeight="1" x14ac:dyDescent="0.3">
      <c r="A53" s="633" t="s">
        <v>292</v>
      </c>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5"/>
      <c r="AD53" s="544" t="s">
        <v>4</v>
      </c>
      <c r="AE53" s="545"/>
      <c r="AF53" s="545"/>
      <c r="AG53" s="545"/>
      <c r="AH53" s="545"/>
      <c r="AI53" s="545"/>
      <c r="AJ53" s="545"/>
      <c r="AK53" s="545"/>
      <c r="AL53" s="545"/>
      <c r="AM53" s="545"/>
      <c r="AN53" s="545"/>
      <c r="AO53" s="545"/>
      <c r="AP53" s="545"/>
      <c r="AQ53" s="545"/>
      <c r="AR53" s="545"/>
      <c r="AS53" s="545"/>
      <c r="AT53" s="545"/>
      <c r="AU53" s="545"/>
      <c r="AV53" s="545"/>
      <c r="AW53" s="545"/>
      <c r="AX53" s="546"/>
      <c r="AY53" s="544" t="s">
        <v>4</v>
      </c>
      <c r="AZ53" s="545"/>
      <c r="BA53" s="545"/>
      <c r="BB53" s="545"/>
      <c r="BC53" s="545"/>
      <c r="BD53" s="545"/>
      <c r="BE53" s="545"/>
      <c r="BF53" s="545"/>
      <c r="BG53" s="545"/>
      <c r="BH53" s="545"/>
      <c r="BI53" s="545"/>
      <c r="BJ53" s="545"/>
      <c r="BK53" s="545"/>
      <c r="BL53" s="545"/>
      <c r="BM53" s="545"/>
      <c r="BN53" s="545"/>
      <c r="BO53" s="545"/>
      <c r="BP53" s="546"/>
      <c r="BQ53" s="544" t="s">
        <v>4</v>
      </c>
      <c r="BR53" s="545"/>
      <c r="BS53" s="545"/>
      <c r="BT53" s="545"/>
      <c r="BU53" s="545"/>
      <c r="BV53" s="545"/>
      <c r="BW53" s="545"/>
      <c r="BX53" s="545"/>
      <c r="BY53" s="545"/>
      <c r="BZ53" s="545"/>
      <c r="CA53" s="545"/>
      <c r="CB53" s="545"/>
      <c r="CC53" s="545"/>
      <c r="CD53" s="545"/>
      <c r="CE53" s="545"/>
      <c r="CF53" s="545"/>
      <c r="CG53" s="545"/>
      <c r="CH53" s="546"/>
      <c r="CI53" s="544"/>
      <c r="CJ53" s="545"/>
      <c r="CK53" s="545"/>
      <c r="CL53" s="545"/>
      <c r="CM53" s="545"/>
      <c r="CN53" s="545"/>
      <c r="CO53" s="545"/>
      <c r="CP53" s="545"/>
      <c r="CQ53" s="545"/>
      <c r="CR53" s="545"/>
      <c r="CS53" s="545"/>
      <c r="CT53" s="545"/>
      <c r="CU53" s="545"/>
      <c r="CV53" s="545"/>
      <c r="CW53" s="545"/>
      <c r="CX53" s="545"/>
      <c r="CY53" s="545"/>
      <c r="CZ53" s="546"/>
      <c r="DA53" s="214"/>
    </row>
    <row r="54" spans="1:106" s="16" customFormat="1" ht="18.75" hidden="1" customHeight="1" x14ac:dyDescent="0.3">
      <c r="A54" s="656" t="s">
        <v>258</v>
      </c>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57"/>
      <c r="BQ54" s="657"/>
      <c r="BR54" s="657"/>
      <c r="BS54" s="657"/>
      <c r="BT54" s="657"/>
      <c r="BU54" s="657"/>
      <c r="BV54" s="657"/>
      <c r="BW54" s="657"/>
      <c r="BX54" s="657"/>
      <c r="BY54" s="657"/>
      <c r="BZ54" s="657"/>
      <c r="CA54" s="657"/>
      <c r="CB54" s="657"/>
      <c r="CC54" s="657"/>
      <c r="CD54" s="657"/>
      <c r="CE54" s="657"/>
      <c r="CF54" s="657"/>
      <c r="CG54" s="657"/>
      <c r="CH54" s="657"/>
      <c r="CI54" s="657"/>
      <c r="CJ54" s="657"/>
      <c r="CK54" s="657"/>
      <c r="CL54" s="657"/>
      <c r="CM54" s="657"/>
      <c r="CN54" s="657"/>
      <c r="CO54" s="657"/>
      <c r="CP54" s="657"/>
      <c r="CQ54" s="657"/>
      <c r="CR54" s="657"/>
      <c r="CS54" s="657"/>
      <c r="CT54" s="657"/>
      <c r="CU54" s="657"/>
      <c r="CV54" s="657"/>
      <c r="CW54" s="657"/>
      <c r="CX54" s="657"/>
      <c r="CY54" s="657"/>
      <c r="CZ54" s="658"/>
      <c r="DA54" s="214"/>
    </row>
    <row r="55" spans="1:106" s="16" customFormat="1" ht="19.5" hidden="1" customHeight="1" x14ac:dyDescent="0.3">
      <c r="A55" s="630"/>
      <c r="B55" s="631"/>
      <c r="C55" s="631"/>
      <c r="D55" s="631"/>
      <c r="E55" s="631"/>
      <c r="F55" s="632"/>
      <c r="G55" s="584"/>
      <c r="H55" s="585"/>
      <c r="I55" s="585"/>
      <c r="J55" s="585"/>
      <c r="K55" s="585"/>
      <c r="L55" s="585"/>
      <c r="M55" s="585"/>
      <c r="N55" s="585"/>
      <c r="O55" s="585"/>
      <c r="P55" s="585"/>
      <c r="Q55" s="585"/>
      <c r="R55" s="585"/>
      <c r="S55" s="585"/>
      <c r="T55" s="585"/>
      <c r="U55" s="585"/>
      <c r="V55" s="585"/>
      <c r="W55" s="585"/>
      <c r="X55" s="585"/>
      <c r="Y55" s="585"/>
      <c r="Z55" s="585"/>
      <c r="AA55" s="585"/>
      <c r="AB55" s="585"/>
      <c r="AC55" s="586"/>
      <c r="AD55" s="544"/>
      <c r="AE55" s="545"/>
      <c r="AF55" s="545"/>
      <c r="AG55" s="545"/>
      <c r="AH55" s="545"/>
      <c r="AI55" s="545"/>
      <c r="AJ55" s="545"/>
      <c r="AK55" s="545"/>
      <c r="AL55" s="545"/>
      <c r="AM55" s="545"/>
      <c r="AN55" s="545"/>
      <c r="AO55" s="545"/>
      <c r="AP55" s="545"/>
      <c r="AQ55" s="545"/>
      <c r="AR55" s="545"/>
      <c r="AS55" s="545"/>
      <c r="AT55" s="545"/>
      <c r="AU55" s="545"/>
      <c r="AV55" s="545"/>
      <c r="AW55" s="545"/>
      <c r="AX55" s="546"/>
      <c r="AY55" s="544"/>
      <c r="AZ55" s="545"/>
      <c r="BA55" s="545"/>
      <c r="BB55" s="545"/>
      <c r="BC55" s="545"/>
      <c r="BD55" s="545"/>
      <c r="BE55" s="545"/>
      <c r="BF55" s="545"/>
      <c r="BG55" s="545"/>
      <c r="BH55" s="545"/>
      <c r="BI55" s="545"/>
      <c r="BJ55" s="545"/>
      <c r="BK55" s="545"/>
      <c r="BL55" s="545"/>
      <c r="BM55" s="545"/>
      <c r="BN55" s="545"/>
      <c r="BO55" s="545"/>
      <c r="BP55" s="546"/>
      <c r="BQ55" s="544"/>
      <c r="BR55" s="545"/>
      <c r="BS55" s="545"/>
      <c r="BT55" s="545"/>
      <c r="BU55" s="545"/>
      <c r="BV55" s="545"/>
      <c r="BW55" s="545"/>
      <c r="BX55" s="545"/>
      <c r="BY55" s="545"/>
      <c r="BZ55" s="545"/>
      <c r="CA55" s="545"/>
      <c r="CB55" s="545"/>
      <c r="CC55" s="545"/>
      <c r="CD55" s="545"/>
      <c r="CE55" s="545"/>
      <c r="CF55" s="545"/>
      <c r="CG55" s="545"/>
      <c r="CH55" s="546"/>
      <c r="CI55" s="544"/>
      <c r="CJ55" s="545"/>
      <c r="CK55" s="545"/>
      <c r="CL55" s="545"/>
      <c r="CM55" s="545"/>
      <c r="CN55" s="545"/>
      <c r="CO55" s="545"/>
      <c r="CP55" s="545"/>
      <c r="CQ55" s="545"/>
      <c r="CR55" s="545"/>
      <c r="CS55" s="545"/>
      <c r="CT55" s="545"/>
      <c r="CU55" s="545"/>
      <c r="CV55" s="545"/>
      <c r="CW55" s="545"/>
      <c r="CX55" s="545"/>
      <c r="CY55" s="545"/>
      <c r="CZ55" s="546"/>
      <c r="DA55" s="214"/>
    </row>
    <row r="56" spans="1:106" s="16" customFormat="1" ht="24" hidden="1" customHeight="1" x14ac:dyDescent="0.3">
      <c r="A56" s="633" t="s">
        <v>292</v>
      </c>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5"/>
      <c r="AD56" s="544" t="s">
        <v>4</v>
      </c>
      <c r="AE56" s="545"/>
      <c r="AF56" s="545"/>
      <c r="AG56" s="545"/>
      <c r="AH56" s="545"/>
      <c r="AI56" s="545"/>
      <c r="AJ56" s="545"/>
      <c r="AK56" s="545"/>
      <c r="AL56" s="545"/>
      <c r="AM56" s="545"/>
      <c r="AN56" s="545"/>
      <c r="AO56" s="545"/>
      <c r="AP56" s="545"/>
      <c r="AQ56" s="545"/>
      <c r="AR56" s="545"/>
      <c r="AS56" s="545"/>
      <c r="AT56" s="545"/>
      <c r="AU56" s="545"/>
      <c r="AV56" s="545"/>
      <c r="AW56" s="545"/>
      <c r="AX56" s="546"/>
      <c r="AY56" s="544" t="s">
        <v>4</v>
      </c>
      <c r="AZ56" s="545"/>
      <c r="BA56" s="545"/>
      <c r="BB56" s="545"/>
      <c r="BC56" s="545"/>
      <c r="BD56" s="545"/>
      <c r="BE56" s="545"/>
      <c r="BF56" s="545"/>
      <c r="BG56" s="545"/>
      <c r="BH56" s="545"/>
      <c r="BI56" s="545"/>
      <c r="BJ56" s="545"/>
      <c r="BK56" s="545"/>
      <c r="BL56" s="545"/>
      <c r="BM56" s="545"/>
      <c r="BN56" s="545"/>
      <c r="BO56" s="545"/>
      <c r="BP56" s="546"/>
      <c r="BQ56" s="544" t="s">
        <v>4</v>
      </c>
      <c r="BR56" s="545"/>
      <c r="BS56" s="545"/>
      <c r="BT56" s="545"/>
      <c r="BU56" s="545"/>
      <c r="BV56" s="545"/>
      <c r="BW56" s="545"/>
      <c r="BX56" s="545"/>
      <c r="BY56" s="545"/>
      <c r="BZ56" s="545"/>
      <c r="CA56" s="545"/>
      <c r="CB56" s="545"/>
      <c r="CC56" s="545"/>
      <c r="CD56" s="545"/>
      <c r="CE56" s="545"/>
      <c r="CF56" s="545"/>
      <c r="CG56" s="545"/>
      <c r="CH56" s="546"/>
      <c r="CI56" s="544"/>
      <c r="CJ56" s="545"/>
      <c r="CK56" s="545"/>
      <c r="CL56" s="545"/>
      <c r="CM56" s="545"/>
      <c r="CN56" s="545"/>
      <c r="CO56" s="545"/>
      <c r="CP56" s="545"/>
      <c r="CQ56" s="545"/>
      <c r="CR56" s="545"/>
      <c r="CS56" s="545"/>
      <c r="CT56" s="545"/>
      <c r="CU56" s="545"/>
      <c r="CV56" s="545"/>
      <c r="CW56" s="545"/>
      <c r="CX56" s="545"/>
      <c r="CY56" s="545"/>
      <c r="CZ56" s="546"/>
      <c r="DA56" s="214"/>
    </row>
    <row r="57" spans="1:106" s="16" customFormat="1" ht="17.25" hidden="1" customHeight="1" x14ac:dyDescent="0.3">
      <c r="A57" s="630"/>
      <c r="B57" s="631"/>
      <c r="C57" s="631"/>
      <c r="D57" s="631"/>
      <c r="E57" s="631"/>
      <c r="F57" s="632"/>
      <c r="G57" s="553" t="s">
        <v>56</v>
      </c>
      <c r="H57" s="554"/>
      <c r="I57" s="554"/>
      <c r="J57" s="554"/>
      <c r="K57" s="554"/>
      <c r="L57" s="554"/>
      <c r="M57" s="554"/>
      <c r="N57" s="554"/>
      <c r="O57" s="554"/>
      <c r="P57" s="554"/>
      <c r="Q57" s="554"/>
      <c r="R57" s="554"/>
      <c r="S57" s="554"/>
      <c r="T57" s="554"/>
      <c r="U57" s="554"/>
      <c r="V57" s="554"/>
      <c r="W57" s="554"/>
      <c r="X57" s="554"/>
      <c r="Y57" s="554"/>
      <c r="Z57" s="554"/>
      <c r="AA57" s="554"/>
      <c r="AB57" s="554"/>
      <c r="AC57" s="555"/>
      <c r="AD57" s="544" t="s">
        <v>4</v>
      </c>
      <c r="AE57" s="545"/>
      <c r="AF57" s="545"/>
      <c r="AG57" s="545"/>
      <c r="AH57" s="545"/>
      <c r="AI57" s="545"/>
      <c r="AJ57" s="545"/>
      <c r="AK57" s="545"/>
      <c r="AL57" s="545"/>
      <c r="AM57" s="545"/>
      <c r="AN57" s="545"/>
      <c r="AO57" s="545"/>
      <c r="AP57" s="545"/>
      <c r="AQ57" s="545"/>
      <c r="AR57" s="545"/>
      <c r="AS57" s="545"/>
      <c r="AT57" s="545"/>
      <c r="AU57" s="545"/>
      <c r="AV57" s="545"/>
      <c r="AW57" s="545"/>
      <c r="AX57" s="546"/>
      <c r="AY57" s="544" t="s">
        <v>4</v>
      </c>
      <c r="AZ57" s="545"/>
      <c r="BA57" s="545"/>
      <c r="BB57" s="545"/>
      <c r="BC57" s="545"/>
      <c r="BD57" s="545"/>
      <c r="BE57" s="545"/>
      <c r="BF57" s="545"/>
      <c r="BG57" s="545"/>
      <c r="BH57" s="545"/>
      <c r="BI57" s="545"/>
      <c r="BJ57" s="545"/>
      <c r="BK57" s="545"/>
      <c r="BL57" s="545"/>
      <c r="BM57" s="545"/>
      <c r="BN57" s="545"/>
      <c r="BO57" s="545"/>
      <c r="BP57" s="546"/>
      <c r="BQ57" s="544" t="s">
        <v>4</v>
      </c>
      <c r="BR57" s="545"/>
      <c r="BS57" s="545"/>
      <c r="BT57" s="545"/>
      <c r="BU57" s="545"/>
      <c r="BV57" s="545"/>
      <c r="BW57" s="545"/>
      <c r="BX57" s="545"/>
      <c r="BY57" s="545"/>
      <c r="BZ57" s="545"/>
      <c r="CA57" s="545"/>
      <c r="CB57" s="545"/>
      <c r="CC57" s="545"/>
      <c r="CD57" s="545"/>
      <c r="CE57" s="545"/>
      <c r="CF57" s="545"/>
      <c r="CG57" s="545"/>
      <c r="CH57" s="546"/>
      <c r="CI57" s="544"/>
      <c r="CJ57" s="545"/>
      <c r="CK57" s="545"/>
      <c r="CL57" s="545"/>
      <c r="CM57" s="545"/>
      <c r="CN57" s="545"/>
      <c r="CO57" s="545"/>
      <c r="CP57" s="545"/>
      <c r="CQ57" s="545"/>
      <c r="CR57" s="545"/>
      <c r="CS57" s="545"/>
      <c r="CT57" s="545"/>
      <c r="CU57" s="545"/>
      <c r="CV57" s="545"/>
      <c r="CW57" s="545"/>
      <c r="CX57" s="545"/>
      <c r="CY57" s="545"/>
      <c r="CZ57" s="546"/>
      <c r="DA57" s="214"/>
    </row>
    <row r="58" spans="1:106" s="16" customFormat="1" ht="7.5" hidden="1" customHeight="1" x14ac:dyDescent="0.3">
      <c r="A58" s="224"/>
      <c r="B58" s="224"/>
      <c r="C58" s="224"/>
      <c r="D58" s="224"/>
      <c r="E58" s="224"/>
      <c r="F58" s="224"/>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14"/>
    </row>
    <row r="59" spans="1:106" s="16" customFormat="1" ht="28.5" customHeight="1" x14ac:dyDescent="0.3">
      <c r="A59" s="731" t="s">
        <v>305</v>
      </c>
      <c r="B59" s="731"/>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214"/>
    </row>
    <row r="60" spans="1:106" s="16" customFormat="1" ht="15"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95" t="s">
        <v>536</v>
      </c>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595"/>
      <c r="BM60" s="595"/>
      <c r="BN60" s="595"/>
      <c r="BO60" s="595"/>
      <c r="BP60" s="595"/>
      <c r="BQ60" s="595"/>
      <c r="BR60" s="595"/>
      <c r="BS60" s="595"/>
      <c r="BT60" s="595"/>
      <c r="BU60" s="595"/>
      <c r="BV60" s="595"/>
      <c r="BW60" s="595"/>
      <c r="BX60" s="595"/>
      <c r="BY60" s="595"/>
      <c r="BZ60" s="595"/>
      <c r="CA60" s="595"/>
      <c r="CB60" s="595"/>
      <c r="CC60" s="595"/>
      <c r="CD60" s="595"/>
      <c r="CE60" s="595"/>
      <c r="CF60" s="595"/>
      <c r="CG60" s="595"/>
      <c r="CH60" s="595"/>
      <c r="CI60" s="595"/>
      <c r="CJ60" s="595"/>
      <c r="CK60" s="595"/>
      <c r="CL60" s="595"/>
      <c r="CM60" s="595"/>
      <c r="CN60" s="595"/>
      <c r="CO60" s="595"/>
      <c r="CP60" s="595"/>
      <c r="CQ60" s="595"/>
      <c r="CR60" s="595"/>
      <c r="CS60" s="595"/>
      <c r="CT60" s="595"/>
      <c r="CU60" s="595"/>
      <c r="CV60" s="595"/>
      <c r="CW60" s="595"/>
      <c r="CX60" s="595"/>
      <c r="CY60" s="595"/>
      <c r="CZ60" s="595"/>
      <c r="DA60" s="227" t="s">
        <v>914</v>
      </c>
      <c r="DB60" s="228"/>
    </row>
    <row r="61" spans="1:106" s="16" customFormat="1" ht="18.7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7"/>
      <c r="DB61" s="228"/>
    </row>
    <row r="62" spans="1:106" s="16" customFormat="1" ht="25.5" customHeight="1" x14ac:dyDescent="0.3">
      <c r="A62" s="475" t="s">
        <v>49</v>
      </c>
      <c r="B62" s="476"/>
      <c r="C62" s="476"/>
      <c r="D62" s="476"/>
      <c r="E62" s="476"/>
      <c r="F62" s="477"/>
      <c r="G62" s="475" t="s">
        <v>57</v>
      </c>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7"/>
      <c r="AY62" s="475" t="s">
        <v>59</v>
      </c>
      <c r="AZ62" s="476"/>
      <c r="BA62" s="476"/>
      <c r="BB62" s="476"/>
      <c r="BC62" s="476"/>
      <c r="BD62" s="476"/>
      <c r="BE62" s="476"/>
      <c r="BF62" s="476"/>
      <c r="BG62" s="476"/>
      <c r="BH62" s="476"/>
      <c r="BI62" s="476"/>
      <c r="BJ62" s="476"/>
      <c r="BK62" s="476"/>
      <c r="BL62" s="476"/>
      <c r="BM62" s="476"/>
      <c r="BN62" s="476"/>
      <c r="BO62" s="476"/>
      <c r="BP62" s="477"/>
      <c r="BQ62" s="475" t="s">
        <v>306</v>
      </c>
      <c r="BR62" s="476"/>
      <c r="BS62" s="476"/>
      <c r="BT62" s="476"/>
      <c r="BU62" s="476"/>
      <c r="BV62" s="476"/>
      <c r="BW62" s="476"/>
      <c r="BX62" s="476"/>
      <c r="BY62" s="476"/>
      <c r="BZ62" s="476"/>
      <c r="CA62" s="476"/>
      <c r="CB62" s="476"/>
      <c r="CC62" s="476"/>
      <c r="CD62" s="476"/>
      <c r="CE62" s="476"/>
      <c r="CF62" s="476"/>
      <c r="CG62" s="476"/>
      <c r="CH62" s="477"/>
      <c r="CI62" s="475" t="s">
        <v>61</v>
      </c>
      <c r="CJ62" s="476"/>
      <c r="CK62" s="476"/>
      <c r="CL62" s="476"/>
      <c r="CM62" s="476"/>
      <c r="CN62" s="476"/>
      <c r="CO62" s="476"/>
      <c r="CP62" s="476"/>
      <c r="CQ62" s="476"/>
      <c r="CR62" s="476"/>
      <c r="CS62" s="476"/>
      <c r="CT62" s="476"/>
      <c r="CU62" s="476"/>
      <c r="CV62" s="476"/>
      <c r="CW62" s="476"/>
      <c r="CX62" s="476"/>
      <c r="CY62" s="476"/>
      <c r="CZ62" s="476"/>
      <c r="DA62" s="217"/>
      <c r="DB62" s="228"/>
    </row>
    <row r="63" spans="1:106" s="16" customFormat="1" ht="17.25" customHeight="1" x14ac:dyDescent="0.3">
      <c r="A63" s="661">
        <v>1</v>
      </c>
      <c r="B63" s="662"/>
      <c r="C63" s="662"/>
      <c r="D63" s="662"/>
      <c r="E63" s="662"/>
      <c r="F63" s="663"/>
      <c r="G63" s="661">
        <v>2</v>
      </c>
      <c r="H63" s="662"/>
      <c r="I63" s="662"/>
      <c r="J63" s="662"/>
      <c r="K63" s="662"/>
      <c r="L63" s="662"/>
      <c r="M63" s="662"/>
      <c r="N63" s="662"/>
      <c r="O63" s="662"/>
      <c r="P63" s="662"/>
      <c r="Q63" s="662"/>
      <c r="R63" s="662"/>
      <c r="S63" s="662"/>
      <c r="T63" s="662"/>
      <c r="U63" s="662"/>
      <c r="V63" s="662"/>
      <c r="W63" s="662"/>
      <c r="X63" s="662"/>
      <c r="Y63" s="662"/>
      <c r="Z63" s="662"/>
      <c r="AA63" s="662"/>
      <c r="AB63" s="662"/>
      <c r="AC63" s="663"/>
      <c r="AD63" s="661">
        <v>3</v>
      </c>
      <c r="AE63" s="662"/>
      <c r="AF63" s="662"/>
      <c r="AG63" s="662"/>
      <c r="AH63" s="662"/>
      <c r="AI63" s="662"/>
      <c r="AJ63" s="662"/>
      <c r="AK63" s="662"/>
      <c r="AL63" s="662"/>
      <c r="AM63" s="662"/>
      <c r="AN63" s="662"/>
      <c r="AO63" s="662"/>
      <c r="AP63" s="662"/>
      <c r="AQ63" s="662"/>
      <c r="AR63" s="662"/>
      <c r="AS63" s="662"/>
      <c r="AT63" s="662"/>
      <c r="AU63" s="662"/>
      <c r="AV63" s="662"/>
      <c r="AW63" s="662"/>
      <c r="AX63" s="663"/>
      <c r="AY63" s="661">
        <v>4</v>
      </c>
      <c r="AZ63" s="662"/>
      <c r="BA63" s="662"/>
      <c r="BB63" s="662"/>
      <c r="BC63" s="662"/>
      <c r="BD63" s="662"/>
      <c r="BE63" s="662"/>
      <c r="BF63" s="662"/>
      <c r="BG63" s="662"/>
      <c r="BH63" s="662"/>
      <c r="BI63" s="662"/>
      <c r="BJ63" s="662"/>
      <c r="BK63" s="662"/>
      <c r="BL63" s="662"/>
      <c r="BM63" s="662"/>
      <c r="BN63" s="662"/>
      <c r="BO63" s="662"/>
      <c r="BP63" s="663"/>
      <c r="BQ63" s="661">
        <v>5</v>
      </c>
      <c r="BR63" s="662"/>
      <c r="BS63" s="662"/>
      <c r="BT63" s="662"/>
      <c r="BU63" s="662"/>
      <c r="BV63" s="662"/>
      <c r="BW63" s="662"/>
      <c r="BX63" s="662"/>
      <c r="BY63" s="662"/>
      <c r="BZ63" s="662"/>
      <c r="CA63" s="662"/>
      <c r="CB63" s="662"/>
      <c r="CC63" s="662"/>
      <c r="CD63" s="662"/>
      <c r="CE63" s="662"/>
      <c r="CF63" s="662"/>
      <c r="CG63" s="662"/>
      <c r="CH63" s="663"/>
      <c r="CI63" s="661">
        <v>6</v>
      </c>
      <c r="CJ63" s="662"/>
      <c r="CK63" s="662"/>
      <c r="CL63" s="662"/>
      <c r="CM63" s="662"/>
      <c r="CN63" s="662"/>
      <c r="CO63" s="662"/>
      <c r="CP63" s="662"/>
      <c r="CQ63" s="662"/>
      <c r="CR63" s="662"/>
      <c r="CS63" s="662"/>
      <c r="CT63" s="662"/>
      <c r="CU63" s="662"/>
      <c r="CV63" s="662"/>
      <c r="CW63" s="662"/>
      <c r="CX63" s="662"/>
      <c r="CY63" s="662"/>
      <c r="CZ63" s="663"/>
      <c r="DA63" s="217"/>
      <c r="DB63" s="228"/>
    </row>
    <row r="64" spans="1:106" s="16" customFormat="1" ht="28.5" customHeight="1" x14ac:dyDescent="0.3">
      <c r="A64" s="656" t="s">
        <v>537</v>
      </c>
      <c r="B64" s="657"/>
      <c r="C64" s="657"/>
      <c r="D64" s="657"/>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7"/>
      <c r="BT64" s="657"/>
      <c r="BU64" s="657"/>
      <c r="BV64" s="657"/>
      <c r="BW64" s="657"/>
      <c r="BX64" s="657"/>
      <c r="BY64" s="657"/>
      <c r="BZ64" s="657"/>
      <c r="CA64" s="657"/>
      <c r="CB64" s="657"/>
      <c r="CC64" s="657"/>
      <c r="CD64" s="657"/>
      <c r="CE64" s="657"/>
      <c r="CF64" s="657"/>
      <c r="CG64" s="657"/>
      <c r="CH64" s="657"/>
      <c r="CI64" s="657"/>
      <c r="CJ64" s="657"/>
      <c r="CK64" s="657"/>
      <c r="CL64" s="657"/>
      <c r="CM64" s="657"/>
      <c r="CN64" s="657"/>
      <c r="CO64" s="657"/>
      <c r="CP64" s="657"/>
      <c r="CQ64" s="657"/>
      <c r="CR64" s="657"/>
      <c r="CS64" s="657"/>
      <c r="CT64" s="657"/>
      <c r="CU64" s="657"/>
      <c r="CV64" s="657"/>
      <c r="CW64" s="657"/>
      <c r="CX64" s="657"/>
      <c r="CY64" s="657"/>
      <c r="CZ64" s="657"/>
      <c r="DA64" s="217"/>
      <c r="DB64" s="228"/>
    </row>
    <row r="65" spans="1:106" s="16" customFormat="1" ht="26.25" hidden="1" customHeight="1" x14ac:dyDescent="0.3">
      <c r="A65" s="630" t="s">
        <v>441</v>
      </c>
      <c r="B65" s="631"/>
      <c r="C65" s="631"/>
      <c r="D65" s="631"/>
      <c r="E65" s="631"/>
      <c r="F65" s="632"/>
      <c r="G65" s="584" t="s">
        <v>546</v>
      </c>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5"/>
      <c r="AW65" s="585"/>
      <c r="AX65" s="586"/>
      <c r="AY65" s="544"/>
      <c r="AZ65" s="545"/>
      <c r="BA65" s="545"/>
      <c r="BB65" s="545"/>
      <c r="BC65" s="545"/>
      <c r="BD65" s="545"/>
      <c r="BE65" s="545"/>
      <c r="BF65" s="545"/>
      <c r="BG65" s="545"/>
      <c r="BH65" s="545"/>
      <c r="BI65" s="545"/>
      <c r="BJ65" s="545"/>
      <c r="BK65" s="545"/>
      <c r="BL65" s="545"/>
      <c r="BM65" s="545"/>
      <c r="BN65" s="545"/>
      <c r="BO65" s="545"/>
      <c r="BP65" s="546"/>
      <c r="BQ65" s="627"/>
      <c r="BR65" s="628"/>
      <c r="BS65" s="628"/>
      <c r="BT65" s="628"/>
      <c r="BU65" s="628"/>
      <c r="BV65" s="628"/>
      <c r="BW65" s="628"/>
      <c r="BX65" s="628"/>
      <c r="BY65" s="628"/>
      <c r="BZ65" s="628"/>
      <c r="CA65" s="628"/>
      <c r="CB65" s="628"/>
      <c r="CC65" s="628"/>
      <c r="CD65" s="628"/>
      <c r="CE65" s="628"/>
      <c r="CF65" s="628"/>
      <c r="CG65" s="628"/>
      <c r="CH65" s="629"/>
      <c r="CI65" s="627">
        <f>BQ65*AY65</f>
        <v>0</v>
      </c>
      <c r="CJ65" s="628"/>
      <c r="CK65" s="628"/>
      <c r="CL65" s="628"/>
      <c r="CM65" s="628"/>
      <c r="CN65" s="628"/>
      <c r="CO65" s="628"/>
      <c r="CP65" s="628"/>
      <c r="CQ65" s="628"/>
      <c r="CR65" s="628"/>
      <c r="CS65" s="628"/>
      <c r="CT65" s="628"/>
      <c r="CU65" s="628"/>
      <c r="CV65" s="628"/>
      <c r="CW65" s="628"/>
      <c r="CX65" s="628"/>
      <c r="CY65" s="628"/>
      <c r="CZ65" s="629"/>
      <c r="DA65" s="217"/>
      <c r="DB65" s="228"/>
    </row>
    <row r="66" spans="1:106" s="16" customFormat="1" ht="24.75" customHeight="1" x14ac:dyDescent="0.3">
      <c r="A66" s="728" t="s">
        <v>444</v>
      </c>
      <c r="B66" s="729"/>
      <c r="C66" s="729"/>
      <c r="D66" s="729"/>
      <c r="E66" s="729"/>
      <c r="F66" s="730"/>
      <c r="G66" s="587" t="s">
        <v>869</v>
      </c>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8"/>
      <c r="AP66" s="588"/>
      <c r="AQ66" s="588"/>
      <c r="AR66" s="588"/>
      <c r="AS66" s="588"/>
      <c r="AT66" s="588"/>
      <c r="AU66" s="588"/>
      <c r="AV66" s="588"/>
      <c r="AW66" s="588"/>
      <c r="AX66" s="589"/>
      <c r="AY66" s="619">
        <v>1</v>
      </c>
      <c r="AZ66" s="620"/>
      <c r="BA66" s="620"/>
      <c r="BB66" s="620"/>
      <c r="BC66" s="620"/>
      <c r="BD66" s="620"/>
      <c r="BE66" s="620"/>
      <c r="BF66" s="620"/>
      <c r="BG66" s="620"/>
      <c r="BH66" s="620"/>
      <c r="BI66" s="620"/>
      <c r="BJ66" s="620"/>
      <c r="BK66" s="620"/>
      <c r="BL66" s="620"/>
      <c r="BM66" s="620"/>
      <c r="BN66" s="620"/>
      <c r="BO66" s="620"/>
      <c r="BP66" s="621"/>
      <c r="BQ66" s="693">
        <f>9810*3</f>
        <v>29430</v>
      </c>
      <c r="BR66" s="694"/>
      <c r="BS66" s="694"/>
      <c r="BT66" s="694"/>
      <c r="BU66" s="694"/>
      <c r="BV66" s="694"/>
      <c r="BW66" s="694"/>
      <c r="BX66" s="694"/>
      <c r="BY66" s="694"/>
      <c r="BZ66" s="694"/>
      <c r="CA66" s="694"/>
      <c r="CB66" s="694"/>
      <c r="CC66" s="694"/>
      <c r="CD66" s="694"/>
      <c r="CE66" s="694"/>
      <c r="CF66" s="694"/>
      <c r="CG66" s="694"/>
      <c r="CH66" s="695"/>
      <c r="CI66" s="693">
        <f>BQ66*AY66</f>
        <v>29430</v>
      </c>
      <c r="CJ66" s="694"/>
      <c r="CK66" s="694"/>
      <c r="CL66" s="694"/>
      <c r="CM66" s="694"/>
      <c r="CN66" s="694"/>
      <c r="CO66" s="694"/>
      <c r="CP66" s="694"/>
      <c r="CQ66" s="694"/>
      <c r="CR66" s="694"/>
      <c r="CS66" s="694"/>
      <c r="CT66" s="694"/>
      <c r="CU66" s="694"/>
      <c r="CV66" s="694"/>
      <c r="CW66" s="694"/>
      <c r="CX66" s="694"/>
      <c r="CY66" s="694"/>
      <c r="CZ66" s="695"/>
      <c r="DA66" s="325"/>
      <c r="DB66" s="228"/>
    </row>
    <row r="67" spans="1:106" s="16" customFormat="1" ht="28.5" customHeight="1" x14ac:dyDescent="0.3">
      <c r="A67" s="725" t="s">
        <v>292</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619" t="s">
        <v>4</v>
      </c>
      <c r="AZ67" s="620"/>
      <c r="BA67" s="620"/>
      <c r="BB67" s="620"/>
      <c r="BC67" s="620"/>
      <c r="BD67" s="620"/>
      <c r="BE67" s="620"/>
      <c r="BF67" s="620"/>
      <c r="BG67" s="620"/>
      <c r="BH67" s="620"/>
      <c r="BI67" s="620"/>
      <c r="BJ67" s="620"/>
      <c r="BK67" s="620"/>
      <c r="BL67" s="620"/>
      <c r="BM67" s="620"/>
      <c r="BN67" s="620"/>
      <c r="BO67" s="620"/>
      <c r="BP67" s="621"/>
      <c r="BQ67" s="619" t="s">
        <v>4</v>
      </c>
      <c r="BR67" s="620"/>
      <c r="BS67" s="620"/>
      <c r="BT67" s="620"/>
      <c r="BU67" s="620"/>
      <c r="BV67" s="620"/>
      <c r="BW67" s="620"/>
      <c r="BX67" s="620"/>
      <c r="BY67" s="620"/>
      <c r="BZ67" s="620"/>
      <c r="CA67" s="620"/>
      <c r="CB67" s="620"/>
      <c r="CC67" s="620"/>
      <c r="CD67" s="620"/>
      <c r="CE67" s="620"/>
      <c r="CF67" s="620"/>
      <c r="CG67" s="620"/>
      <c r="CH67" s="621"/>
      <c r="CI67" s="682">
        <f>SUM(CI65:CZ66)</f>
        <v>29430</v>
      </c>
      <c r="CJ67" s="683"/>
      <c r="CK67" s="683"/>
      <c r="CL67" s="683"/>
      <c r="CM67" s="683"/>
      <c r="CN67" s="683"/>
      <c r="CO67" s="683"/>
      <c r="CP67" s="683"/>
      <c r="CQ67" s="683"/>
      <c r="CR67" s="683"/>
      <c r="CS67" s="683"/>
      <c r="CT67" s="683"/>
      <c r="CU67" s="683"/>
      <c r="CV67" s="683"/>
      <c r="CW67" s="683"/>
      <c r="CX67" s="683"/>
      <c r="CY67" s="683"/>
      <c r="CZ67" s="684"/>
      <c r="DA67" s="217"/>
      <c r="DB67" s="228"/>
    </row>
    <row r="68" spans="1:106" s="16" customFormat="1" ht="29.25" customHeight="1" x14ac:dyDescent="0.3">
      <c r="A68" s="656" t="s">
        <v>547</v>
      </c>
      <c r="B68" s="657"/>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7"/>
      <c r="AJ68" s="657"/>
      <c r="AK68" s="657"/>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57"/>
      <c r="BQ68" s="657"/>
      <c r="BR68" s="657"/>
      <c r="BS68" s="657"/>
      <c r="BT68" s="657"/>
      <c r="BU68" s="657"/>
      <c r="BV68" s="657"/>
      <c r="BW68" s="657"/>
      <c r="BX68" s="657"/>
      <c r="BY68" s="657"/>
      <c r="BZ68" s="657"/>
      <c r="CA68" s="657"/>
      <c r="CB68" s="657"/>
      <c r="CC68" s="657"/>
      <c r="CD68" s="657"/>
      <c r="CE68" s="657"/>
      <c r="CF68" s="657"/>
      <c r="CG68" s="657"/>
      <c r="CH68" s="657"/>
      <c r="CI68" s="657"/>
      <c r="CJ68" s="657"/>
      <c r="CK68" s="657"/>
      <c r="CL68" s="657"/>
      <c r="CM68" s="657"/>
      <c r="CN68" s="657"/>
      <c r="CO68" s="657"/>
      <c r="CP68" s="657"/>
      <c r="CQ68" s="657"/>
      <c r="CR68" s="657"/>
      <c r="CS68" s="657"/>
      <c r="CT68" s="657"/>
      <c r="CU68" s="657"/>
      <c r="CV68" s="657"/>
      <c r="CW68" s="657"/>
      <c r="CX68" s="657"/>
      <c r="CY68" s="657"/>
      <c r="CZ68" s="657"/>
      <c r="DA68" s="217"/>
      <c r="DB68" s="228"/>
    </row>
    <row r="69" spans="1:106" s="16" customFormat="1" ht="37.5" customHeight="1" x14ac:dyDescent="0.3">
      <c r="A69" s="630" t="s">
        <v>441</v>
      </c>
      <c r="B69" s="631"/>
      <c r="C69" s="631"/>
      <c r="D69" s="631"/>
      <c r="E69" s="631"/>
      <c r="F69" s="632"/>
      <c r="G69" s="584" t="s">
        <v>548</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6"/>
      <c r="AY69" s="544">
        <v>84</v>
      </c>
      <c r="AZ69" s="545"/>
      <c r="BA69" s="545"/>
      <c r="BB69" s="545"/>
      <c r="BC69" s="545"/>
      <c r="BD69" s="545"/>
      <c r="BE69" s="545"/>
      <c r="BF69" s="545"/>
      <c r="BG69" s="545"/>
      <c r="BH69" s="545"/>
      <c r="BI69" s="545"/>
      <c r="BJ69" s="545"/>
      <c r="BK69" s="545"/>
      <c r="BL69" s="545"/>
      <c r="BM69" s="545"/>
      <c r="BN69" s="545"/>
      <c r="BO69" s="545"/>
      <c r="BP69" s="546"/>
      <c r="BQ69" s="627">
        <f>CI69/AY69</f>
        <v>19285.714285714286</v>
      </c>
      <c r="BR69" s="628"/>
      <c r="BS69" s="628"/>
      <c r="BT69" s="628"/>
      <c r="BU69" s="628"/>
      <c r="BV69" s="628"/>
      <c r="BW69" s="628"/>
      <c r="BX69" s="628"/>
      <c r="BY69" s="628"/>
      <c r="BZ69" s="628"/>
      <c r="CA69" s="628"/>
      <c r="CB69" s="628"/>
      <c r="CC69" s="628"/>
      <c r="CD69" s="628"/>
      <c r="CE69" s="628"/>
      <c r="CF69" s="628"/>
      <c r="CG69" s="628"/>
      <c r="CH69" s="629"/>
      <c r="CI69" s="627">
        <v>1620000</v>
      </c>
      <c r="CJ69" s="628"/>
      <c r="CK69" s="628"/>
      <c r="CL69" s="628"/>
      <c r="CM69" s="628"/>
      <c r="CN69" s="628"/>
      <c r="CO69" s="628"/>
      <c r="CP69" s="628"/>
      <c r="CQ69" s="628"/>
      <c r="CR69" s="628"/>
      <c r="CS69" s="628"/>
      <c r="CT69" s="628"/>
      <c r="CU69" s="628"/>
      <c r="CV69" s="628"/>
      <c r="CW69" s="628"/>
      <c r="CX69" s="628"/>
      <c r="CY69" s="628"/>
      <c r="CZ69" s="629"/>
      <c r="DA69" s="217"/>
      <c r="DB69" s="228"/>
    </row>
    <row r="70" spans="1:106" s="16" customFormat="1" ht="39" customHeight="1" x14ac:dyDescent="0.3">
      <c r="A70" s="630" t="s">
        <v>444</v>
      </c>
      <c r="B70" s="631"/>
      <c r="C70" s="631"/>
      <c r="D70" s="631"/>
      <c r="E70" s="631"/>
      <c r="F70" s="632"/>
      <c r="G70" s="584" t="s">
        <v>549</v>
      </c>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544">
        <v>14</v>
      </c>
      <c r="AZ70" s="545"/>
      <c r="BA70" s="545"/>
      <c r="BB70" s="545"/>
      <c r="BC70" s="545"/>
      <c r="BD70" s="545"/>
      <c r="BE70" s="545"/>
      <c r="BF70" s="545"/>
      <c r="BG70" s="545"/>
      <c r="BH70" s="545"/>
      <c r="BI70" s="545"/>
      <c r="BJ70" s="545"/>
      <c r="BK70" s="545"/>
      <c r="BL70" s="545"/>
      <c r="BM70" s="545"/>
      <c r="BN70" s="545"/>
      <c r="BO70" s="545"/>
      <c r="BP70" s="546"/>
      <c r="BQ70" s="627">
        <f>CI70/AY70</f>
        <v>23992.857142857141</v>
      </c>
      <c r="BR70" s="628"/>
      <c r="BS70" s="628"/>
      <c r="BT70" s="628"/>
      <c r="BU70" s="628"/>
      <c r="BV70" s="628"/>
      <c r="BW70" s="628"/>
      <c r="BX70" s="628"/>
      <c r="BY70" s="628"/>
      <c r="BZ70" s="628"/>
      <c r="CA70" s="628"/>
      <c r="CB70" s="628"/>
      <c r="CC70" s="628"/>
      <c r="CD70" s="628"/>
      <c r="CE70" s="628"/>
      <c r="CF70" s="628"/>
      <c r="CG70" s="628"/>
      <c r="CH70" s="629"/>
      <c r="CI70" s="627">
        <v>335900</v>
      </c>
      <c r="CJ70" s="628"/>
      <c r="CK70" s="628"/>
      <c r="CL70" s="628"/>
      <c r="CM70" s="628"/>
      <c r="CN70" s="628"/>
      <c r="CO70" s="628"/>
      <c r="CP70" s="628"/>
      <c r="CQ70" s="628"/>
      <c r="CR70" s="628"/>
      <c r="CS70" s="628"/>
      <c r="CT70" s="628"/>
      <c r="CU70" s="628"/>
      <c r="CV70" s="628"/>
      <c r="CW70" s="628"/>
      <c r="CX70" s="628"/>
      <c r="CY70" s="628"/>
      <c r="CZ70" s="629"/>
      <c r="DA70" s="217"/>
      <c r="DB70" s="228"/>
    </row>
    <row r="71" spans="1:106" s="16" customFormat="1" ht="31.5" hidden="1" customHeight="1" x14ac:dyDescent="0.3">
      <c r="A71" s="630" t="s">
        <v>446</v>
      </c>
      <c r="B71" s="631"/>
      <c r="C71" s="631"/>
      <c r="D71" s="631"/>
      <c r="E71" s="631"/>
      <c r="F71" s="632"/>
      <c r="G71" s="584" t="s">
        <v>550</v>
      </c>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6"/>
      <c r="AY71" s="544"/>
      <c r="AZ71" s="545"/>
      <c r="BA71" s="545"/>
      <c r="BB71" s="545"/>
      <c r="BC71" s="545"/>
      <c r="BD71" s="545"/>
      <c r="BE71" s="545"/>
      <c r="BF71" s="545"/>
      <c r="BG71" s="545"/>
      <c r="BH71" s="545"/>
      <c r="BI71" s="545"/>
      <c r="BJ71" s="545"/>
      <c r="BK71" s="545"/>
      <c r="BL71" s="545"/>
      <c r="BM71" s="545"/>
      <c r="BN71" s="545"/>
      <c r="BO71" s="545"/>
      <c r="BP71" s="546"/>
      <c r="BQ71" s="627"/>
      <c r="BR71" s="628"/>
      <c r="BS71" s="628"/>
      <c r="BT71" s="628"/>
      <c r="BU71" s="628"/>
      <c r="BV71" s="628"/>
      <c r="BW71" s="628"/>
      <c r="BX71" s="628"/>
      <c r="BY71" s="628"/>
      <c r="BZ71" s="628"/>
      <c r="CA71" s="628"/>
      <c r="CB71" s="628"/>
      <c r="CC71" s="628"/>
      <c r="CD71" s="628"/>
      <c r="CE71" s="628"/>
      <c r="CF71" s="628"/>
      <c r="CG71" s="628"/>
      <c r="CH71" s="629"/>
      <c r="CI71" s="627">
        <f t="shared" ref="CI71" si="0">AY71*BQ71</f>
        <v>0</v>
      </c>
      <c r="CJ71" s="628"/>
      <c r="CK71" s="628"/>
      <c r="CL71" s="628"/>
      <c r="CM71" s="628"/>
      <c r="CN71" s="628"/>
      <c r="CO71" s="628"/>
      <c r="CP71" s="628"/>
      <c r="CQ71" s="628"/>
      <c r="CR71" s="628"/>
      <c r="CS71" s="628"/>
      <c r="CT71" s="628"/>
      <c r="CU71" s="628"/>
      <c r="CV71" s="628"/>
      <c r="CW71" s="628"/>
      <c r="CX71" s="628"/>
      <c r="CY71" s="628"/>
      <c r="CZ71" s="629"/>
      <c r="DA71" s="217"/>
      <c r="DB71" s="228"/>
    </row>
    <row r="72" spans="1:106" s="16" customFormat="1" ht="47.25" customHeight="1" x14ac:dyDescent="0.3">
      <c r="A72" s="630" t="s">
        <v>446</v>
      </c>
      <c r="B72" s="631"/>
      <c r="C72" s="631"/>
      <c r="D72" s="631"/>
      <c r="E72" s="631"/>
      <c r="F72" s="632"/>
      <c r="G72" s="584" t="s">
        <v>552</v>
      </c>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6"/>
      <c r="AY72" s="544">
        <v>3</v>
      </c>
      <c r="AZ72" s="545"/>
      <c r="BA72" s="545"/>
      <c r="BB72" s="545"/>
      <c r="BC72" s="545"/>
      <c r="BD72" s="545"/>
      <c r="BE72" s="545"/>
      <c r="BF72" s="545"/>
      <c r="BG72" s="545"/>
      <c r="BH72" s="545"/>
      <c r="BI72" s="545"/>
      <c r="BJ72" s="545"/>
      <c r="BK72" s="545"/>
      <c r="BL72" s="545"/>
      <c r="BM72" s="545"/>
      <c r="BN72" s="545"/>
      <c r="BO72" s="545"/>
      <c r="BP72" s="546"/>
      <c r="BQ72" s="627">
        <f>CI72/AY72</f>
        <v>30900</v>
      </c>
      <c r="BR72" s="628"/>
      <c r="BS72" s="628"/>
      <c r="BT72" s="628"/>
      <c r="BU72" s="628"/>
      <c r="BV72" s="628"/>
      <c r="BW72" s="628"/>
      <c r="BX72" s="628"/>
      <c r="BY72" s="628"/>
      <c r="BZ72" s="628"/>
      <c r="CA72" s="628"/>
      <c r="CB72" s="628"/>
      <c r="CC72" s="628"/>
      <c r="CD72" s="628"/>
      <c r="CE72" s="628"/>
      <c r="CF72" s="628"/>
      <c r="CG72" s="628"/>
      <c r="CH72" s="629"/>
      <c r="CI72" s="627">
        <v>92700</v>
      </c>
      <c r="CJ72" s="628"/>
      <c r="CK72" s="628"/>
      <c r="CL72" s="628"/>
      <c r="CM72" s="628"/>
      <c r="CN72" s="628"/>
      <c r="CO72" s="628"/>
      <c r="CP72" s="628"/>
      <c r="CQ72" s="628"/>
      <c r="CR72" s="628"/>
      <c r="CS72" s="628"/>
      <c r="CT72" s="628"/>
      <c r="CU72" s="628"/>
      <c r="CV72" s="628"/>
      <c r="CW72" s="628"/>
      <c r="CX72" s="628"/>
      <c r="CY72" s="628"/>
      <c r="CZ72" s="629"/>
      <c r="DA72" s="217"/>
      <c r="DB72" s="228"/>
    </row>
    <row r="73" spans="1:106" s="16" customFormat="1" ht="15" customHeight="1" x14ac:dyDescent="0.3">
      <c r="A73" s="633" t="s">
        <v>292</v>
      </c>
      <c r="B73" s="634"/>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5"/>
      <c r="AY73" s="544" t="s">
        <v>4</v>
      </c>
      <c r="AZ73" s="545"/>
      <c r="BA73" s="545"/>
      <c r="BB73" s="545"/>
      <c r="BC73" s="545"/>
      <c r="BD73" s="545"/>
      <c r="BE73" s="545"/>
      <c r="BF73" s="545"/>
      <c r="BG73" s="545"/>
      <c r="BH73" s="545"/>
      <c r="BI73" s="545"/>
      <c r="BJ73" s="545"/>
      <c r="BK73" s="545"/>
      <c r="BL73" s="545"/>
      <c r="BM73" s="545"/>
      <c r="BN73" s="545"/>
      <c r="BO73" s="545"/>
      <c r="BP73" s="546"/>
      <c r="BQ73" s="544" t="s">
        <v>4</v>
      </c>
      <c r="BR73" s="545"/>
      <c r="BS73" s="545"/>
      <c r="BT73" s="545"/>
      <c r="BU73" s="545"/>
      <c r="BV73" s="545"/>
      <c r="BW73" s="545"/>
      <c r="BX73" s="545"/>
      <c r="BY73" s="545"/>
      <c r="BZ73" s="545"/>
      <c r="CA73" s="545"/>
      <c r="CB73" s="545"/>
      <c r="CC73" s="545"/>
      <c r="CD73" s="545"/>
      <c r="CE73" s="545"/>
      <c r="CF73" s="545"/>
      <c r="CG73" s="545"/>
      <c r="CH73" s="546"/>
      <c r="CI73" s="611">
        <f>SUM(CI69:CZ72)</f>
        <v>2048600</v>
      </c>
      <c r="CJ73" s="611"/>
      <c r="CK73" s="611"/>
      <c r="CL73" s="611"/>
      <c r="CM73" s="611"/>
      <c r="CN73" s="611"/>
      <c r="CO73" s="611"/>
      <c r="CP73" s="611"/>
      <c r="CQ73" s="611"/>
      <c r="CR73" s="611"/>
      <c r="CS73" s="611"/>
      <c r="CT73" s="611"/>
      <c r="CU73" s="611"/>
      <c r="CV73" s="611"/>
      <c r="CW73" s="611"/>
      <c r="CX73" s="611"/>
      <c r="CY73" s="611"/>
      <c r="CZ73" s="611"/>
      <c r="DA73" s="217"/>
      <c r="DB73" s="228"/>
    </row>
    <row r="74" spans="1:106" s="16" customFormat="1" ht="15" customHeight="1" x14ac:dyDescent="0.3">
      <c r="A74" s="630"/>
      <c r="B74" s="631"/>
      <c r="C74" s="631"/>
      <c r="D74" s="631"/>
      <c r="E74" s="631"/>
      <c r="F74" s="632"/>
      <c r="G74" s="630" t="s">
        <v>56</v>
      </c>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2"/>
      <c r="AY74" s="544" t="s">
        <v>4</v>
      </c>
      <c r="AZ74" s="545"/>
      <c r="BA74" s="545"/>
      <c r="BB74" s="545"/>
      <c r="BC74" s="545"/>
      <c r="BD74" s="545"/>
      <c r="BE74" s="545"/>
      <c r="BF74" s="545"/>
      <c r="BG74" s="545"/>
      <c r="BH74" s="545"/>
      <c r="BI74" s="545"/>
      <c r="BJ74" s="545"/>
      <c r="BK74" s="545"/>
      <c r="BL74" s="545"/>
      <c r="BM74" s="545"/>
      <c r="BN74" s="545"/>
      <c r="BO74" s="545"/>
      <c r="BP74" s="546"/>
      <c r="BQ74" s="544" t="s">
        <v>4</v>
      </c>
      <c r="BR74" s="545"/>
      <c r="BS74" s="545"/>
      <c r="BT74" s="545"/>
      <c r="BU74" s="545"/>
      <c r="BV74" s="545"/>
      <c r="BW74" s="545"/>
      <c r="BX74" s="545"/>
      <c r="BY74" s="545"/>
      <c r="BZ74" s="545"/>
      <c r="CA74" s="545"/>
      <c r="CB74" s="545"/>
      <c r="CC74" s="545"/>
      <c r="CD74" s="545"/>
      <c r="CE74" s="545"/>
      <c r="CF74" s="545"/>
      <c r="CG74" s="545"/>
      <c r="CH74" s="546"/>
      <c r="CI74" s="611">
        <f>CI67+CI73</f>
        <v>2078030</v>
      </c>
      <c r="CJ74" s="611"/>
      <c r="CK74" s="611"/>
      <c r="CL74" s="611"/>
      <c r="CM74" s="611"/>
      <c r="CN74" s="611"/>
      <c r="CO74" s="611"/>
      <c r="CP74" s="611"/>
      <c r="CQ74" s="611"/>
      <c r="CR74" s="611"/>
      <c r="CS74" s="611"/>
      <c r="CT74" s="611"/>
      <c r="CU74" s="611"/>
      <c r="CV74" s="611"/>
      <c r="CW74" s="611"/>
      <c r="CX74" s="611"/>
      <c r="CY74" s="611"/>
      <c r="CZ74" s="611"/>
      <c r="DA74" s="217"/>
      <c r="DB74" s="228"/>
    </row>
    <row r="75" spans="1:106" s="16" customFormat="1" ht="15" hidden="1" customHeight="1" x14ac:dyDescent="0.3">
      <c r="A75" s="731" t="s">
        <v>305</v>
      </c>
      <c r="B75" s="731"/>
      <c r="C75" s="731"/>
      <c r="D75" s="731"/>
      <c r="E75" s="731"/>
      <c r="F75" s="731"/>
      <c r="G75" s="731"/>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217"/>
      <c r="DB75" s="228"/>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95" t="s">
        <v>536</v>
      </c>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5"/>
      <c r="BT76" s="595"/>
      <c r="BU76" s="595"/>
      <c r="BV76" s="595"/>
      <c r="BW76" s="595"/>
      <c r="BX76" s="595"/>
      <c r="BY76" s="595"/>
      <c r="BZ76" s="595"/>
      <c r="CA76" s="595"/>
      <c r="CB76" s="595"/>
      <c r="CC76" s="595"/>
      <c r="CD76" s="595"/>
      <c r="CE76" s="595"/>
      <c r="CF76" s="595"/>
      <c r="CG76" s="595"/>
      <c r="CH76" s="595"/>
      <c r="CI76" s="595"/>
      <c r="CJ76" s="595"/>
      <c r="CK76" s="595"/>
      <c r="CL76" s="595"/>
      <c r="CM76" s="595"/>
      <c r="CN76" s="595"/>
      <c r="CO76" s="595"/>
      <c r="CP76" s="595"/>
      <c r="CQ76" s="595"/>
      <c r="CR76" s="595"/>
      <c r="CS76" s="595"/>
      <c r="CT76" s="595"/>
      <c r="CU76" s="595"/>
      <c r="CV76" s="595"/>
      <c r="CW76" s="595"/>
      <c r="CX76" s="595"/>
      <c r="CY76" s="595"/>
      <c r="CZ76" s="595"/>
      <c r="DA76" s="217"/>
      <c r="DB76" s="228"/>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7"/>
      <c r="DB77" s="228"/>
    </row>
    <row r="78" spans="1:106" s="16" customFormat="1" ht="44.25" hidden="1" customHeight="1" x14ac:dyDescent="0.3">
      <c r="A78" s="597" t="s">
        <v>49</v>
      </c>
      <c r="B78" s="598"/>
      <c r="C78" s="598"/>
      <c r="D78" s="598"/>
      <c r="E78" s="598"/>
      <c r="F78" s="599"/>
      <c r="G78" s="475" t="s">
        <v>57</v>
      </c>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s="597" t="s">
        <v>59</v>
      </c>
      <c r="AZ78" s="598"/>
      <c r="BA78" s="598"/>
      <c r="BB78" s="598"/>
      <c r="BC78" s="598"/>
      <c r="BD78" s="598"/>
      <c r="BE78" s="598"/>
      <c r="BF78" s="598"/>
      <c r="BG78" s="598"/>
      <c r="BH78" s="598"/>
      <c r="BI78" s="598"/>
      <c r="BJ78" s="598"/>
      <c r="BK78" s="598"/>
      <c r="BL78" s="598"/>
      <c r="BM78" s="598"/>
      <c r="BN78" s="598"/>
      <c r="BO78" s="598"/>
      <c r="BP78" s="599"/>
      <c r="BQ78" s="597" t="s">
        <v>306</v>
      </c>
      <c r="BR78" s="598"/>
      <c r="BS78" s="598"/>
      <c r="BT78" s="598"/>
      <c r="BU78" s="598"/>
      <c r="BV78" s="598"/>
      <c r="BW78" s="598"/>
      <c r="BX78" s="598"/>
      <c r="BY78" s="598"/>
      <c r="BZ78" s="598"/>
      <c r="CA78" s="598"/>
      <c r="CB78" s="598"/>
      <c r="CC78" s="598"/>
      <c r="CD78" s="598"/>
      <c r="CE78" s="598"/>
      <c r="CF78" s="598"/>
      <c r="CG78" s="598"/>
      <c r="CH78" s="599"/>
      <c r="CI78" s="597" t="s">
        <v>61</v>
      </c>
      <c r="CJ78" s="598"/>
      <c r="CK78" s="598"/>
      <c r="CL78" s="598"/>
      <c r="CM78" s="598"/>
      <c r="CN78" s="598"/>
      <c r="CO78" s="598"/>
      <c r="CP78" s="598"/>
      <c r="CQ78" s="598"/>
      <c r="CR78" s="598"/>
      <c r="CS78" s="598"/>
      <c r="CT78" s="598"/>
      <c r="CU78" s="598"/>
      <c r="CV78" s="598"/>
      <c r="CW78" s="598"/>
      <c r="CX78" s="598"/>
      <c r="CY78" s="598"/>
      <c r="CZ78" s="598"/>
      <c r="DA78" s="217"/>
      <c r="DB78" s="228"/>
    </row>
    <row r="79" spans="1:106" s="16" customFormat="1" ht="15" hidden="1" customHeight="1" x14ac:dyDescent="0.3">
      <c r="A79" s="591">
        <v>1</v>
      </c>
      <c r="B79" s="591"/>
      <c r="C79" s="591"/>
      <c r="D79" s="591"/>
      <c r="E79" s="591"/>
      <c r="F79" s="591"/>
      <c r="G79" s="591">
        <v>2</v>
      </c>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v>3</v>
      </c>
      <c r="AE79" s="591"/>
      <c r="AF79" s="591"/>
      <c r="AG79" s="591"/>
      <c r="AH79" s="591"/>
      <c r="AI79" s="591"/>
      <c r="AJ79" s="591"/>
      <c r="AK79" s="591"/>
      <c r="AL79" s="591"/>
      <c r="AM79" s="591"/>
      <c r="AN79" s="591"/>
      <c r="AO79" s="591"/>
      <c r="AP79" s="591"/>
      <c r="AQ79" s="591"/>
      <c r="AR79" s="591"/>
      <c r="AS79" s="591"/>
      <c r="AT79" s="591"/>
      <c r="AU79" s="591"/>
      <c r="AV79" s="591"/>
      <c r="AW79" s="591"/>
      <c r="AX79" s="591"/>
      <c r="AY79" s="591">
        <v>4</v>
      </c>
      <c r="AZ79" s="591"/>
      <c r="BA79" s="591"/>
      <c r="BB79" s="591"/>
      <c r="BC79" s="591"/>
      <c r="BD79" s="591"/>
      <c r="BE79" s="591"/>
      <c r="BF79" s="591"/>
      <c r="BG79" s="591"/>
      <c r="BH79" s="591"/>
      <c r="BI79" s="591"/>
      <c r="BJ79" s="591"/>
      <c r="BK79" s="591"/>
      <c r="BL79" s="591"/>
      <c r="BM79" s="591"/>
      <c r="BN79" s="591"/>
      <c r="BO79" s="591"/>
      <c r="BP79" s="591"/>
      <c r="BQ79" s="591">
        <v>5</v>
      </c>
      <c r="BR79" s="591"/>
      <c r="BS79" s="591"/>
      <c r="BT79" s="591"/>
      <c r="BU79" s="591"/>
      <c r="BV79" s="591"/>
      <c r="BW79" s="591"/>
      <c r="BX79" s="591"/>
      <c r="BY79" s="591"/>
      <c r="BZ79" s="591"/>
      <c r="CA79" s="591"/>
      <c r="CB79" s="591"/>
      <c r="CC79" s="591"/>
      <c r="CD79" s="591"/>
      <c r="CE79" s="591"/>
      <c r="CF79" s="591"/>
      <c r="CG79" s="591"/>
      <c r="CH79" s="591"/>
      <c r="CI79" s="591">
        <v>6</v>
      </c>
      <c r="CJ79" s="591"/>
      <c r="CK79" s="591"/>
      <c r="CL79" s="591"/>
      <c r="CM79" s="591"/>
      <c r="CN79" s="591"/>
      <c r="CO79" s="591"/>
      <c r="CP79" s="591"/>
      <c r="CQ79" s="591"/>
      <c r="CR79" s="591"/>
      <c r="CS79" s="591"/>
      <c r="CT79" s="591"/>
      <c r="CU79" s="591"/>
      <c r="CV79" s="591"/>
      <c r="CW79" s="591"/>
      <c r="CX79" s="591"/>
      <c r="CY79" s="591"/>
      <c r="CZ79" s="661"/>
      <c r="DA79" s="217"/>
      <c r="DB79" s="228"/>
    </row>
    <row r="80" spans="1:106" s="16" customFormat="1" ht="15" hidden="1" customHeight="1" x14ac:dyDescent="0.3">
      <c r="A80" s="656" t="s">
        <v>547</v>
      </c>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57"/>
      <c r="BQ80" s="657"/>
      <c r="BR80" s="657"/>
      <c r="BS80" s="657"/>
      <c r="BT80" s="657"/>
      <c r="BU80" s="657"/>
      <c r="BV80" s="657"/>
      <c r="BW80" s="657"/>
      <c r="BX80" s="657"/>
      <c r="BY80" s="657"/>
      <c r="BZ80" s="657"/>
      <c r="CA80" s="657"/>
      <c r="CB80" s="657"/>
      <c r="CC80" s="657"/>
      <c r="CD80" s="657"/>
      <c r="CE80" s="657"/>
      <c r="CF80" s="657"/>
      <c r="CG80" s="657"/>
      <c r="CH80" s="657"/>
      <c r="CI80" s="657"/>
      <c r="CJ80" s="657"/>
      <c r="CK80" s="657"/>
      <c r="CL80" s="657"/>
      <c r="CM80" s="657"/>
      <c r="CN80" s="657"/>
      <c r="CO80" s="657"/>
      <c r="CP80" s="657"/>
      <c r="CQ80" s="657"/>
      <c r="CR80" s="657"/>
      <c r="CS80" s="657"/>
      <c r="CT80" s="657"/>
      <c r="CU80" s="657"/>
      <c r="CV80" s="657"/>
      <c r="CW80" s="657"/>
      <c r="CX80" s="657"/>
      <c r="CY80" s="657"/>
      <c r="CZ80" s="657"/>
      <c r="DA80" s="217"/>
      <c r="DB80" s="228"/>
    </row>
    <row r="81" spans="1:106" s="16" customFormat="1" ht="38.25" hidden="1" customHeight="1" x14ac:dyDescent="0.3">
      <c r="A81" s="630" t="s">
        <v>441</v>
      </c>
      <c r="B81" s="631"/>
      <c r="C81" s="631"/>
      <c r="D81" s="631"/>
      <c r="E81" s="631"/>
      <c r="F81" s="632"/>
      <c r="G81" s="584" t="s">
        <v>548</v>
      </c>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6"/>
      <c r="AY81" s="544"/>
      <c r="AZ81" s="545"/>
      <c r="BA81" s="545"/>
      <c r="BB81" s="545"/>
      <c r="BC81" s="545"/>
      <c r="BD81" s="545"/>
      <c r="BE81" s="545"/>
      <c r="BF81" s="545"/>
      <c r="BG81" s="545"/>
      <c r="BH81" s="545"/>
      <c r="BI81" s="545"/>
      <c r="BJ81" s="545"/>
      <c r="BK81" s="545"/>
      <c r="BL81" s="545"/>
      <c r="BM81" s="545"/>
      <c r="BN81" s="545"/>
      <c r="BO81" s="545"/>
      <c r="BP81" s="546"/>
      <c r="BQ81" s="627"/>
      <c r="BR81" s="628"/>
      <c r="BS81" s="628"/>
      <c r="BT81" s="628"/>
      <c r="BU81" s="628"/>
      <c r="BV81" s="628"/>
      <c r="BW81" s="628"/>
      <c r="BX81" s="628"/>
      <c r="BY81" s="628"/>
      <c r="BZ81" s="628"/>
      <c r="CA81" s="628"/>
      <c r="CB81" s="628"/>
      <c r="CC81" s="628"/>
      <c r="CD81" s="628"/>
      <c r="CE81" s="628"/>
      <c r="CF81" s="628"/>
      <c r="CG81" s="628"/>
      <c r="CH81" s="629"/>
      <c r="CI81" s="627"/>
      <c r="CJ81" s="628"/>
      <c r="CK81" s="628"/>
      <c r="CL81" s="628"/>
      <c r="CM81" s="628"/>
      <c r="CN81" s="628"/>
      <c r="CO81" s="628"/>
      <c r="CP81" s="628"/>
      <c r="CQ81" s="628"/>
      <c r="CR81" s="628"/>
      <c r="CS81" s="628"/>
      <c r="CT81" s="628"/>
      <c r="CU81" s="628"/>
      <c r="CV81" s="628"/>
      <c r="CW81" s="628"/>
      <c r="CX81" s="628"/>
      <c r="CY81" s="628"/>
      <c r="CZ81" s="628"/>
      <c r="DA81" s="217"/>
      <c r="DB81" s="228"/>
    </row>
    <row r="82" spans="1:106" s="16" customFormat="1" ht="43.5" hidden="1" customHeight="1" x14ac:dyDescent="0.3">
      <c r="A82" s="630" t="s">
        <v>444</v>
      </c>
      <c r="B82" s="631"/>
      <c r="C82" s="631"/>
      <c r="D82" s="631"/>
      <c r="E82" s="631"/>
      <c r="F82" s="632"/>
      <c r="G82" s="584" t="s">
        <v>549</v>
      </c>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6"/>
      <c r="AY82" s="544"/>
      <c r="AZ82" s="545"/>
      <c r="BA82" s="545"/>
      <c r="BB82" s="545"/>
      <c r="BC82" s="545"/>
      <c r="BD82" s="545"/>
      <c r="BE82" s="545"/>
      <c r="BF82" s="545"/>
      <c r="BG82" s="545"/>
      <c r="BH82" s="545"/>
      <c r="BI82" s="545"/>
      <c r="BJ82" s="545"/>
      <c r="BK82" s="545"/>
      <c r="BL82" s="545"/>
      <c r="BM82" s="545"/>
      <c r="BN82" s="545"/>
      <c r="BO82" s="545"/>
      <c r="BP82" s="546"/>
      <c r="BQ82" s="627"/>
      <c r="BR82" s="628"/>
      <c r="BS82" s="628"/>
      <c r="BT82" s="628"/>
      <c r="BU82" s="628"/>
      <c r="BV82" s="628"/>
      <c r="BW82" s="628"/>
      <c r="BX82" s="628"/>
      <c r="BY82" s="628"/>
      <c r="BZ82" s="628"/>
      <c r="CA82" s="628"/>
      <c r="CB82" s="628"/>
      <c r="CC82" s="628"/>
      <c r="CD82" s="628"/>
      <c r="CE82" s="628"/>
      <c r="CF82" s="628"/>
      <c r="CG82" s="628"/>
      <c r="CH82" s="629"/>
      <c r="CI82" s="627"/>
      <c r="CJ82" s="628"/>
      <c r="CK82" s="628"/>
      <c r="CL82" s="628"/>
      <c r="CM82" s="628"/>
      <c r="CN82" s="628"/>
      <c r="CO82" s="628"/>
      <c r="CP82" s="628"/>
      <c r="CQ82" s="628"/>
      <c r="CR82" s="628"/>
      <c r="CS82" s="628"/>
      <c r="CT82" s="628"/>
      <c r="CU82" s="628"/>
      <c r="CV82" s="628"/>
      <c r="CW82" s="628"/>
      <c r="CX82" s="628"/>
      <c r="CY82" s="628"/>
      <c r="CZ82" s="628"/>
      <c r="DA82" s="217"/>
      <c r="DB82" s="228"/>
    </row>
    <row r="83" spans="1:106" s="16" customFormat="1" ht="39.75" hidden="1" customHeight="1" x14ac:dyDescent="0.3">
      <c r="A83" s="630" t="s">
        <v>446</v>
      </c>
      <c r="B83" s="631"/>
      <c r="C83" s="631"/>
      <c r="D83" s="631"/>
      <c r="E83" s="631"/>
      <c r="F83" s="632"/>
      <c r="G83" s="584" t="s">
        <v>552</v>
      </c>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6"/>
      <c r="AY83" s="544"/>
      <c r="AZ83" s="545"/>
      <c r="BA83" s="545"/>
      <c r="BB83" s="545"/>
      <c r="BC83" s="545"/>
      <c r="BD83" s="545"/>
      <c r="BE83" s="545"/>
      <c r="BF83" s="545"/>
      <c r="BG83" s="545"/>
      <c r="BH83" s="545"/>
      <c r="BI83" s="545"/>
      <c r="BJ83" s="545"/>
      <c r="BK83" s="545"/>
      <c r="BL83" s="545"/>
      <c r="BM83" s="545"/>
      <c r="BN83" s="545"/>
      <c r="BO83" s="545"/>
      <c r="BP83" s="546"/>
      <c r="BQ83" s="627"/>
      <c r="BR83" s="628"/>
      <c r="BS83" s="628"/>
      <c r="BT83" s="628"/>
      <c r="BU83" s="628"/>
      <c r="BV83" s="628"/>
      <c r="BW83" s="628"/>
      <c r="BX83" s="628"/>
      <c r="BY83" s="628"/>
      <c r="BZ83" s="628"/>
      <c r="CA83" s="628"/>
      <c r="CB83" s="628"/>
      <c r="CC83" s="628"/>
      <c r="CD83" s="628"/>
      <c r="CE83" s="628"/>
      <c r="CF83" s="628"/>
      <c r="CG83" s="628"/>
      <c r="CH83" s="629"/>
      <c r="CI83" s="627"/>
      <c r="CJ83" s="628"/>
      <c r="CK83" s="628"/>
      <c r="CL83" s="628"/>
      <c r="CM83" s="628"/>
      <c r="CN83" s="628"/>
      <c r="CO83" s="628"/>
      <c r="CP83" s="628"/>
      <c r="CQ83" s="628"/>
      <c r="CR83" s="628"/>
      <c r="CS83" s="628"/>
      <c r="CT83" s="628"/>
      <c r="CU83" s="628"/>
      <c r="CV83" s="628"/>
      <c r="CW83" s="628"/>
      <c r="CX83" s="628"/>
      <c r="CY83" s="628"/>
      <c r="CZ83" s="628"/>
      <c r="DA83" s="217"/>
      <c r="DB83" s="228"/>
    </row>
    <row r="84" spans="1:106" s="16" customFormat="1" ht="15" hidden="1" customHeight="1" x14ac:dyDescent="0.3">
      <c r="A84" s="633" t="s">
        <v>292</v>
      </c>
      <c r="B84" s="634"/>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5"/>
      <c r="AY84" s="544" t="s">
        <v>4</v>
      </c>
      <c r="AZ84" s="545"/>
      <c r="BA84" s="545"/>
      <c r="BB84" s="545"/>
      <c r="BC84" s="545"/>
      <c r="BD84" s="545"/>
      <c r="BE84" s="545"/>
      <c r="BF84" s="545"/>
      <c r="BG84" s="545"/>
      <c r="BH84" s="545"/>
      <c r="BI84" s="545"/>
      <c r="BJ84" s="545"/>
      <c r="BK84" s="545"/>
      <c r="BL84" s="545"/>
      <c r="BM84" s="545"/>
      <c r="BN84" s="545"/>
      <c r="BO84" s="545"/>
      <c r="BP84" s="546"/>
      <c r="BQ84" s="544" t="s">
        <v>4</v>
      </c>
      <c r="BR84" s="545"/>
      <c r="BS84" s="545"/>
      <c r="BT84" s="545"/>
      <c r="BU84" s="545"/>
      <c r="BV84" s="545"/>
      <c r="BW84" s="545"/>
      <c r="BX84" s="545"/>
      <c r="BY84" s="545"/>
      <c r="BZ84" s="545"/>
      <c r="CA84" s="545"/>
      <c r="CB84" s="545"/>
      <c r="CC84" s="545"/>
      <c r="CD84" s="545"/>
      <c r="CE84" s="545"/>
      <c r="CF84" s="545"/>
      <c r="CG84" s="545"/>
      <c r="CH84" s="546"/>
      <c r="CI84" s="636">
        <f>CI81+CI82+CI83</f>
        <v>0</v>
      </c>
      <c r="CJ84" s="654"/>
      <c r="CK84" s="654"/>
      <c r="CL84" s="654"/>
      <c r="CM84" s="654"/>
      <c r="CN84" s="654"/>
      <c r="CO84" s="654"/>
      <c r="CP84" s="654"/>
      <c r="CQ84" s="654"/>
      <c r="CR84" s="654"/>
      <c r="CS84" s="654"/>
      <c r="CT84" s="654"/>
      <c r="CU84" s="654"/>
      <c r="CV84" s="654"/>
      <c r="CW84" s="654"/>
      <c r="CX84" s="654"/>
      <c r="CY84" s="654"/>
      <c r="CZ84" s="654"/>
      <c r="DA84" s="217"/>
      <c r="DB84" s="228"/>
    </row>
    <row r="85" spans="1:106" s="16" customFormat="1" ht="21" hidden="1" customHeight="1" x14ac:dyDescent="0.3">
      <c r="A85" s="630"/>
      <c r="B85" s="631"/>
      <c r="C85" s="631"/>
      <c r="D85" s="631"/>
      <c r="E85" s="631"/>
      <c r="F85" s="632"/>
      <c r="G85" s="630" t="s">
        <v>56</v>
      </c>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2"/>
      <c r="AY85" s="544" t="s">
        <v>4</v>
      </c>
      <c r="AZ85" s="545"/>
      <c r="BA85" s="545"/>
      <c r="BB85" s="545"/>
      <c r="BC85" s="545"/>
      <c r="BD85" s="545"/>
      <c r="BE85" s="545"/>
      <c r="BF85" s="545"/>
      <c r="BG85" s="545"/>
      <c r="BH85" s="545"/>
      <c r="BI85" s="545"/>
      <c r="BJ85" s="545"/>
      <c r="BK85" s="545"/>
      <c r="BL85" s="545"/>
      <c r="BM85" s="545"/>
      <c r="BN85" s="545"/>
      <c r="BO85" s="545"/>
      <c r="BP85" s="546"/>
      <c r="BQ85" s="544" t="s">
        <v>4</v>
      </c>
      <c r="BR85" s="545"/>
      <c r="BS85" s="545"/>
      <c r="BT85" s="545"/>
      <c r="BU85" s="545"/>
      <c r="BV85" s="545"/>
      <c r="BW85" s="545"/>
      <c r="BX85" s="545"/>
      <c r="BY85" s="545"/>
      <c r="BZ85" s="545"/>
      <c r="CA85" s="545"/>
      <c r="CB85" s="545"/>
      <c r="CC85" s="545"/>
      <c r="CD85" s="545"/>
      <c r="CE85" s="545"/>
      <c r="CF85" s="545"/>
      <c r="CG85" s="545"/>
      <c r="CH85" s="546"/>
      <c r="CI85" s="636">
        <f>CI84</f>
        <v>0</v>
      </c>
      <c r="CJ85" s="654"/>
      <c r="CK85" s="654"/>
      <c r="CL85" s="654"/>
      <c r="CM85" s="654"/>
      <c r="CN85" s="654"/>
      <c r="CO85" s="654"/>
      <c r="CP85" s="654"/>
      <c r="CQ85" s="654"/>
      <c r="CR85" s="654"/>
      <c r="CS85" s="654"/>
      <c r="CT85" s="654"/>
      <c r="CU85" s="654"/>
      <c r="CV85" s="654"/>
      <c r="CW85" s="654"/>
      <c r="CX85" s="654"/>
      <c r="CY85" s="654"/>
      <c r="CZ85" s="654"/>
      <c r="DA85" s="217">
        <f>CI85</f>
        <v>0</v>
      </c>
      <c r="DB85" s="228"/>
    </row>
    <row r="86" spans="1:106" s="16" customFormat="1" ht="11.25"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9"/>
      <c r="CJ86" s="229"/>
      <c r="CK86" s="229"/>
      <c r="CL86" s="229"/>
      <c r="CM86" s="229"/>
      <c r="CN86" s="229"/>
      <c r="CO86" s="229"/>
      <c r="CP86" s="229"/>
      <c r="CQ86" s="229"/>
      <c r="CR86" s="229"/>
      <c r="CS86" s="229"/>
      <c r="CT86" s="229"/>
      <c r="CU86" s="229"/>
      <c r="CV86" s="229"/>
      <c r="CW86" s="229"/>
      <c r="CX86" s="229"/>
      <c r="CY86" s="229"/>
      <c r="CZ86" s="229"/>
      <c r="DA86" s="230"/>
      <c r="DB86" s="230"/>
    </row>
    <row r="87" spans="1:106" s="16" customFormat="1" ht="9" hidden="1"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9"/>
      <c r="CJ87" s="229"/>
      <c r="CK87" s="229"/>
      <c r="CL87" s="229"/>
      <c r="CM87" s="229"/>
      <c r="CN87" s="229"/>
      <c r="CO87" s="229"/>
      <c r="CP87" s="229"/>
      <c r="CQ87" s="229"/>
      <c r="CR87" s="229"/>
      <c r="CS87" s="229"/>
      <c r="CT87" s="229"/>
      <c r="CU87" s="229"/>
      <c r="CV87" s="229"/>
      <c r="CW87" s="229"/>
      <c r="CX87" s="229"/>
      <c r="CY87" s="229"/>
      <c r="CZ87" s="229"/>
      <c r="DA87" s="230"/>
      <c r="DB87" s="230"/>
    </row>
    <row r="88" spans="1:106" s="16" customFormat="1" ht="26.25" customHeight="1" x14ac:dyDescent="0.25">
      <c r="A88" s="731" t="s">
        <v>305</v>
      </c>
      <c r="B88" s="731"/>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230"/>
      <c r="DB88" s="230"/>
    </row>
    <row r="89" spans="1:106" s="16" customFormat="1" ht="19.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95" t="s">
        <v>553</v>
      </c>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5"/>
      <c r="BT89" s="595"/>
      <c r="BU89" s="595"/>
      <c r="BV89" s="595"/>
      <c r="BW89" s="595"/>
      <c r="BX89" s="595"/>
      <c r="BY89" s="595"/>
      <c r="BZ89" s="595"/>
      <c r="CA89" s="595"/>
      <c r="CB89" s="595"/>
      <c r="CC89" s="595"/>
      <c r="CD89" s="595"/>
      <c r="CE89" s="595"/>
      <c r="CF89" s="595"/>
      <c r="CG89" s="595"/>
      <c r="CH89" s="595"/>
      <c r="CI89" s="595"/>
      <c r="CJ89" s="595"/>
      <c r="CK89" s="595"/>
      <c r="CL89" s="595"/>
      <c r="CM89" s="595"/>
      <c r="CN89" s="595"/>
      <c r="CO89" s="595"/>
      <c r="CP89" s="595"/>
      <c r="CQ89" s="595"/>
      <c r="CR89" s="595"/>
      <c r="CS89" s="595"/>
      <c r="CT89" s="595"/>
      <c r="CU89" s="595"/>
      <c r="CV89" s="595"/>
      <c r="CW89" s="595"/>
      <c r="CX89" s="595"/>
      <c r="CY89" s="595"/>
      <c r="CZ89" s="595"/>
      <c r="DA89" s="230">
        <v>226.26599999999999</v>
      </c>
      <c r="DB89" s="230"/>
    </row>
    <row r="90" spans="1:106" s="16" customFormat="1" ht="18"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31"/>
      <c r="DB90" s="230"/>
    </row>
    <row r="91" spans="1:106" s="16" customFormat="1" ht="39.75" customHeight="1" x14ac:dyDescent="0.25">
      <c r="A91" s="597" t="s">
        <v>49</v>
      </c>
      <c r="B91" s="598"/>
      <c r="C91" s="598"/>
      <c r="D91" s="598"/>
      <c r="E91" s="598"/>
      <c r="F91" s="599"/>
      <c r="G91" s="475" t="s">
        <v>57</v>
      </c>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7"/>
      <c r="AY91" s="597" t="s">
        <v>59</v>
      </c>
      <c r="AZ91" s="598"/>
      <c r="BA91" s="598"/>
      <c r="BB91" s="598"/>
      <c r="BC91" s="598"/>
      <c r="BD91" s="598"/>
      <c r="BE91" s="598"/>
      <c r="BF91" s="598"/>
      <c r="BG91" s="598"/>
      <c r="BH91" s="598"/>
      <c r="BI91" s="598"/>
      <c r="BJ91" s="598"/>
      <c r="BK91" s="598"/>
      <c r="BL91" s="598"/>
      <c r="BM91" s="598"/>
      <c r="BN91" s="598"/>
      <c r="BO91" s="598"/>
      <c r="BP91" s="599"/>
      <c r="BQ91" s="597" t="s">
        <v>306</v>
      </c>
      <c r="BR91" s="598"/>
      <c r="BS91" s="598"/>
      <c r="BT91" s="598"/>
      <c r="BU91" s="598"/>
      <c r="BV91" s="598"/>
      <c r="BW91" s="598"/>
      <c r="BX91" s="598"/>
      <c r="BY91" s="598"/>
      <c r="BZ91" s="598"/>
      <c r="CA91" s="598"/>
      <c r="CB91" s="598"/>
      <c r="CC91" s="598"/>
      <c r="CD91" s="598"/>
      <c r="CE91" s="598"/>
      <c r="CF91" s="598"/>
      <c r="CG91" s="598"/>
      <c r="CH91" s="599"/>
      <c r="CI91" s="597" t="s">
        <v>61</v>
      </c>
      <c r="CJ91" s="598"/>
      <c r="CK91" s="598"/>
      <c r="CL91" s="598"/>
      <c r="CM91" s="598"/>
      <c r="CN91" s="598"/>
      <c r="CO91" s="598"/>
      <c r="CP91" s="598"/>
      <c r="CQ91" s="598"/>
      <c r="CR91" s="598"/>
      <c r="CS91" s="598"/>
      <c r="CT91" s="598"/>
      <c r="CU91" s="598"/>
      <c r="CV91" s="598"/>
      <c r="CW91" s="598"/>
      <c r="CX91" s="598"/>
      <c r="CY91" s="598"/>
      <c r="CZ91" s="598"/>
      <c r="DA91" s="230"/>
      <c r="DB91" s="230"/>
    </row>
    <row r="92" spans="1:106" s="16" customFormat="1" ht="32.25" hidden="1" customHeight="1" x14ac:dyDescent="0.3">
      <c r="A92" s="591">
        <v>1</v>
      </c>
      <c r="B92" s="591"/>
      <c r="C92" s="591"/>
      <c r="D92" s="591"/>
      <c r="E92" s="591"/>
      <c r="F92" s="591"/>
      <c r="G92" s="591">
        <v>2</v>
      </c>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v>3</v>
      </c>
      <c r="AE92" s="591"/>
      <c r="AF92" s="591"/>
      <c r="AG92" s="591"/>
      <c r="AH92" s="591"/>
      <c r="AI92" s="591"/>
      <c r="AJ92" s="591"/>
      <c r="AK92" s="591"/>
      <c r="AL92" s="591"/>
      <c r="AM92" s="591"/>
      <c r="AN92" s="591"/>
      <c r="AO92" s="591"/>
      <c r="AP92" s="591"/>
      <c r="AQ92" s="591"/>
      <c r="AR92" s="591"/>
      <c r="AS92" s="591"/>
      <c r="AT92" s="591"/>
      <c r="AU92" s="591"/>
      <c r="AV92" s="591"/>
      <c r="AW92" s="591"/>
      <c r="AX92" s="591"/>
      <c r="AY92" s="591">
        <v>4</v>
      </c>
      <c r="AZ92" s="591"/>
      <c r="BA92" s="591"/>
      <c r="BB92" s="591"/>
      <c r="BC92" s="591"/>
      <c r="BD92" s="591"/>
      <c r="BE92" s="591"/>
      <c r="BF92" s="591"/>
      <c r="BG92" s="591"/>
      <c r="BH92" s="591"/>
      <c r="BI92" s="591"/>
      <c r="BJ92" s="591"/>
      <c r="BK92" s="591"/>
      <c r="BL92" s="591"/>
      <c r="BM92" s="591"/>
      <c r="BN92" s="591"/>
      <c r="BO92" s="591"/>
      <c r="BP92" s="591"/>
      <c r="BQ92" s="591">
        <v>5</v>
      </c>
      <c r="BR92" s="591"/>
      <c r="BS92" s="591"/>
      <c r="BT92" s="591"/>
      <c r="BU92" s="591"/>
      <c r="BV92" s="591"/>
      <c r="BW92" s="591"/>
      <c r="BX92" s="591"/>
      <c r="BY92" s="591"/>
      <c r="BZ92" s="591"/>
      <c r="CA92" s="591"/>
      <c r="CB92" s="591"/>
      <c r="CC92" s="591"/>
      <c r="CD92" s="591"/>
      <c r="CE92" s="591"/>
      <c r="CF92" s="591"/>
      <c r="CG92" s="591"/>
      <c r="CH92" s="591"/>
      <c r="CI92" s="591">
        <v>6</v>
      </c>
      <c r="CJ92" s="591"/>
      <c r="CK92" s="591"/>
      <c r="CL92" s="591"/>
      <c r="CM92" s="591"/>
      <c r="CN92" s="591"/>
      <c r="CO92" s="591"/>
      <c r="CP92" s="591"/>
      <c r="CQ92" s="591"/>
      <c r="CR92" s="591"/>
      <c r="CS92" s="591"/>
      <c r="CT92" s="591"/>
      <c r="CU92" s="591"/>
      <c r="CV92" s="591"/>
      <c r="CW92" s="591"/>
      <c r="CX92" s="591"/>
      <c r="CY92" s="591"/>
      <c r="CZ92" s="591"/>
      <c r="DA92" s="214"/>
    </row>
    <row r="93" spans="1:106" s="16" customFormat="1" ht="18" customHeight="1" x14ac:dyDescent="0.3">
      <c r="A93" s="656" t="s">
        <v>537</v>
      </c>
      <c r="B93" s="657"/>
      <c r="C93" s="657"/>
      <c r="D93" s="657"/>
      <c r="E93" s="657"/>
      <c r="F93" s="657"/>
      <c r="G93" s="657"/>
      <c r="H93" s="657"/>
      <c r="I93" s="657"/>
      <c r="J93" s="657"/>
      <c r="K93" s="657"/>
      <c r="L93" s="657"/>
      <c r="M93" s="657"/>
      <c r="N93" s="657"/>
      <c r="O93" s="657"/>
      <c r="P93" s="657"/>
      <c r="Q93" s="657"/>
      <c r="R93" s="657"/>
      <c r="S93" s="657"/>
      <c r="T93" s="657"/>
      <c r="U93" s="657"/>
      <c r="V93" s="657"/>
      <c r="W93" s="657"/>
      <c r="X93" s="657"/>
      <c r="Y93" s="657"/>
      <c r="Z93" s="657"/>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57"/>
      <c r="BQ93" s="657"/>
      <c r="BR93" s="657"/>
      <c r="BS93" s="657"/>
      <c r="BT93" s="657"/>
      <c r="BU93" s="657"/>
      <c r="BV93" s="657"/>
      <c r="BW93" s="657"/>
      <c r="BX93" s="657"/>
      <c r="BY93" s="657"/>
      <c r="BZ93" s="657"/>
      <c r="CA93" s="657"/>
      <c r="CB93" s="657"/>
      <c r="CC93" s="657"/>
      <c r="CD93" s="657"/>
      <c r="CE93" s="657"/>
      <c r="CF93" s="657"/>
      <c r="CG93" s="657"/>
      <c r="CH93" s="657"/>
      <c r="CI93" s="657"/>
      <c r="CJ93" s="657"/>
      <c r="CK93" s="657"/>
      <c r="CL93" s="657"/>
      <c r="CM93" s="657"/>
      <c r="CN93" s="657"/>
      <c r="CO93" s="657"/>
      <c r="CP93" s="657"/>
      <c r="CQ93" s="657"/>
      <c r="CR93" s="657"/>
      <c r="CS93" s="657"/>
      <c r="CT93" s="657"/>
      <c r="CU93" s="657"/>
      <c r="CV93" s="657"/>
      <c r="CW93" s="657"/>
      <c r="CX93" s="657"/>
      <c r="CY93" s="657"/>
      <c r="CZ93" s="657"/>
      <c r="DA93" s="214"/>
    </row>
    <row r="94" spans="1:106" s="16" customFormat="1" ht="46.5" customHeight="1" x14ac:dyDescent="0.3">
      <c r="A94" s="728" t="s">
        <v>441</v>
      </c>
      <c r="B94" s="729"/>
      <c r="C94" s="729"/>
      <c r="D94" s="729"/>
      <c r="E94" s="729"/>
      <c r="F94" s="730"/>
      <c r="G94" s="587" t="s">
        <v>870</v>
      </c>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8"/>
      <c r="AL94" s="588"/>
      <c r="AM94" s="588"/>
      <c r="AN94" s="588"/>
      <c r="AO94" s="588"/>
      <c r="AP94" s="588"/>
      <c r="AQ94" s="588"/>
      <c r="AR94" s="588"/>
      <c r="AS94" s="588"/>
      <c r="AT94" s="588"/>
      <c r="AU94" s="588"/>
      <c r="AV94" s="588"/>
      <c r="AW94" s="588"/>
      <c r="AX94" s="589"/>
      <c r="AY94" s="619">
        <v>1</v>
      </c>
      <c r="AZ94" s="620"/>
      <c r="BA94" s="620"/>
      <c r="BB94" s="620"/>
      <c r="BC94" s="620"/>
      <c r="BD94" s="620"/>
      <c r="BE94" s="620"/>
      <c r="BF94" s="620"/>
      <c r="BG94" s="620"/>
      <c r="BH94" s="620"/>
      <c r="BI94" s="620"/>
      <c r="BJ94" s="620"/>
      <c r="BK94" s="620"/>
      <c r="BL94" s="620"/>
      <c r="BM94" s="620"/>
      <c r="BN94" s="620"/>
      <c r="BO94" s="620"/>
      <c r="BP94" s="621"/>
      <c r="BQ94" s="693">
        <v>8900</v>
      </c>
      <c r="BR94" s="694"/>
      <c r="BS94" s="694"/>
      <c r="BT94" s="694"/>
      <c r="BU94" s="694"/>
      <c r="BV94" s="694"/>
      <c r="BW94" s="694"/>
      <c r="BX94" s="694"/>
      <c r="BY94" s="694"/>
      <c r="BZ94" s="694"/>
      <c r="CA94" s="694"/>
      <c r="CB94" s="694"/>
      <c r="CC94" s="694"/>
      <c r="CD94" s="694"/>
      <c r="CE94" s="694"/>
      <c r="CF94" s="694"/>
      <c r="CG94" s="694"/>
      <c r="CH94" s="695"/>
      <c r="CI94" s="693">
        <f>BQ94*AY94</f>
        <v>8900</v>
      </c>
      <c r="CJ94" s="694"/>
      <c r="CK94" s="694"/>
      <c r="CL94" s="694"/>
      <c r="CM94" s="694"/>
      <c r="CN94" s="694"/>
      <c r="CO94" s="694"/>
      <c r="CP94" s="694"/>
      <c r="CQ94" s="694"/>
      <c r="CR94" s="694"/>
      <c r="CS94" s="694"/>
      <c r="CT94" s="694"/>
      <c r="CU94" s="694"/>
      <c r="CV94" s="694"/>
      <c r="CW94" s="694"/>
      <c r="CX94" s="694"/>
      <c r="CY94" s="694"/>
      <c r="CZ94" s="695"/>
      <c r="DA94" s="325"/>
    </row>
    <row r="95" spans="1:106" s="16" customFormat="1" ht="17.25" customHeight="1" x14ac:dyDescent="0.3">
      <c r="A95" s="725" t="s">
        <v>292</v>
      </c>
      <c r="B95" s="726"/>
      <c r="C95" s="726"/>
      <c r="D95" s="726"/>
      <c r="E95" s="726"/>
      <c r="F95" s="726"/>
      <c r="G95" s="726"/>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6"/>
      <c r="AQ95" s="726"/>
      <c r="AR95" s="726"/>
      <c r="AS95" s="726"/>
      <c r="AT95" s="726"/>
      <c r="AU95" s="726"/>
      <c r="AV95" s="726"/>
      <c r="AW95" s="726"/>
      <c r="AX95" s="727"/>
      <c r="AY95" s="619" t="s">
        <v>4</v>
      </c>
      <c r="AZ95" s="620"/>
      <c r="BA95" s="620"/>
      <c r="BB95" s="620"/>
      <c r="BC95" s="620"/>
      <c r="BD95" s="620"/>
      <c r="BE95" s="620"/>
      <c r="BF95" s="620"/>
      <c r="BG95" s="620"/>
      <c r="BH95" s="620"/>
      <c r="BI95" s="620"/>
      <c r="BJ95" s="620"/>
      <c r="BK95" s="620"/>
      <c r="BL95" s="620"/>
      <c r="BM95" s="620"/>
      <c r="BN95" s="620"/>
      <c r="BO95" s="620"/>
      <c r="BP95" s="621"/>
      <c r="BQ95" s="619" t="s">
        <v>4</v>
      </c>
      <c r="BR95" s="620"/>
      <c r="BS95" s="620"/>
      <c r="BT95" s="620"/>
      <c r="BU95" s="620"/>
      <c r="BV95" s="620"/>
      <c r="BW95" s="620"/>
      <c r="BX95" s="620"/>
      <c r="BY95" s="620"/>
      <c r="BZ95" s="620"/>
      <c r="CA95" s="620"/>
      <c r="CB95" s="620"/>
      <c r="CC95" s="620"/>
      <c r="CD95" s="620"/>
      <c r="CE95" s="620"/>
      <c r="CF95" s="620"/>
      <c r="CG95" s="620"/>
      <c r="CH95" s="621"/>
      <c r="CI95" s="682">
        <f>CI94</f>
        <v>8900</v>
      </c>
      <c r="CJ95" s="683"/>
      <c r="CK95" s="683"/>
      <c r="CL95" s="683"/>
      <c r="CM95" s="683"/>
      <c r="CN95" s="683"/>
      <c r="CO95" s="683"/>
      <c r="CP95" s="683"/>
      <c r="CQ95" s="683"/>
      <c r="CR95" s="683"/>
      <c r="CS95" s="683"/>
      <c r="CT95" s="683"/>
      <c r="CU95" s="683"/>
      <c r="CV95" s="683"/>
      <c r="CW95" s="683"/>
      <c r="CX95" s="683"/>
      <c r="CY95" s="683"/>
      <c r="CZ95" s="684"/>
      <c r="DA95" s="214"/>
    </row>
    <row r="96" spans="1:106" s="16" customFormat="1" ht="12.75" customHeight="1" x14ac:dyDescent="0.3">
      <c r="A96" s="728"/>
      <c r="B96" s="729"/>
      <c r="C96" s="729"/>
      <c r="D96" s="729"/>
      <c r="E96" s="729"/>
      <c r="F96" s="730"/>
      <c r="G96" s="728" t="s">
        <v>56</v>
      </c>
      <c r="H96" s="729"/>
      <c r="I96" s="729"/>
      <c r="J96" s="729"/>
      <c r="K96" s="729"/>
      <c r="L96" s="729"/>
      <c r="M96" s="729"/>
      <c r="N96" s="729"/>
      <c r="O96" s="729"/>
      <c r="P96" s="729"/>
      <c r="Q96" s="729"/>
      <c r="R96" s="729"/>
      <c r="S96" s="729"/>
      <c r="T96" s="729"/>
      <c r="U96" s="729"/>
      <c r="V96" s="729"/>
      <c r="W96" s="729"/>
      <c r="X96" s="729"/>
      <c r="Y96" s="729"/>
      <c r="Z96" s="729"/>
      <c r="AA96" s="729"/>
      <c r="AB96" s="729"/>
      <c r="AC96" s="729"/>
      <c r="AD96" s="729"/>
      <c r="AE96" s="729"/>
      <c r="AF96" s="729"/>
      <c r="AG96" s="729"/>
      <c r="AH96" s="729"/>
      <c r="AI96" s="729"/>
      <c r="AJ96" s="729"/>
      <c r="AK96" s="729"/>
      <c r="AL96" s="729"/>
      <c r="AM96" s="729"/>
      <c r="AN96" s="729"/>
      <c r="AO96" s="729"/>
      <c r="AP96" s="729"/>
      <c r="AQ96" s="729"/>
      <c r="AR96" s="729"/>
      <c r="AS96" s="729"/>
      <c r="AT96" s="729"/>
      <c r="AU96" s="729"/>
      <c r="AV96" s="729"/>
      <c r="AW96" s="729"/>
      <c r="AX96" s="730"/>
      <c r="AY96" s="619" t="s">
        <v>4</v>
      </c>
      <c r="AZ96" s="620"/>
      <c r="BA96" s="620"/>
      <c r="BB96" s="620"/>
      <c r="BC96" s="620"/>
      <c r="BD96" s="620"/>
      <c r="BE96" s="620"/>
      <c r="BF96" s="620"/>
      <c r="BG96" s="620"/>
      <c r="BH96" s="620"/>
      <c r="BI96" s="620"/>
      <c r="BJ96" s="620"/>
      <c r="BK96" s="620"/>
      <c r="BL96" s="620"/>
      <c r="BM96" s="620"/>
      <c r="BN96" s="620"/>
      <c r="BO96" s="620"/>
      <c r="BP96" s="621"/>
      <c r="BQ96" s="619" t="s">
        <v>4</v>
      </c>
      <c r="BR96" s="620"/>
      <c r="BS96" s="620"/>
      <c r="BT96" s="620"/>
      <c r="BU96" s="620"/>
      <c r="BV96" s="620"/>
      <c r="BW96" s="620"/>
      <c r="BX96" s="620"/>
      <c r="BY96" s="620"/>
      <c r="BZ96" s="620"/>
      <c r="CA96" s="620"/>
      <c r="CB96" s="620"/>
      <c r="CC96" s="620"/>
      <c r="CD96" s="620"/>
      <c r="CE96" s="620"/>
      <c r="CF96" s="620"/>
      <c r="CG96" s="620"/>
      <c r="CH96" s="621"/>
      <c r="CI96" s="682">
        <f>CI95</f>
        <v>8900</v>
      </c>
      <c r="CJ96" s="683"/>
      <c r="CK96" s="683"/>
      <c r="CL96" s="683"/>
      <c r="CM96" s="683"/>
      <c r="CN96" s="683"/>
      <c r="CO96" s="683"/>
      <c r="CP96" s="683"/>
      <c r="CQ96" s="683"/>
      <c r="CR96" s="683"/>
      <c r="CS96" s="683"/>
      <c r="CT96" s="683"/>
      <c r="CU96" s="683"/>
      <c r="CV96" s="683"/>
      <c r="CW96" s="683"/>
      <c r="CX96" s="683"/>
      <c r="CY96" s="683"/>
      <c r="CZ96" s="684"/>
      <c r="DA96" s="214"/>
    </row>
    <row r="97" spans="1:105" s="16" customFormat="1" ht="15" customHeight="1"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9"/>
      <c r="CJ97" s="229"/>
      <c r="CK97" s="229"/>
      <c r="CL97" s="229"/>
      <c r="CM97" s="229"/>
      <c r="CN97" s="229"/>
      <c r="CO97" s="229"/>
      <c r="CP97" s="229"/>
      <c r="CQ97" s="229"/>
      <c r="CR97" s="229"/>
      <c r="CS97" s="229"/>
      <c r="CT97" s="229"/>
      <c r="CU97" s="229"/>
      <c r="CV97" s="229"/>
      <c r="CW97" s="229"/>
      <c r="CX97" s="229"/>
      <c r="CY97" s="229"/>
      <c r="CZ97" s="229"/>
      <c r="DA97" s="220">
        <f>CI96</f>
        <v>8900</v>
      </c>
    </row>
    <row r="98" spans="1:105" s="20" customFormat="1" ht="26.4" customHeight="1" x14ac:dyDescent="0.25">
      <c r="A98" s="524" t="s">
        <v>376</v>
      </c>
      <c r="B98" s="524"/>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4"/>
      <c r="AZ98" s="524"/>
      <c r="BA98" s="524"/>
      <c r="BB98" s="524"/>
      <c r="BC98" s="524"/>
      <c r="BD98" s="524"/>
      <c r="BE98" s="524"/>
      <c r="BF98" s="524"/>
      <c r="BG98" s="524"/>
      <c r="BH98" s="524"/>
      <c r="BI98" s="524"/>
      <c r="BJ98" s="524"/>
      <c r="BK98" s="524"/>
      <c r="BL98" s="524"/>
      <c r="BM98" s="524"/>
      <c r="BN98" s="524"/>
      <c r="BO98" s="524"/>
      <c r="BP98" s="524"/>
      <c r="BQ98" s="524"/>
      <c r="BR98" s="524"/>
      <c r="BS98" s="524"/>
      <c r="BT98" s="524"/>
      <c r="BU98" s="524"/>
      <c r="BV98" s="524"/>
      <c r="BW98" s="524"/>
      <c r="BX98" s="524"/>
      <c r="BY98" s="524"/>
      <c r="BZ98" s="524"/>
      <c r="CA98" s="524"/>
      <c r="CB98" s="524"/>
      <c r="CC98" s="524"/>
      <c r="CD98" s="524"/>
      <c r="CE98" s="524"/>
      <c r="CF98" s="524"/>
      <c r="CG98" s="524"/>
      <c r="CH98" s="524"/>
      <c r="CI98" s="524"/>
      <c r="CJ98" s="524"/>
      <c r="CK98" s="524"/>
      <c r="CL98" s="524"/>
      <c r="CM98" s="524"/>
      <c r="CN98" s="524"/>
      <c r="CO98" s="524"/>
      <c r="CP98" s="524"/>
      <c r="CQ98" s="524"/>
      <c r="CR98" s="524"/>
      <c r="CS98" s="524"/>
      <c r="CT98" s="524"/>
      <c r="CU98" s="524"/>
      <c r="CV98" s="524"/>
      <c r="CW98" s="524"/>
      <c r="CX98" s="524"/>
      <c r="CY98" s="524"/>
      <c r="CZ98" s="524"/>
    </row>
    <row r="99" spans="1:105" s="20" customFormat="1" ht="9.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5" s="20" customFormat="1" x14ac:dyDescent="0.25">
      <c r="A100" s="20" t="s">
        <v>47</v>
      </c>
      <c r="W100" s="595" t="s">
        <v>553</v>
      </c>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595"/>
      <c r="BV100" s="595"/>
      <c r="BW100" s="595"/>
      <c r="BX100" s="595"/>
      <c r="BY100" s="595"/>
      <c r="BZ100" s="595"/>
      <c r="CA100" s="595"/>
      <c r="CB100" s="595"/>
      <c r="CC100" s="595"/>
      <c r="CD100" s="595"/>
      <c r="CE100" s="595"/>
      <c r="CF100" s="595"/>
      <c r="CG100" s="595"/>
      <c r="CH100" s="595"/>
      <c r="CI100" s="595"/>
      <c r="CJ100" s="595"/>
      <c r="CK100" s="595"/>
      <c r="CL100" s="595"/>
      <c r="CM100" s="595"/>
      <c r="CN100" s="595"/>
      <c r="CO100" s="595"/>
      <c r="CP100" s="595"/>
      <c r="CQ100" s="595"/>
      <c r="CR100" s="595"/>
      <c r="CS100" s="595"/>
      <c r="CT100" s="595"/>
      <c r="CU100" s="595"/>
      <c r="CV100" s="595"/>
      <c r="CW100" s="595"/>
      <c r="CX100" s="595"/>
      <c r="CY100" s="595"/>
      <c r="CZ100" s="595"/>
      <c r="DA100" s="230">
        <v>213.21100000000001</v>
      </c>
    </row>
    <row r="101" spans="1:105" s="20" customFormat="1" ht="15.6" customHeight="1" x14ac:dyDescent="0.25"/>
    <row r="102" spans="1:105" ht="55.5" customHeight="1" x14ac:dyDescent="0.25">
      <c r="A102" s="606" t="s">
        <v>49</v>
      </c>
      <c r="B102" s="606"/>
      <c r="C102" s="606"/>
      <c r="D102" s="606"/>
      <c r="E102" s="606"/>
      <c r="F102" s="606"/>
      <c r="G102" s="606" t="s">
        <v>64</v>
      </c>
      <c r="H102" s="606"/>
      <c r="I102" s="606"/>
      <c r="J102" s="606"/>
      <c r="K102" s="606"/>
      <c r="L102" s="606"/>
      <c r="M102" s="606"/>
      <c r="N102" s="606"/>
      <c r="O102" s="606"/>
      <c r="P102" s="606"/>
      <c r="Q102" s="606"/>
      <c r="R102" s="606"/>
      <c r="S102" s="606"/>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c r="BC102" s="606"/>
      <c r="BD102" s="606"/>
      <c r="BE102" s="606"/>
      <c r="BF102" s="606"/>
      <c r="BG102" s="606"/>
      <c r="BH102" s="606"/>
      <c r="BI102" s="606"/>
      <c r="BJ102" s="606"/>
      <c r="BK102" s="606"/>
      <c r="BL102" s="606"/>
      <c r="BM102" s="606"/>
      <c r="BN102" s="606"/>
      <c r="BO102" s="606"/>
      <c r="BP102" s="606"/>
      <c r="BQ102" s="606"/>
      <c r="BR102" s="606"/>
      <c r="BS102" s="606"/>
      <c r="BT102" s="606"/>
      <c r="BU102" s="606"/>
      <c r="BV102" s="597" t="s">
        <v>65</v>
      </c>
      <c r="BW102" s="598"/>
      <c r="BX102" s="598"/>
      <c r="BY102" s="598"/>
      <c r="BZ102" s="598"/>
      <c r="CA102" s="598"/>
      <c r="CB102" s="598"/>
      <c r="CC102" s="598"/>
      <c r="CD102" s="598"/>
      <c r="CE102" s="598"/>
      <c r="CF102" s="598"/>
      <c r="CG102" s="598"/>
      <c r="CH102" s="598"/>
      <c r="CI102" s="598"/>
      <c r="CJ102" s="598"/>
      <c r="CK102" s="599"/>
      <c r="CL102" s="597" t="s">
        <v>66</v>
      </c>
      <c r="CM102" s="598"/>
      <c r="CN102" s="598"/>
      <c r="CO102" s="598"/>
      <c r="CP102" s="598"/>
      <c r="CQ102" s="598"/>
      <c r="CR102" s="598"/>
      <c r="CS102" s="598"/>
      <c r="CT102" s="598"/>
      <c r="CU102" s="598"/>
      <c r="CV102" s="598"/>
      <c r="CW102" s="598"/>
      <c r="CX102" s="598"/>
      <c r="CY102" s="598"/>
      <c r="CZ102" s="598"/>
    </row>
    <row r="103" spans="1:105" s="17" customFormat="1" ht="13.2" x14ac:dyDescent="0.25">
      <c r="A103" s="591">
        <v>1</v>
      </c>
      <c r="B103" s="591"/>
      <c r="C103" s="591"/>
      <c r="D103" s="591"/>
      <c r="E103" s="591"/>
      <c r="F103" s="591"/>
      <c r="G103" s="591">
        <v>2</v>
      </c>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1"/>
      <c r="AP103" s="591"/>
      <c r="AQ103" s="591"/>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1"/>
      <c r="BT103" s="591"/>
      <c r="BU103" s="591"/>
      <c r="BV103" s="591">
        <v>3</v>
      </c>
      <c r="BW103" s="591"/>
      <c r="BX103" s="591"/>
      <c r="BY103" s="591"/>
      <c r="BZ103" s="591"/>
      <c r="CA103" s="591"/>
      <c r="CB103" s="591"/>
      <c r="CC103" s="591"/>
      <c r="CD103" s="591"/>
      <c r="CE103" s="591"/>
      <c r="CF103" s="591"/>
      <c r="CG103" s="591"/>
      <c r="CH103" s="591"/>
      <c r="CI103" s="591"/>
      <c r="CJ103" s="591"/>
      <c r="CK103" s="591"/>
      <c r="CL103" s="591">
        <v>4</v>
      </c>
      <c r="CM103" s="591"/>
      <c r="CN103" s="591"/>
      <c r="CO103" s="591"/>
      <c r="CP103" s="591"/>
      <c r="CQ103" s="591"/>
      <c r="CR103" s="591"/>
      <c r="CS103" s="591"/>
      <c r="CT103" s="591"/>
      <c r="CU103" s="591"/>
      <c r="CV103" s="591"/>
      <c r="CW103" s="591"/>
      <c r="CX103" s="591"/>
      <c r="CY103" s="591"/>
      <c r="CZ103" s="591"/>
      <c r="DA103" s="232"/>
    </row>
    <row r="104" spans="1:105" s="16" customFormat="1" ht="15" customHeight="1" x14ac:dyDescent="0.3">
      <c r="A104" s="648" t="s">
        <v>569</v>
      </c>
      <c r="B104" s="649"/>
      <c r="C104" s="649"/>
      <c r="D104" s="649"/>
      <c r="E104" s="649"/>
      <c r="F104" s="649"/>
      <c r="G104" s="649"/>
      <c r="H104" s="649"/>
      <c r="I104" s="649"/>
      <c r="J104" s="649"/>
      <c r="K104" s="649"/>
      <c r="L104" s="649"/>
      <c r="M104" s="649"/>
      <c r="N104" s="649"/>
      <c r="O104" s="649"/>
      <c r="P104" s="649"/>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49"/>
      <c r="BA104" s="649"/>
      <c r="BB104" s="649"/>
      <c r="BC104" s="649"/>
      <c r="BD104" s="649"/>
      <c r="BE104" s="649"/>
      <c r="BF104" s="649"/>
      <c r="BG104" s="649"/>
      <c r="BH104" s="649"/>
      <c r="BI104" s="649"/>
      <c r="BJ104" s="649"/>
      <c r="BK104" s="649"/>
      <c r="BL104" s="649"/>
      <c r="BM104" s="649"/>
      <c r="BN104" s="649"/>
      <c r="BO104" s="649"/>
      <c r="BP104" s="649"/>
      <c r="BQ104" s="649"/>
      <c r="BR104" s="649"/>
      <c r="BS104" s="649"/>
      <c r="BT104" s="649"/>
      <c r="BU104" s="649"/>
      <c r="BV104" s="649"/>
      <c r="BW104" s="649"/>
      <c r="BX104" s="649"/>
      <c r="BY104" s="649"/>
      <c r="BZ104" s="649"/>
      <c r="CA104" s="649"/>
      <c r="CB104" s="649"/>
      <c r="CC104" s="649"/>
      <c r="CD104" s="649"/>
      <c r="CE104" s="649"/>
      <c r="CF104" s="649"/>
      <c r="CG104" s="649"/>
      <c r="CH104" s="649"/>
      <c r="CI104" s="649"/>
      <c r="CJ104" s="649"/>
      <c r="CK104" s="649"/>
      <c r="CL104" s="649"/>
      <c r="CM104" s="649"/>
      <c r="CN104" s="649"/>
      <c r="CO104" s="649"/>
      <c r="CP104" s="649"/>
      <c r="CQ104" s="649"/>
      <c r="CR104" s="649"/>
      <c r="CS104" s="649"/>
      <c r="CT104" s="649"/>
      <c r="CU104" s="649"/>
      <c r="CV104" s="649"/>
      <c r="CW104" s="649"/>
      <c r="CX104" s="649"/>
      <c r="CY104" s="649"/>
      <c r="CZ104" s="649"/>
      <c r="DA104" s="214"/>
    </row>
    <row r="105" spans="1:105" ht="40.950000000000003" customHeight="1" x14ac:dyDescent="0.25">
      <c r="A105" s="659" t="s">
        <v>67</v>
      </c>
      <c r="B105" s="659"/>
      <c r="C105" s="659"/>
      <c r="D105" s="659"/>
      <c r="E105" s="659"/>
      <c r="F105" s="659"/>
      <c r="G105" s="213"/>
      <c r="H105" s="585" t="s">
        <v>369</v>
      </c>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5"/>
      <c r="AZ105" s="585"/>
      <c r="BA105" s="585"/>
      <c r="BB105" s="585"/>
      <c r="BC105" s="585"/>
      <c r="BD105" s="585"/>
      <c r="BE105" s="585"/>
      <c r="BF105" s="585"/>
      <c r="BG105" s="585"/>
      <c r="BH105" s="585"/>
      <c r="BI105" s="585"/>
      <c r="BJ105" s="585"/>
      <c r="BK105" s="585"/>
      <c r="BL105" s="585"/>
      <c r="BM105" s="585"/>
      <c r="BN105" s="585"/>
      <c r="BO105" s="585"/>
      <c r="BP105" s="585"/>
      <c r="BQ105" s="585"/>
      <c r="BR105" s="585"/>
      <c r="BS105" s="585"/>
      <c r="BT105" s="585"/>
      <c r="BU105" s="586"/>
      <c r="BV105" s="582" t="s">
        <v>4</v>
      </c>
      <c r="BW105" s="582"/>
      <c r="BX105" s="582"/>
      <c r="BY105" s="582"/>
      <c r="BZ105" s="582"/>
      <c r="CA105" s="582"/>
      <c r="CB105" s="582"/>
      <c r="CC105" s="582"/>
      <c r="CD105" s="582"/>
      <c r="CE105" s="582"/>
      <c r="CF105" s="582"/>
      <c r="CG105" s="582"/>
      <c r="CH105" s="582"/>
      <c r="CI105" s="582"/>
      <c r="CJ105" s="582"/>
      <c r="CK105" s="582"/>
      <c r="CL105" s="611">
        <f>CL106+CL108</f>
        <v>25772186.175000001</v>
      </c>
      <c r="CM105" s="560"/>
      <c r="CN105" s="560"/>
      <c r="CO105" s="560"/>
      <c r="CP105" s="560"/>
      <c r="CQ105" s="560"/>
      <c r="CR105" s="560"/>
      <c r="CS105" s="560"/>
      <c r="CT105" s="560"/>
      <c r="CU105" s="560"/>
      <c r="CV105" s="560"/>
      <c r="CW105" s="560"/>
      <c r="CX105" s="560"/>
      <c r="CY105" s="560"/>
      <c r="CZ105" s="560"/>
    </row>
    <row r="106" spans="1:105" s="17" customFormat="1" ht="12.75" customHeight="1" x14ac:dyDescent="0.25">
      <c r="A106" s="709" t="s">
        <v>68</v>
      </c>
      <c r="B106" s="710"/>
      <c r="C106" s="710"/>
      <c r="D106" s="710"/>
      <c r="E106" s="710"/>
      <c r="F106" s="711"/>
      <c r="G106" s="233"/>
      <c r="H106" s="715" t="s">
        <v>3</v>
      </c>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5"/>
      <c r="AY106" s="715"/>
      <c r="AZ106" s="715"/>
      <c r="BA106" s="715"/>
      <c r="BB106" s="715"/>
      <c r="BC106" s="715"/>
      <c r="BD106" s="715"/>
      <c r="BE106" s="715"/>
      <c r="BF106" s="715"/>
      <c r="BG106" s="715"/>
      <c r="BH106" s="715"/>
      <c r="BI106" s="715"/>
      <c r="BJ106" s="715"/>
      <c r="BK106" s="715"/>
      <c r="BL106" s="715"/>
      <c r="BM106" s="715"/>
      <c r="BN106" s="715"/>
      <c r="BO106" s="715"/>
      <c r="BP106" s="715"/>
      <c r="BQ106" s="715"/>
      <c r="BR106" s="715"/>
      <c r="BS106" s="715"/>
      <c r="BT106" s="715"/>
      <c r="BU106" s="716"/>
      <c r="BV106" s="717">
        <f>BV111</f>
        <v>85907287.25</v>
      </c>
      <c r="BW106" s="718"/>
      <c r="BX106" s="718"/>
      <c r="BY106" s="718"/>
      <c r="BZ106" s="718"/>
      <c r="CA106" s="718"/>
      <c r="CB106" s="718"/>
      <c r="CC106" s="718"/>
      <c r="CD106" s="718"/>
      <c r="CE106" s="718"/>
      <c r="CF106" s="718"/>
      <c r="CG106" s="718"/>
      <c r="CH106" s="718"/>
      <c r="CI106" s="718"/>
      <c r="CJ106" s="718"/>
      <c r="CK106" s="719"/>
      <c r="CL106" s="717">
        <f>BV106*30%</f>
        <v>25772186.175000001</v>
      </c>
      <c r="CM106" s="718"/>
      <c r="CN106" s="718"/>
      <c r="CO106" s="718"/>
      <c r="CP106" s="718"/>
      <c r="CQ106" s="718"/>
      <c r="CR106" s="718"/>
      <c r="CS106" s="718"/>
      <c r="CT106" s="718"/>
      <c r="CU106" s="718"/>
      <c r="CV106" s="718"/>
      <c r="CW106" s="718"/>
      <c r="CX106" s="718"/>
      <c r="CY106" s="718"/>
      <c r="CZ106" s="719"/>
      <c r="DA106" s="232"/>
    </row>
    <row r="107" spans="1:105" s="17" customFormat="1" ht="12.75" customHeight="1" x14ac:dyDescent="0.25">
      <c r="A107" s="712"/>
      <c r="B107" s="713"/>
      <c r="C107" s="713"/>
      <c r="D107" s="713"/>
      <c r="E107" s="713"/>
      <c r="F107" s="714"/>
      <c r="G107" s="234"/>
      <c r="H107" s="707" t="s">
        <v>370</v>
      </c>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8"/>
      <c r="BV107" s="720"/>
      <c r="BW107" s="721"/>
      <c r="BX107" s="721"/>
      <c r="BY107" s="721"/>
      <c r="BZ107" s="721"/>
      <c r="CA107" s="721"/>
      <c r="CB107" s="721"/>
      <c r="CC107" s="721"/>
      <c r="CD107" s="721"/>
      <c r="CE107" s="721"/>
      <c r="CF107" s="721"/>
      <c r="CG107" s="721"/>
      <c r="CH107" s="721"/>
      <c r="CI107" s="721"/>
      <c r="CJ107" s="721"/>
      <c r="CK107" s="722"/>
      <c r="CL107" s="720"/>
      <c r="CM107" s="721"/>
      <c r="CN107" s="721"/>
      <c r="CO107" s="721"/>
      <c r="CP107" s="721"/>
      <c r="CQ107" s="721"/>
      <c r="CR107" s="721"/>
      <c r="CS107" s="721"/>
      <c r="CT107" s="721"/>
      <c r="CU107" s="721"/>
      <c r="CV107" s="721"/>
      <c r="CW107" s="721"/>
      <c r="CX107" s="721"/>
      <c r="CY107" s="721"/>
      <c r="CZ107" s="722"/>
      <c r="DA107" s="232"/>
    </row>
    <row r="108" spans="1:105" s="17" customFormat="1" ht="13.5" customHeight="1" x14ac:dyDescent="0.25">
      <c r="A108" s="659" t="s">
        <v>69</v>
      </c>
      <c r="B108" s="659"/>
      <c r="C108" s="659"/>
      <c r="D108" s="659"/>
      <c r="E108" s="659"/>
      <c r="F108" s="659"/>
      <c r="G108" s="213"/>
      <c r="H108" s="707" t="s">
        <v>371</v>
      </c>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8"/>
      <c r="BV108" s="573">
        <v>0</v>
      </c>
      <c r="BW108" s="573"/>
      <c r="BX108" s="573"/>
      <c r="BY108" s="573"/>
      <c r="BZ108" s="573"/>
      <c r="CA108" s="573"/>
      <c r="CB108" s="573"/>
      <c r="CC108" s="573"/>
      <c r="CD108" s="573"/>
      <c r="CE108" s="573"/>
      <c r="CF108" s="573"/>
      <c r="CG108" s="573"/>
      <c r="CH108" s="573"/>
      <c r="CI108" s="573"/>
      <c r="CJ108" s="573"/>
      <c r="CK108" s="573"/>
      <c r="CL108" s="573">
        <f>BV108*10%</f>
        <v>0</v>
      </c>
      <c r="CM108" s="573"/>
      <c r="CN108" s="573"/>
      <c r="CO108" s="573"/>
      <c r="CP108" s="573"/>
      <c r="CQ108" s="573"/>
      <c r="CR108" s="573"/>
      <c r="CS108" s="573"/>
      <c r="CT108" s="573"/>
      <c r="CU108" s="573"/>
      <c r="CV108" s="573"/>
      <c r="CW108" s="573"/>
      <c r="CX108" s="573"/>
      <c r="CY108" s="573"/>
      <c r="CZ108" s="573"/>
      <c r="DA108" s="232"/>
    </row>
    <row r="109" spans="1:105" s="17" customFormat="1" ht="26.25" customHeight="1" x14ac:dyDescent="0.25">
      <c r="A109" s="659" t="s">
        <v>70</v>
      </c>
      <c r="B109" s="659"/>
      <c r="C109" s="659"/>
      <c r="D109" s="659"/>
      <c r="E109" s="659"/>
      <c r="F109" s="659"/>
      <c r="G109" s="213"/>
      <c r="H109" s="707" t="s">
        <v>557</v>
      </c>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8"/>
      <c r="BV109" s="573"/>
      <c r="BW109" s="573"/>
      <c r="BX109" s="573"/>
      <c r="BY109" s="573"/>
      <c r="BZ109" s="573"/>
      <c r="CA109" s="573"/>
      <c r="CB109" s="573"/>
      <c r="CC109" s="573"/>
      <c r="CD109" s="573"/>
      <c r="CE109" s="573"/>
      <c r="CF109" s="573"/>
      <c r="CG109" s="573"/>
      <c r="CH109" s="573"/>
      <c r="CI109" s="573"/>
      <c r="CJ109" s="573"/>
      <c r="CK109" s="573"/>
      <c r="CL109" s="573"/>
      <c r="CM109" s="573"/>
      <c r="CN109" s="573"/>
      <c r="CO109" s="573"/>
      <c r="CP109" s="573"/>
      <c r="CQ109" s="573"/>
      <c r="CR109" s="573"/>
      <c r="CS109" s="573"/>
      <c r="CT109" s="573"/>
      <c r="CU109" s="573"/>
      <c r="CV109" s="573"/>
      <c r="CW109" s="573"/>
      <c r="CX109" s="573"/>
      <c r="CY109" s="573"/>
      <c r="CZ109" s="573"/>
      <c r="DA109" s="235"/>
    </row>
    <row r="110" spans="1:105" s="17" customFormat="1" ht="26.25" customHeight="1" x14ac:dyDescent="0.25">
      <c r="A110" s="659" t="s">
        <v>71</v>
      </c>
      <c r="B110" s="659"/>
      <c r="C110" s="659"/>
      <c r="D110" s="659"/>
      <c r="E110" s="659"/>
      <c r="F110" s="659"/>
      <c r="G110" s="213"/>
      <c r="H110" s="585" t="s">
        <v>822</v>
      </c>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5"/>
      <c r="AW110" s="585"/>
      <c r="AX110" s="585"/>
      <c r="AY110" s="585"/>
      <c r="AZ110" s="585"/>
      <c r="BA110" s="585"/>
      <c r="BB110" s="585"/>
      <c r="BC110" s="585"/>
      <c r="BD110" s="585"/>
      <c r="BE110" s="585"/>
      <c r="BF110" s="585"/>
      <c r="BG110" s="585"/>
      <c r="BH110" s="585"/>
      <c r="BI110" s="585"/>
      <c r="BJ110" s="585"/>
      <c r="BK110" s="585"/>
      <c r="BL110" s="585"/>
      <c r="BM110" s="585"/>
      <c r="BN110" s="585"/>
      <c r="BO110" s="585"/>
      <c r="BP110" s="585"/>
      <c r="BQ110" s="585"/>
      <c r="BR110" s="585"/>
      <c r="BS110" s="585"/>
      <c r="BT110" s="585"/>
      <c r="BU110" s="586"/>
      <c r="BV110" s="573" t="s">
        <v>4</v>
      </c>
      <c r="BW110" s="573"/>
      <c r="BX110" s="573"/>
      <c r="BY110" s="573"/>
      <c r="BZ110" s="573"/>
      <c r="CA110" s="573"/>
      <c r="CB110" s="573"/>
      <c r="CC110" s="573"/>
      <c r="CD110" s="573"/>
      <c r="CE110" s="573"/>
      <c r="CF110" s="573"/>
      <c r="CG110" s="573"/>
      <c r="CH110" s="573"/>
      <c r="CI110" s="573"/>
      <c r="CJ110" s="573"/>
      <c r="CK110" s="573"/>
      <c r="CL110" s="561">
        <f>CL111+CL114</f>
        <v>171814.57450000002</v>
      </c>
      <c r="CM110" s="561"/>
      <c r="CN110" s="561"/>
      <c r="CO110" s="561"/>
      <c r="CP110" s="561"/>
      <c r="CQ110" s="561"/>
      <c r="CR110" s="561"/>
      <c r="CS110" s="561"/>
      <c r="CT110" s="561"/>
      <c r="CU110" s="561"/>
      <c r="CV110" s="561"/>
      <c r="CW110" s="561"/>
      <c r="CX110" s="561"/>
      <c r="CY110" s="561"/>
      <c r="CZ110" s="561"/>
      <c r="DA110" s="232"/>
    </row>
    <row r="111" spans="1:105" s="17" customFormat="1" ht="12.75" customHeight="1" x14ac:dyDescent="0.25">
      <c r="A111" s="709" t="s">
        <v>72</v>
      </c>
      <c r="B111" s="710"/>
      <c r="C111" s="710"/>
      <c r="D111" s="710"/>
      <c r="E111" s="710"/>
      <c r="F111" s="711"/>
      <c r="G111" s="233"/>
      <c r="H111" s="715" t="s">
        <v>3</v>
      </c>
      <c r="I111" s="715"/>
      <c r="J111" s="715"/>
      <c r="K111" s="715"/>
      <c r="L111" s="715"/>
      <c r="M111" s="715"/>
      <c r="N111" s="715"/>
      <c r="O111" s="715"/>
      <c r="P111" s="715"/>
      <c r="Q111" s="715"/>
      <c r="R111" s="715"/>
      <c r="S111" s="715"/>
      <c r="T111" s="715"/>
      <c r="U111" s="715"/>
      <c r="V111" s="715"/>
      <c r="W111" s="715"/>
      <c r="X111" s="715"/>
      <c r="Y111" s="715"/>
      <c r="Z111" s="715"/>
      <c r="AA111" s="715"/>
      <c r="AB111" s="715"/>
      <c r="AC111" s="715"/>
      <c r="AD111" s="715"/>
      <c r="AE111" s="715"/>
      <c r="AF111" s="715"/>
      <c r="AG111" s="715"/>
      <c r="AH111" s="715"/>
      <c r="AI111" s="715"/>
      <c r="AJ111" s="715"/>
      <c r="AK111" s="715"/>
      <c r="AL111" s="715"/>
      <c r="AM111" s="715"/>
      <c r="AN111" s="715"/>
      <c r="AO111" s="715"/>
      <c r="AP111" s="715"/>
      <c r="AQ111" s="715"/>
      <c r="AR111" s="715"/>
      <c r="AS111" s="715"/>
      <c r="AT111" s="715"/>
      <c r="AU111" s="715"/>
      <c r="AV111" s="715"/>
      <c r="AW111" s="715"/>
      <c r="AX111" s="715"/>
      <c r="AY111" s="715"/>
      <c r="AZ111" s="715"/>
      <c r="BA111" s="715"/>
      <c r="BB111" s="715"/>
      <c r="BC111" s="715"/>
      <c r="BD111" s="715"/>
      <c r="BE111" s="715"/>
      <c r="BF111" s="715"/>
      <c r="BG111" s="715"/>
      <c r="BH111" s="715"/>
      <c r="BI111" s="715"/>
      <c r="BJ111" s="715"/>
      <c r="BK111" s="715"/>
      <c r="BL111" s="715"/>
      <c r="BM111" s="715"/>
      <c r="BN111" s="715"/>
      <c r="BO111" s="715"/>
      <c r="BP111" s="715"/>
      <c r="BQ111" s="715"/>
      <c r="BR111" s="715"/>
      <c r="BS111" s="715"/>
      <c r="BT111" s="715"/>
      <c r="BU111" s="716"/>
      <c r="BV111" s="717">
        <v>85907287.25</v>
      </c>
      <c r="BW111" s="718"/>
      <c r="BX111" s="718"/>
      <c r="BY111" s="718"/>
      <c r="BZ111" s="718"/>
      <c r="CA111" s="718"/>
      <c r="CB111" s="718"/>
      <c r="CC111" s="718"/>
      <c r="CD111" s="718"/>
      <c r="CE111" s="718"/>
      <c r="CF111" s="718"/>
      <c r="CG111" s="718"/>
      <c r="CH111" s="718"/>
      <c r="CI111" s="718"/>
      <c r="CJ111" s="718"/>
      <c r="CK111" s="719"/>
      <c r="CL111" s="717">
        <f>BV111*0.2%</f>
        <v>171814.57450000002</v>
      </c>
      <c r="CM111" s="718"/>
      <c r="CN111" s="718"/>
      <c r="CO111" s="718"/>
      <c r="CP111" s="718"/>
      <c r="CQ111" s="718"/>
      <c r="CR111" s="718"/>
      <c r="CS111" s="718"/>
      <c r="CT111" s="718"/>
      <c r="CU111" s="718"/>
      <c r="CV111" s="718"/>
      <c r="CW111" s="718"/>
      <c r="CX111" s="718"/>
      <c r="CY111" s="718"/>
      <c r="CZ111" s="719"/>
      <c r="DA111" s="232"/>
    </row>
    <row r="112" spans="1:105" s="17" customFormat="1" ht="13.2" customHeight="1" x14ac:dyDescent="0.25">
      <c r="A112" s="712"/>
      <c r="B112" s="713"/>
      <c r="C112" s="713"/>
      <c r="D112" s="713"/>
      <c r="E112" s="713"/>
      <c r="F112" s="714"/>
      <c r="G112" s="234"/>
      <c r="H112" s="707" t="s">
        <v>374</v>
      </c>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8"/>
      <c r="BV112" s="720"/>
      <c r="BW112" s="721"/>
      <c r="BX112" s="721"/>
      <c r="BY112" s="721"/>
      <c r="BZ112" s="721"/>
      <c r="CA112" s="721"/>
      <c r="CB112" s="721"/>
      <c r="CC112" s="721"/>
      <c r="CD112" s="721"/>
      <c r="CE112" s="721"/>
      <c r="CF112" s="721"/>
      <c r="CG112" s="721"/>
      <c r="CH112" s="721"/>
      <c r="CI112" s="721"/>
      <c r="CJ112" s="721"/>
      <c r="CK112" s="722"/>
      <c r="CL112" s="720"/>
      <c r="CM112" s="721"/>
      <c r="CN112" s="721"/>
      <c r="CO112" s="721"/>
      <c r="CP112" s="721"/>
      <c r="CQ112" s="721"/>
      <c r="CR112" s="721"/>
      <c r="CS112" s="721"/>
      <c r="CT112" s="721"/>
      <c r="CU112" s="721"/>
      <c r="CV112" s="721"/>
      <c r="CW112" s="721"/>
      <c r="CX112" s="721"/>
      <c r="CY112" s="721"/>
      <c r="CZ112" s="722"/>
      <c r="DA112" s="232"/>
    </row>
    <row r="113" spans="1:106" s="17" customFormat="1" ht="13.2" customHeight="1" x14ac:dyDescent="0.25">
      <c r="A113" s="659" t="s">
        <v>73</v>
      </c>
      <c r="B113" s="659"/>
      <c r="C113" s="659"/>
      <c r="D113" s="659"/>
      <c r="E113" s="659"/>
      <c r="F113" s="659"/>
      <c r="G113" s="213"/>
      <c r="H113" s="707" t="s">
        <v>375</v>
      </c>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8"/>
      <c r="BV113" s="573">
        <v>0</v>
      </c>
      <c r="BW113" s="573"/>
      <c r="BX113" s="573"/>
      <c r="BY113" s="573"/>
      <c r="BZ113" s="573"/>
      <c r="CA113" s="573"/>
      <c r="CB113" s="573"/>
      <c r="CC113" s="573"/>
      <c r="CD113" s="573"/>
      <c r="CE113" s="573"/>
      <c r="CF113" s="573"/>
      <c r="CG113" s="573"/>
      <c r="CH113" s="573"/>
      <c r="CI113" s="573"/>
      <c r="CJ113" s="573"/>
      <c r="CK113" s="573"/>
      <c r="CL113" s="573"/>
      <c r="CM113" s="573"/>
      <c r="CN113" s="573"/>
      <c r="CO113" s="573"/>
      <c r="CP113" s="573"/>
      <c r="CQ113" s="573"/>
      <c r="CR113" s="573"/>
      <c r="CS113" s="573"/>
      <c r="CT113" s="573"/>
      <c r="CU113" s="573"/>
      <c r="CV113" s="573"/>
      <c r="CW113" s="573"/>
      <c r="CX113" s="573"/>
      <c r="CY113" s="573"/>
      <c r="CZ113" s="573"/>
      <c r="DA113" s="232"/>
    </row>
    <row r="114" spans="1:106" s="17" customFormat="1" ht="13.95" customHeight="1" x14ac:dyDescent="0.25">
      <c r="A114" s="659" t="s">
        <v>74</v>
      </c>
      <c r="B114" s="659"/>
      <c r="C114" s="659"/>
      <c r="D114" s="659"/>
      <c r="E114" s="659"/>
      <c r="F114" s="659"/>
      <c r="G114" s="213"/>
      <c r="H114" s="707" t="s">
        <v>375</v>
      </c>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8"/>
      <c r="BV114" s="573"/>
      <c r="BW114" s="573"/>
      <c r="BX114" s="573"/>
      <c r="BY114" s="573"/>
      <c r="BZ114" s="573"/>
      <c r="CA114" s="573"/>
      <c r="CB114" s="573"/>
      <c r="CC114" s="573"/>
      <c r="CD114" s="573"/>
      <c r="CE114" s="573"/>
      <c r="CF114" s="573"/>
      <c r="CG114" s="573"/>
      <c r="CH114" s="573"/>
      <c r="CI114" s="573"/>
      <c r="CJ114" s="573"/>
      <c r="CK114" s="573"/>
      <c r="CL114" s="573"/>
      <c r="CM114" s="573"/>
      <c r="CN114" s="573"/>
      <c r="CO114" s="573"/>
      <c r="CP114" s="573"/>
      <c r="CQ114" s="573"/>
      <c r="CR114" s="573"/>
      <c r="CS114" s="573"/>
      <c r="CT114" s="573"/>
      <c r="CU114" s="573"/>
      <c r="CV114" s="573"/>
      <c r="CW114" s="573"/>
      <c r="CX114" s="573"/>
      <c r="CY114" s="573"/>
      <c r="CZ114" s="573"/>
      <c r="DA114" s="235"/>
    </row>
    <row r="115" spans="1:106" s="17" customFormat="1" ht="13.5" customHeight="1" x14ac:dyDescent="0.25">
      <c r="A115" s="659"/>
      <c r="B115" s="659"/>
      <c r="C115" s="659"/>
      <c r="D115" s="659"/>
      <c r="E115" s="659"/>
      <c r="F115" s="659"/>
      <c r="G115" s="607" t="s">
        <v>292</v>
      </c>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8"/>
      <c r="AZ115" s="608"/>
      <c r="BA115" s="608"/>
      <c r="BB115" s="608"/>
      <c r="BC115" s="608"/>
      <c r="BD115" s="608"/>
      <c r="BE115" s="608"/>
      <c r="BF115" s="608"/>
      <c r="BG115" s="608"/>
      <c r="BH115" s="608"/>
      <c r="BI115" s="608"/>
      <c r="BJ115" s="608"/>
      <c r="BK115" s="608"/>
      <c r="BL115" s="608"/>
      <c r="BM115" s="608"/>
      <c r="BN115" s="608"/>
      <c r="BO115" s="608"/>
      <c r="BP115" s="608"/>
      <c r="BQ115" s="608"/>
      <c r="BR115" s="608"/>
      <c r="BS115" s="608"/>
      <c r="BT115" s="608"/>
      <c r="BU115" s="609"/>
      <c r="BV115" s="560" t="s">
        <v>4</v>
      </c>
      <c r="BW115" s="560"/>
      <c r="BX115" s="560"/>
      <c r="BY115" s="560"/>
      <c r="BZ115" s="560"/>
      <c r="CA115" s="560"/>
      <c r="CB115" s="560"/>
      <c r="CC115" s="560"/>
      <c r="CD115" s="560"/>
      <c r="CE115" s="560"/>
      <c r="CF115" s="560"/>
      <c r="CG115" s="560"/>
      <c r="CH115" s="560"/>
      <c r="CI115" s="560"/>
      <c r="CJ115" s="560"/>
      <c r="CK115" s="560"/>
      <c r="CL115" s="611">
        <f>CL105+CL110</f>
        <v>25944000.749499999</v>
      </c>
      <c r="CM115" s="611"/>
      <c r="CN115" s="611"/>
      <c r="CO115" s="611"/>
      <c r="CP115" s="611"/>
      <c r="CQ115" s="611"/>
      <c r="CR115" s="611"/>
      <c r="CS115" s="611"/>
      <c r="CT115" s="611"/>
      <c r="CU115" s="611"/>
      <c r="CV115" s="611"/>
      <c r="CW115" s="611"/>
      <c r="CX115" s="611"/>
      <c r="CY115" s="611"/>
      <c r="CZ115" s="611"/>
      <c r="DA115" s="235"/>
      <c r="DB115" s="236"/>
    </row>
    <row r="116" spans="1:106" s="16" customFormat="1" ht="15" customHeight="1" x14ac:dyDescent="0.3">
      <c r="A116" s="648" t="s">
        <v>566</v>
      </c>
      <c r="B116" s="649"/>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49"/>
      <c r="BC116" s="649"/>
      <c r="BD116" s="649"/>
      <c r="BE116" s="649"/>
      <c r="BF116" s="649"/>
      <c r="BG116" s="649"/>
      <c r="BH116" s="649"/>
      <c r="BI116" s="649"/>
      <c r="BJ116" s="649"/>
      <c r="BK116" s="649"/>
      <c r="BL116" s="649"/>
      <c r="BM116" s="649"/>
      <c r="BN116" s="649"/>
      <c r="BO116" s="649"/>
      <c r="BP116" s="649"/>
      <c r="BQ116" s="649"/>
      <c r="BR116" s="649"/>
      <c r="BS116" s="649"/>
      <c r="BT116" s="649"/>
      <c r="BU116" s="649"/>
      <c r="BV116" s="649"/>
      <c r="BW116" s="649"/>
      <c r="BX116" s="649"/>
      <c r="BY116" s="649"/>
      <c r="BZ116" s="649"/>
      <c r="CA116" s="649"/>
      <c r="CB116" s="649"/>
      <c r="CC116" s="649"/>
      <c r="CD116" s="649"/>
      <c r="CE116" s="649"/>
      <c r="CF116" s="649"/>
      <c r="CG116" s="649"/>
      <c r="CH116" s="649"/>
      <c r="CI116" s="649"/>
      <c r="CJ116" s="649"/>
      <c r="CK116" s="649"/>
      <c r="CL116" s="649"/>
      <c r="CM116" s="649"/>
      <c r="CN116" s="649"/>
      <c r="CO116" s="649"/>
      <c r="CP116" s="649"/>
      <c r="CQ116" s="649"/>
      <c r="CR116" s="649"/>
      <c r="CS116" s="649"/>
      <c r="CT116" s="649"/>
      <c r="CU116" s="649"/>
      <c r="CV116" s="649"/>
      <c r="CW116" s="649"/>
      <c r="CX116" s="649"/>
      <c r="CY116" s="649"/>
      <c r="CZ116" s="649"/>
      <c r="DA116" s="214"/>
    </row>
    <row r="117" spans="1:106" ht="37.950000000000003" customHeight="1" x14ac:dyDescent="0.25">
      <c r="A117" s="659" t="s">
        <v>67</v>
      </c>
      <c r="B117" s="659"/>
      <c r="C117" s="659"/>
      <c r="D117" s="659"/>
      <c r="E117" s="659"/>
      <c r="F117" s="659"/>
      <c r="G117" s="213"/>
      <c r="H117" s="585" t="s">
        <v>369</v>
      </c>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c r="AV117" s="585"/>
      <c r="AW117" s="585"/>
      <c r="AX117" s="585"/>
      <c r="AY117" s="585"/>
      <c r="AZ117" s="585"/>
      <c r="BA117" s="585"/>
      <c r="BB117" s="585"/>
      <c r="BC117" s="585"/>
      <c r="BD117" s="585"/>
      <c r="BE117" s="585"/>
      <c r="BF117" s="585"/>
      <c r="BG117" s="585"/>
      <c r="BH117" s="585"/>
      <c r="BI117" s="585"/>
      <c r="BJ117" s="585"/>
      <c r="BK117" s="585"/>
      <c r="BL117" s="585"/>
      <c r="BM117" s="585"/>
      <c r="BN117" s="585"/>
      <c r="BO117" s="585"/>
      <c r="BP117" s="585"/>
      <c r="BQ117" s="585"/>
      <c r="BR117" s="585"/>
      <c r="BS117" s="585"/>
      <c r="BT117" s="585"/>
      <c r="BU117" s="586"/>
      <c r="BV117" s="582" t="s">
        <v>4</v>
      </c>
      <c r="BW117" s="582"/>
      <c r="BX117" s="582"/>
      <c r="BY117" s="582"/>
      <c r="BZ117" s="582"/>
      <c r="CA117" s="582"/>
      <c r="CB117" s="582"/>
      <c r="CC117" s="582"/>
      <c r="CD117" s="582"/>
      <c r="CE117" s="582"/>
      <c r="CF117" s="582"/>
      <c r="CG117" s="582"/>
      <c r="CH117" s="582"/>
      <c r="CI117" s="582"/>
      <c r="CJ117" s="582"/>
      <c r="CK117" s="582"/>
      <c r="CL117" s="561">
        <f>CL118+CL120</f>
        <v>83271.890999999989</v>
      </c>
      <c r="CM117" s="561"/>
      <c r="CN117" s="561"/>
      <c r="CO117" s="561"/>
      <c r="CP117" s="561"/>
      <c r="CQ117" s="561"/>
      <c r="CR117" s="561"/>
      <c r="CS117" s="561"/>
      <c r="CT117" s="561"/>
      <c r="CU117" s="561"/>
      <c r="CV117" s="561"/>
      <c r="CW117" s="561"/>
      <c r="CX117" s="561"/>
      <c r="CY117" s="561"/>
      <c r="CZ117" s="561"/>
    </row>
    <row r="118" spans="1:106" s="17" customFormat="1" ht="12.75" customHeight="1" x14ac:dyDescent="0.25">
      <c r="A118" s="709" t="s">
        <v>68</v>
      </c>
      <c r="B118" s="710"/>
      <c r="C118" s="710"/>
      <c r="D118" s="710"/>
      <c r="E118" s="710"/>
      <c r="F118" s="711"/>
      <c r="G118" s="233"/>
      <c r="H118" s="715" t="s">
        <v>3</v>
      </c>
      <c r="I118" s="715"/>
      <c r="J118" s="715"/>
      <c r="K118" s="715"/>
      <c r="L118" s="715"/>
      <c r="M118" s="715"/>
      <c r="N118" s="715"/>
      <c r="O118" s="715"/>
      <c r="P118" s="715"/>
      <c r="Q118" s="715"/>
      <c r="R118" s="715"/>
      <c r="S118" s="715"/>
      <c r="T118" s="715"/>
      <c r="U118" s="715"/>
      <c r="V118" s="715"/>
      <c r="W118" s="715"/>
      <c r="X118" s="715"/>
      <c r="Y118" s="715"/>
      <c r="Z118" s="715"/>
      <c r="AA118" s="715"/>
      <c r="AB118" s="715"/>
      <c r="AC118" s="715"/>
      <c r="AD118" s="715"/>
      <c r="AE118" s="715"/>
      <c r="AF118" s="715"/>
      <c r="AG118" s="715"/>
      <c r="AH118" s="715"/>
      <c r="AI118" s="715"/>
      <c r="AJ118" s="715"/>
      <c r="AK118" s="715"/>
      <c r="AL118" s="715"/>
      <c r="AM118" s="715"/>
      <c r="AN118" s="715"/>
      <c r="AO118" s="715"/>
      <c r="AP118" s="715"/>
      <c r="AQ118" s="715"/>
      <c r="AR118" s="715"/>
      <c r="AS118" s="715"/>
      <c r="AT118" s="715"/>
      <c r="AU118" s="715"/>
      <c r="AV118" s="715"/>
      <c r="AW118" s="715"/>
      <c r="AX118" s="715"/>
      <c r="AY118" s="715"/>
      <c r="AZ118" s="715"/>
      <c r="BA118" s="715"/>
      <c r="BB118" s="715"/>
      <c r="BC118" s="715"/>
      <c r="BD118" s="715"/>
      <c r="BE118" s="715"/>
      <c r="BF118" s="715"/>
      <c r="BG118" s="715"/>
      <c r="BH118" s="715"/>
      <c r="BI118" s="715"/>
      <c r="BJ118" s="715"/>
      <c r="BK118" s="715"/>
      <c r="BL118" s="715"/>
      <c r="BM118" s="715"/>
      <c r="BN118" s="715"/>
      <c r="BO118" s="715"/>
      <c r="BP118" s="715"/>
      <c r="BQ118" s="715"/>
      <c r="BR118" s="715"/>
      <c r="BS118" s="715"/>
      <c r="BT118" s="715"/>
      <c r="BU118" s="716"/>
      <c r="BV118" s="717">
        <f>BV123</f>
        <v>277572.96999999997</v>
      </c>
      <c r="BW118" s="718"/>
      <c r="BX118" s="718"/>
      <c r="BY118" s="718"/>
      <c r="BZ118" s="718"/>
      <c r="CA118" s="718"/>
      <c r="CB118" s="718"/>
      <c r="CC118" s="718"/>
      <c r="CD118" s="718"/>
      <c r="CE118" s="718"/>
      <c r="CF118" s="718"/>
      <c r="CG118" s="718"/>
      <c r="CH118" s="718"/>
      <c r="CI118" s="718"/>
      <c r="CJ118" s="718"/>
      <c r="CK118" s="719"/>
      <c r="CL118" s="717">
        <f>BV118*30%</f>
        <v>83271.890999999989</v>
      </c>
      <c r="CM118" s="718"/>
      <c r="CN118" s="718"/>
      <c r="CO118" s="718"/>
      <c r="CP118" s="718"/>
      <c r="CQ118" s="718"/>
      <c r="CR118" s="718"/>
      <c r="CS118" s="718"/>
      <c r="CT118" s="718"/>
      <c r="CU118" s="718"/>
      <c r="CV118" s="718"/>
      <c r="CW118" s="718"/>
      <c r="CX118" s="718"/>
      <c r="CY118" s="718"/>
      <c r="CZ118" s="719"/>
      <c r="DA118" s="232"/>
    </row>
    <row r="119" spans="1:106" s="17" customFormat="1" ht="12.75" customHeight="1" x14ac:dyDescent="0.25">
      <c r="A119" s="712"/>
      <c r="B119" s="713"/>
      <c r="C119" s="713"/>
      <c r="D119" s="713"/>
      <c r="E119" s="713"/>
      <c r="F119" s="714"/>
      <c r="G119" s="234"/>
      <c r="H119" s="707" t="s">
        <v>370</v>
      </c>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8"/>
      <c r="BV119" s="720"/>
      <c r="BW119" s="721"/>
      <c r="BX119" s="721"/>
      <c r="BY119" s="721"/>
      <c r="BZ119" s="721"/>
      <c r="CA119" s="721"/>
      <c r="CB119" s="721"/>
      <c r="CC119" s="721"/>
      <c r="CD119" s="721"/>
      <c r="CE119" s="721"/>
      <c r="CF119" s="721"/>
      <c r="CG119" s="721"/>
      <c r="CH119" s="721"/>
      <c r="CI119" s="721"/>
      <c r="CJ119" s="721"/>
      <c r="CK119" s="722"/>
      <c r="CL119" s="720"/>
      <c r="CM119" s="721"/>
      <c r="CN119" s="721"/>
      <c r="CO119" s="721"/>
      <c r="CP119" s="721"/>
      <c r="CQ119" s="721"/>
      <c r="CR119" s="721"/>
      <c r="CS119" s="721"/>
      <c r="CT119" s="721"/>
      <c r="CU119" s="721"/>
      <c r="CV119" s="721"/>
      <c r="CW119" s="721"/>
      <c r="CX119" s="721"/>
      <c r="CY119" s="721"/>
      <c r="CZ119" s="722"/>
      <c r="DA119" s="232"/>
    </row>
    <row r="120" spans="1:106" s="17" customFormat="1" ht="13.5" customHeight="1" x14ac:dyDescent="0.25">
      <c r="A120" s="659" t="s">
        <v>69</v>
      </c>
      <c r="B120" s="659"/>
      <c r="C120" s="659"/>
      <c r="D120" s="659"/>
      <c r="E120" s="659"/>
      <c r="F120" s="659"/>
      <c r="G120" s="213"/>
      <c r="H120" s="707" t="s">
        <v>371</v>
      </c>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8"/>
      <c r="BV120" s="573">
        <v>0</v>
      </c>
      <c r="BW120" s="573"/>
      <c r="BX120" s="573"/>
      <c r="BY120" s="573"/>
      <c r="BZ120" s="573"/>
      <c r="CA120" s="573"/>
      <c r="CB120" s="573"/>
      <c r="CC120" s="573"/>
      <c r="CD120" s="573"/>
      <c r="CE120" s="573"/>
      <c r="CF120" s="573"/>
      <c r="CG120" s="573"/>
      <c r="CH120" s="573"/>
      <c r="CI120" s="573"/>
      <c r="CJ120" s="573"/>
      <c r="CK120" s="573"/>
      <c r="CL120" s="573">
        <f>BV120*10%</f>
        <v>0</v>
      </c>
      <c r="CM120" s="573"/>
      <c r="CN120" s="573"/>
      <c r="CO120" s="573"/>
      <c r="CP120" s="573"/>
      <c r="CQ120" s="573"/>
      <c r="CR120" s="573"/>
      <c r="CS120" s="573"/>
      <c r="CT120" s="573"/>
      <c r="CU120" s="573"/>
      <c r="CV120" s="573"/>
      <c r="CW120" s="573"/>
      <c r="CX120" s="573"/>
      <c r="CY120" s="573"/>
      <c r="CZ120" s="573"/>
      <c r="DA120" s="232"/>
    </row>
    <row r="121" spans="1:106" s="17" customFormat="1" ht="26.25" customHeight="1" x14ac:dyDescent="0.25">
      <c r="A121" s="659" t="s">
        <v>70</v>
      </c>
      <c r="B121" s="659"/>
      <c r="C121" s="659"/>
      <c r="D121" s="659"/>
      <c r="E121" s="659"/>
      <c r="F121" s="659"/>
      <c r="G121" s="213"/>
      <c r="H121" s="707" t="s">
        <v>557</v>
      </c>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8"/>
      <c r="BV121" s="573"/>
      <c r="BW121" s="573"/>
      <c r="BX121" s="573"/>
      <c r="BY121" s="573"/>
      <c r="BZ121" s="573"/>
      <c r="CA121" s="573"/>
      <c r="CB121" s="573"/>
      <c r="CC121" s="573"/>
      <c r="CD121" s="573"/>
      <c r="CE121" s="573"/>
      <c r="CF121" s="573"/>
      <c r="CG121" s="573"/>
      <c r="CH121" s="573"/>
      <c r="CI121" s="573"/>
      <c r="CJ121" s="573"/>
      <c r="CK121" s="573"/>
      <c r="CL121" s="573"/>
      <c r="CM121" s="573"/>
      <c r="CN121" s="573"/>
      <c r="CO121" s="573"/>
      <c r="CP121" s="573"/>
      <c r="CQ121" s="573"/>
      <c r="CR121" s="573"/>
      <c r="CS121" s="573"/>
      <c r="CT121" s="573"/>
      <c r="CU121" s="573"/>
      <c r="CV121" s="573"/>
      <c r="CW121" s="573"/>
      <c r="CX121" s="573"/>
      <c r="CY121" s="573"/>
      <c r="CZ121" s="573"/>
      <c r="DA121" s="232"/>
    </row>
    <row r="122" spans="1:106" s="17" customFormat="1" ht="26.25" customHeight="1" x14ac:dyDescent="0.25">
      <c r="A122" s="659" t="s">
        <v>71</v>
      </c>
      <c r="B122" s="659"/>
      <c r="C122" s="659"/>
      <c r="D122" s="659"/>
      <c r="E122" s="659"/>
      <c r="F122" s="659"/>
      <c r="G122" s="213"/>
      <c r="H122" s="585" t="s">
        <v>373</v>
      </c>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5"/>
      <c r="AW122" s="585"/>
      <c r="AX122" s="585"/>
      <c r="AY122" s="585"/>
      <c r="AZ122" s="585"/>
      <c r="BA122" s="585"/>
      <c r="BB122" s="585"/>
      <c r="BC122" s="585"/>
      <c r="BD122" s="585"/>
      <c r="BE122" s="585"/>
      <c r="BF122" s="585"/>
      <c r="BG122" s="585"/>
      <c r="BH122" s="585"/>
      <c r="BI122" s="585"/>
      <c r="BJ122" s="585"/>
      <c r="BK122" s="585"/>
      <c r="BL122" s="585"/>
      <c r="BM122" s="585"/>
      <c r="BN122" s="585"/>
      <c r="BO122" s="585"/>
      <c r="BP122" s="585"/>
      <c r="BQ122" s="585"/>
      <c r="BR122" s="585"/>
      <c r="BS122" s="585"/>
      <c r="BT122" s="585"/>
      <c r="BU122" s="586"/>
      <c r="BV122" s="582" t="s">
        <v>4</v>
      </c>
      <c r="BW122" s="582"/>
      <c r="BX122" s="582"/>
      <c r="BY122" s="582"/>
      <c r="BZ122" s="582"/>
      <c r="CA122" s="582"/>
      <c r="CB122" s="582"/>
      <c r="CC122" s="582"/>
      <c r="CD122" s="582"/>
      <c r="CE122" s="582"/>
      <c r="CF122" s="582"/>
      <c r="CG122" s="582"/>
      <c r="CH122" s="582"/>
      <c r="CI122" s="582"/>
      <c r="CJ122" s="582"/>
      <c r="CK122" s="582"/>
      <c r="CL122" s="561">
        <f>CL123+CL126+CL125-0.01</f>
        <v>555.13594000000001</v>
      </c>
      <c r="CM122" s="561"/>
      <c r="CN122" s="561"/>
      <c r="CO122" s="561"/>
      <c r="CP122" s="561"/>
      <c r="CQ122" s="561"/>
      <c r="CR122" s="561"/>
      <c r="CS122" s="561"/>
      <c r="CT122" s="561"/>
      <c r="CU122" s="561"/>
      <c r="CV122" s="561"/>
      <c r="CW122" s="561"/>
      <c r="CX122" s="561"/>
      <c r="CY122" s="561"/>
      <c r="CZ122" s="561"/>
      <c r="DA122" s="232"/>
    </row>
    <row r="123" spans="1:106" s="17" customFormat="1" ht="12.75" customHeight="1" x14ac:dyDescent="0.25">
      <c r="A123" s="709" t="s">
        <v>72</v>
      </c>
      <c r="B123" s="710"/>
      <c r="C123" s="710"/>
      <c r="D123" s="710"/>
      <c r="E123" s="710"/>
      <c r="F123" s="711"/>
      <c r="G123" s="233"/>
      <c r="H123" s="715" t="s">
        <v>3</v>
      </c>
      <c r="I123" s="715"/>
      <c r="J123" s="715"/>
      <c r="K123" s="715"/>
      <c r="L123" s="715"/>
      <c r="M123" s="715"/>
      <c r="N123" s="715"/>
      <c r="O123" s="715"/>
      <c r="P123" s="715"/>
      <c r="Q123" s="715"/>
      <c r="R123" s="715"/>
      <c r="S123" s="715"/>
      <c r="T123" s="715"/>
      <c r="U123" s="715"/>
      <c r="V123" s="715"/>
      <c r="W123" s="715"/>
      <c r="X123" s="715"/>
      <c r="Y123" s="715"/>
      <c r="Z123" s="715"/>
      <c r="AA123" s="715"/>
      <c r="AB123" s="715"/>
      <c r="AC123" s="715"/>
      <c r="AD123" s="715"/>
      <c r="AE123" s="715"/>
      <c r="AF123" s="715"/>
      <c r="AG123" s="715"/>
      <c r="AH123" s="715"/>
      <c r="AI123" s="715"/>
      <c r="AJ123" s="715"/>
      <c r="AK123" s="715"/>
      <c r="AL123" s="715"/>
      <c r="AM123" s="715"/>
      <c r="AN123" s="715"/>
      <c r="AO123" s="715"/>
      <c r="AP123" s="715"/>
      <c r="AQ123" s="715"/>
      <c r="AR123" s="715"/>
      <c r="AS123" s="715"/>
      <c r="AT123" s="715"/>
      <c r="AU123" s="715"/>
      <c r="AV123" s="715"/>
      <c r="AW123" s="715"/>
      <c r="AX123" s="715"/>
      <c r="AY123" s="715"/>
      <c r="AZ123" s="715"/>
      <c r="BA123" s="715"/>
      <c r="BB123" s="715"/>
      <c r="BC123" s="715"/>
      <c r="BD123" s="715"/>
      <c r="BE123" s="715"/>
      <c r="BF123" s="715"/>
      <c r="BG123" s="715"/>
      <c r="BH123" s="715"/>
      <c r="BI123" s="715"/>
      <c r="BJ123" s="715"/>
      <c r="BK123" s="715"/>
      <c r="BL123" s="715"/>
      <c r="BM123" s="715"/>
      <c r="BN123" s="715"/>
      <c r="BO123" s="715"/>
      <c r="BP123" s="715"/>
      <c r="BQ123" s="715"/>
      <c r="BR123" s="715"/>
      <c r="BS123" s="715"/>
      <c r="BT123" s="715"/>
      <c r="BU123" s="716"/>
      <c r="BV123" s="717">
        <v>277572.96999999997</v>
      </c>
      <c r="BW123" s="718"/>
      <c r="BX123" s="718"/>
      <c r="BY123" s="718"/>
      <c r="BZ123" s="718"/>
      <c r="CA123" s="718"/>
      <c r="CB123" s="718"/>
      <c r="CC123" s="718"/>
      <c r="CD123" s="718"/>
      <c r="CE123" s="718"/>
      <c r="CF123" s="718"/>
      <c r="CG123" s="718"/>
      <c r="CH123" s="718"/>
      <c r="CI123" s="718"/>
      <c r="CJ123" s="718"/>
      <c r="CK123" s="719"/>
      <c r="CL123" s="717">
        <f>BV123*0.2%</f>
        <v>555.14594</v>
      </c>
      <c r="CM123" s="718"/>
      <c r="CN123" s="718"/>
      <c r="CO123" s="718"/>
      <c r="CP123" s="718"/>
      <c r="CQ123" s="718"/>
      <c r="CR123" s="718"/>
      <c r="CS123" s="718"/>
      <c r="CT123" s="718"/>
      <c r="CU123" s="718"/>
      <c r="CV123" s="718"/>
      <c r="CW123" s="718"/>
      <c r="CX123" s="718"/>
      <c r="CY123" s="718"/>
      <c r="CZ123" s="719"/>
      <c r="DA123" s="232"/>
    </row>
    <row r="124" spans="1:106" s="17" customFormat="1" ht="13.2" customHeight="1" x14ac:dyDescent="0.25">
      <c r="A124" s="712"/>
      <c r="B124" s="713"/>
      <c r="C124" s="713"/>
      <c r="D124" s="713"/>
      <c r="E124" s="713"/>
      <c r="F124" s="714"/>
      <c r="G124" s="234"/>
      <c r="H124" s="707" t="s">
        <v>374</v>
      </c>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7"/>
      <c r="AY124" s="707"/>
      <c r="AZ124" s="707"/>
      <c r="BA124" s="707"/>
      <c r="BB124" s="707"/>
      <c r="BC124" s="707"/>
      <c r="BD124" s="707"/>
      <c r="BE124" s="707"/>
      <c r="BF124" s="707"/>
      <c r="BG124" s="707"/>
      <c r="BH124" s="707"/>
      <c r="BI124" s="707"/>
      <c r="BJ124" s="707"/>
      <c r="BK124" s="707"/>
      <c r="BL124" s="707"/>
      <c r="BM124" s="707"/>
      <c r="BN124" s="707"/>
      <c r="BO124" s="707"/>
      <c r="BP124" s="707"/>
      <c r="BQ124" s="707"/>
      <c r="BR124" s="707"/>
      <c r="BS124" s="707"/>
      <c r="BT124" s="707"/>
      <c r="BU124" s="708"/>
      <c r="BV124" s="720"/>
      <c r="BW124" s="721"/>
      <c r="BX124" s="721"/>
      <c r="BY124" s="721"/>
      <c r="BZ124" s="721"/>
      <c r="CA124" s="721"/>
      <c r="CB124" s="721"/>
      <c r="CC124" s="721"/>
      <c r="CD124" s="721"/>
      <c r="CE124" s="721"/>
      <c r="CF124" s="721"/>
      <c r="CG124" s="721"/>
      <c r="CH124" s="721"/>
      <c r="CI124" s="721"/>
      <c r="CJ124" s="721"/>
      <c r="CK124" s="722"/>
      <c r="CL124" s="720"/>
      <c r="CM124" s="721"/>
      <c r="CN124" s="721"/>
      <c r="CO124" s="721"/>
      <c r="CP124" s="721"/>
      <c r="CQ124" s="721"/>
      <c r="CR124" s="721"/>
      <c r="CS124" s="721"/>
      <c r="CT124" s="721"/>
      <c r="CU124" s="721"/>
      <c r="CV124" s="721"/>
      <c r="CW124" s="721"/>
      <c r="CX124" s="721"/>
      <c r="CY124" s="721"/>
      <c r="CZ124" s="722"/>
      <c r="DA124" s="232"/>
    </row>
    <row r="125" spans="1:106" s="17" customFormat="1" ht="12" customHeight="1" x14ac:dyDescent="0.25">
      <c r="A125" s="659" t="s">
        <v>73</v>
      </c>
      <c r="B125" s="659"/>
      <c r="C125" s="659"/>
      <c r="D125" s="659"/>
      <c r="E125" s="659"/>
      <c r="F125" s="659"/>
      <c r="G125" s="213"/>
      <c r="H125" s="707" t="s">
        <v>375</v>
      </c>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8"/>
      <c r="BV125" s="573"/>
      <c r="BW125" s="573"/>
      <c r="BX125" s="573"/>
      <c r="BY125" s="573"/>
      <c r="BZ125" s="573"/>
      <c r="CA125" s="573"/>
      <c r="CB125" s="573"/>
      <c r="CC125" s="573"/>
      <c r="CD125" s="573"/>
      <c r="CE125" s="573"/>
      <c r="CF125" s="573"/>
      <c r="CG125" s="573"/>
      <c r="CH125" s="573"/>
      <c r="CI125" s="573"/>
      <c r="CJ125" s="573"/>
      <c r="CK125" s="573"/>
      <c r="CL125" s="573"/>
      <c r="CM125" s="573"/>
      <c r="CN125" s="573"/>
      <c r="CO125" s="573"/>
      <c r="CP125" s="573"/>
      <c r="CQ125" s="573"/>
      <c r="CR125" s="573"/>
      <c r="CS125" s="573"/>
      <c r="CT125" s="573"/>
      <c r="CU125" s="573"/>
      <c r="CV125" s="573"/>
      <c r="CW125" s="573"/>
      <c r="CX125" s="573"/>
      <c r="CY125" s="573"/>
      <c r="CZ125" s="573"/>
      <c r="DA125" s="232"/>
    </row>
    <row r="126" spans="1:106" s="17" customFormat="1" ht="12.6" customHeight="1" x14ac:dyDescent="0.25">
      <c r="A126" s="659" t="s">
        <v>74</v>
      </c>
      <c r="B126" s="659"/>
      <c r="C126" s="659"/>
      <c r="D126" s="659"/>
      <c r="E126" s="659"/>
      <c r="F126" s="659"/>
      <c r="G126" s="213"/>
      <c r="H126" s="707" t="s">
        <v>375</v>
      </c>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c r="BA126" s="707"/>
      <c r="BB126" s="707"/>
      <c r="BC126" s="707"/>
      <c r="BD126" s="707"/>
      <c r="BE126" s="707"/>
      <c r="BF126" s="707"/>
      <c r="BG126" s="707"/>
      <c r="BH126" s="707"/>
      <c r="BI126" s="707"/>
      <c r="BJ126" s="707"/>
      <c r="BK126" s="707"/>
      <c r="BL126" s="707"/>
      <c r="BM126" s="707"/>
      <c r="BN126" s="707"/>
      <c r="BO126" s="707"/>
      <c r="BP126" s="707"/>
      <c r="BQ126" s="707"/>
      <c r="BR126" s="707"/>
      <c r="BS126" s="707"/>
      <c r="BT126" s="707"/>
      <c r="BU126" s="708"/>
      <c r="BV126" s="573"/>
      <c r="BW126" s="573"/>
      <c r="BX126" s="573"/>
      <c r="BY126" s="573"/>
      <c r="BZ126" s="573"/>
      <c r="CA126" s="573"/>
      <c r="CB126" s="573"/>
      <c r="CC126" s="573"/>
      <c r="CD126" s="573"/>
      <c r="CE126" s="573"/>
      <c r="CF126" s="573"/>
      <c r="CG126" s="573"/>
      <c r="CH126" s="573"/>
      <c r="CI126" s="573"/>
      <c r="CJ126" s="573"/>
      <c r="CK126" s="573"/>
      <c r="CL126" s="573"/>
      <c r="CM126" s="573"/>
      <c r="CN126" s="573"/>
      <c r="CO126" s="573"/>
      <c r="CP126" s="573"/>
      <c r="CQ126" s="573"/>
      <c r="CR126" s="573"/>
      <c r="CS126" s="573"/>
      <c r="CT126" s="573"/>
      <c r="CU126" s="573"/>
      <c r="CV126" s="573"/>
      <c r="CW126" s="573"/>
      <c r="CX126" s="573"/>
      <c r="CY126" s="573"/>
      <c r="CZ126" s="573"/>
      <c r="DA126" s="232"/>
    </row>
    <row r="127" spans="1:106" s="17" customFormat="1" ht="13.2" x14ac:dyDescent="0.25">
      <c r="A127" s="659"/>
      <c r="B127" s="659"/>
      <c r="C127" s="659"/>
      <c r="D127" s="659"/>
      <c r="E127" s="659"/>
      <c r="F127" s="659"/>
      <c r="G127" s="607" t="s">
        <v>292</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8"/>
      <c r="AY127" s="608"/>
      <c r="AZ127" s="608"/>
      <c r="BA127" s="608"/>
      <c r="BB127" s="608"/>
      <c r="BC127" s="608"/>
      <c r="BD127" s="608"/>
      <c r="BE127" s="608"/>
      <c r="BF127" s="608"/>
      <c r="BG127" s="608"/>
      <c r="BH127" s="608"/>
      <c r="BI127" s="608"/>
      <c r="BJ127" s="608"/>
      <c r="BK127" s="608"/>
      <c r="BL127" s="608"/>
      <c r="BM127" s="608"/>
      <c r="BN127" s="608"/>
      <c r="BO127" s="608"/>
      <c r="BP127" s="608"/>
      <c r="BQ127" s="608"/>
      <c r="BR127" s="608"/>
      <c r="BS127" s="608"/>
      <c r="BT127" s="608"/>
      <c r="BU127" s="609"/>
      <c r="BV127" s="560" t="s">
        <v>4</v>
      </c>
      <c r="BW127" s="560"/>
      <c r="BX127" s="560"/>
      <c r="BY127" s="560"/>
      <c r="BZ127" s="560"/>
      <c r="CA127" s="560"/>
      <c r="CB127" s="560"/>
      <c r="CC127" s="560"/>
      <c r="CD127" s="560"/>
      <c r="CE127" s="560"/>
      <c r="CF127" s="560"/>
      <c r="CG127" s="560"/>
      <c r="CH127" s="560"/>
      <c r="CI127" s="560"/>
      <c r="CJ127" s="560"/>
      <c r="CK127" s="560"/>
      <c r="CL127" s="611">
        <f>CL117+CL122</f>
        <v>83827.026939999982</v>
      </c>
      <c r="CM127" s="611"/>
      <c r="CN127" s="611"/>
      <c r="CO127" s="611"/>
      <c r="CP127" s="611"/>
      <c r="CQ127" s="611"/>
      <c r="CR127" s="611"/>
      <c r="CS127" s="611"/>
      <c r="CT127" s="611"/>
      <c r="CU127" s="611"/>
      <c r="CV127" s="611"/>
      <c r="CW127" s="611"/>
      <c r="CX127" s="611"/>
      <c r="CY127" s="611"/>
      <c r="CZ127" s="611"/>
      <c r="DA127" s="235"/>
    </row>
    <row r="128" spans="1:106" s="17" customFormat="1" ht="13.2" hidden="1" x14ac:dyDescent="0.25">
      <c r="A128" s="648" t="s">
        <v>567</v>
      </c>
      <c r="B128" s="649"/>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49"/>
      <c r="BC128" s="649"/>
      <c r="BD128" s="649"/>
      <c r="BE128" s="649"/>
      <c r="BF128" s="649"/>
      <c r="BG128" s="649"/>
      <c r="BH128" s="649"/>
      <c r="BI128" s="649"/>
      <c r="BJ128" s="649"/>
      <c r="BK128" s="649"/>
      <c r="BL128" s="649"/>
      <c r="BM128" s="649"/>
      <c r="BN128" s="649"/>
      <c r="BO128" s="649"/>
      <c r="BP128" s="649"/>
      <c r="BQ128" s="649"/>
      <c r="BR128" s="649"/>
      <c r="BS128" s="649"/>
      <c r="BT128" s="649"/>
      <c r="BU128" s="649"/>
      <c r="BV128" s="649"/>
      <c r="BW128" s="649"/>
      <c r="BX128" s="649"/>
      <c r="BY128" s="649"/>
      <c r="BZ128" s="649"/>
      <c r="CA128" s="649"/>
      <c r="CB128" s="649"/>
      <c r="CC128" s="649"/>
      <c r="CD128" s="649"/>
      <c r="CE128" s="649"/>
      <c r="CF128" s="649"/>
      <c r="CG128" s="649"/>
      <c r="CH128" s="649"/>
      <c r="CI128" s="649"/>
      <c r="CJ128" s="649"/>
      <c r="CK128" s="649"/>
      <c r="CL128" s="649"/>
      <c r="CM128" s="649"/>
      <c r="CN128" s="649"/>
      <c r="CO128" s="649"/>
      <c r="CP128" s="649"/>
      <c r="CQ128" s="649"/>
      <c r="CR128" s="649"/>
      <c r="CS128" s="649"/>
      <c r="CT128" s="649"/>
      <c r="CU128" s="649"/>
      <c r="CV128" s="649"/>
      <c r="CW128" s="649"/>
      <c r="CX128" s="649"/>
      <c r="CY128" s="649"/>
      <c r="CZ128" s="649"/>
      <c r="DA128" s="232"/>
    </row>
    <row r="129" spans="1:105" s="17" customFormat="1" ht="13.2" hidden="1" x14ac:dyDescent="0.25">
      <c r="A129" s="659" t="s">
        <v>67</v>
      </c>
      <c r="B129" s="659"/>
      <c r="C129" s="659"/>
      <c r="D129" s="659"/>
      <c r="E129" s="659"/>
      <c r="F129" s="659"/>
      <c r="G129" s="213"/>
      <c r="H129" s="585" t="s">
        <v>554</v>
      </c>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5"/>
      <c r="AY129" s="585"/>
      <c r="AZ129" s="585"/>
      <c r="BA129" s="585"/>
      <c r="BB129" s="585"/>
      <c r="BC129" s="585"/>
      <c r="BD129" s="585"/>
      <c r="BE129" s="585"/>
      <c r="BF129" s="585"/>
      <c r="BG129" s="585"/>
      <c r="BH129" s="585"/>
      <c r="BI129" s="585"/>
      <c r="BJ129" s="585"/>
      <c r="BK129" s="585"/>
      <c r="BL129" s="585"/>
      <c r="BM129" s="585"/>
      <c r="BN129" s="585"/>
      <c r="BO129" s="585"/>
      <c r="BP129" s="585"/>
      <c r="BQ129" s="585"/>
      <c r="BR129" s="585"/>
      <c r="BS129" s="585"/>
      <c r="BT129" s="585"/>
      <c r="BU129" s="586"/>
      <c r="BV129" s="582" t="s">
        <v>4</v>
      </c>
      <c r="BW129" s="582"/>
      <c r="BX129" s="582"/>
      <c r="BY129" s="582"/>
      <c r="BZ129" s="582"/>
      <c r="CA129" s="582"/>
      <c r="CB129" s="582"/>
      <c r="CC129" s="582"/>
      <c r="CD129" s="582"/>
      <c r="CE129" s="582"/>
      <c r="CF129" s="582"/>
      <c r="CG129" s="582"/>
      <c r="CH129" s="582"/>
      <c r="CI129" s="582"/>
      <c r="CJ129" s="582"/>
      <c r="CK129" s="582"/>
      <c r="CL129" s="561">
        <f>CL130+CL132</f>
        <v>0</v>
      </c>
      <c r="CM129" s="561"/>
      <c r="CN129" s="561"/>
      <c r="CO129" s="561"/>
      <c r="CP129" s="561"/>
      <c r="CQ129" s="561"/>
      <c r="CR129" s="561"/>
      <c r="CS129" s="561"/>
      <c r="CT129" s="561"/>
      <c r="CU129" s="561"/>
      <c r="CV129" s="561"/>
      <c r="CW129" s="561"/>
      <c r="CX129" s="561"/>
      <c r="CY129" s="561"/>
      <c r="CZ129" s="561"/>
      <c r="DA129" s="232"/>
    </row>
    <row r="130" spans="1:105" s="17" customFormat="1" ht="13.2" hidden="1" x14ac:dyDescent="0.25">
      <c r="A130" s="709" t="s">
        <v>68</v>
      </c>
      <c r="B130" s="710"/>
      <c r="C130" s="710"/>
      <c r="D130" s="710"/>
      <c r="E130" s="710"/>
      <c r="F130" s="711"/>
      <c r="G130" s="233"/>
      <c r="H130" s="715" t="s">
        <v>3</v>
      </c>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5"/>
      <c r="AY130" s="715"/>
      <c r="AZ130" s="715"/>
      <c r="BA130" s="715"/>
      <c r="BB130" s="715"/>
      <c r="BC130" s="715"/>
      <c r="BD130" s="715"/>
      <c r="BE130" s="715"/>
      <c r="BF130" s="715"/>
      <c r="BG130" s="715"/>
      <c r="BH130" s="715"/>
      <c r="BI130" s="715"/>
      <c r="BJ130" s="715"/>
      <c r="BK130" s="715"/>
      <c r="BL130" s="715"/>
      <c r="BM130" s="715"/>
      <c r="BN130" s="715"/>
      <c r="BO130" s="715"/>
      <c r="BP130" s="715"/>
      <c r="BQ130" s="715"/>
      <c r="BR130" s="715"/>
      <c r="BS130" s="715"/>
      <c r="BT130" s="715"/>
      <c r="BU130" s="716"/>
      <c r="BV130" s="717">
        <f>BV141</f>
        <v>0</v>
      </c>
      <c r="BW130" s="718"/>
      <c r="BX130" s="718"/>
      <c r="BY130" s="718"/>
      <c r="BZ130" s="718"/>
      <c r="CA130" s="718"/>
      <c r="CB130" s="718"/>
      <c r="CC130" s="718"/>
      <c r="CD130" s="718"/>
      <c r="CE130" s="718"/>
      <c r="CF130" s="718"/>
      <c r="CG130" s="718"/>
      <c r="CH130" s="718"/>
      <c r="CI130" s="718"/>
      <c r="CJ130" s="718"/>
      <c r="CK130" s="719"/>
      <c r="CL130" s="717">
        <f>BV130*22%</f>
        <v>0</v>
      </c>
      <c r="CM130" s="718"/>
      <c r="CN130" s="718"/>
      <c r="CO130" s="718"/>
      <c r="CP130" s="718"/>
      <c r="CQ130" s="718"/>
      <c r="CR130" s="718"/>
      <c r="CS130" s="718"/>
      <c r="CT130" s="718"/>
      <c r="CU130" s="718"/>
      <c r="CV130" s="718"/>
      <c r="CW130" s="718"/>
      <c r="CX130" s="718"/>
      <c r="CY130" s="718"/>
      <c r="CZ130" s="719"/>
      <c r="DA130" s="232"/>
    </row>
    <row r="131" spans="1:105" s="17" customFormat="1" ht="13.2" hidden="1" x14ac:dyDescent="0.25">
      <c r="A131" s="712"/>
      <c r="B131" s="713"/>
      <c r="C131" s="713"/>
      <c r="D131" s="713"/>
      <c r="E131" s="713"/>
      <c r="F131" s="714"/>
      <c r="G131" s="234"/>
      <c r="H131" s="723" t="s">
        <v>555</v>
      </c>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3"/>
      <c r="AR131" s="723"/>
      <c r="AS131" s="723"/>
      <c r="AT131" s="723"/>
      <c r="AU131" s="723"/>
      <c r="AV131" s="723"/>
      <c r="AW131" s="723"/>
      <c r="AX131" s="723"/>
      <c r="AY131" s="723"/>
      <c r="AZ131" s="723"/>
      <c r="BA131" s="723"/>
      <c r="BB131" s="723"/>
      <c r="BC131" s="723"/>
      <c r="BD131" s="723"/>
      <c r="BE131" s="723"/>
      <c r="BF131" s="723"/>
      <c r="BG131" s="723"/>
      <c r="BH131" s="723"/>
      <c r="BI131" s="723"/>
      <c r="BJ131" s="723"/>
      <c r="BK131" s="723"/>
      <c r="BL131" s="723"/>
      <c r="BM131" s="723"/>
      <c r="BN131" s="723"/>
      <c r="BO131" s="723"/>
      <c r="BP131" s="723"/>
      <c r="BQ131" s="723"/>
      <c r="BR131" s="723"/>
      <c r="BS131" s="723"/>
      <c r="BT131" s="723"/>
      <c r="BU131" s="724"/>
      <c r="BV131" s="720"/>
      <c r="BW131" s="721"/>
      <c r="BX131" s="721"/>
      <c r="BY131" s="721"/>
      <c r="BZ131" s="721"/>
      <c r="CA131" s="721"/>
      <c r="CB131" s="721"/>
      <c r="CC131" s="721"/>
      <c r="CD131" s="721"/>
      <c r="CE131" s="721"/>
      <c r="CF131" s="721"/>
      <c r="CG131" s="721"/>
      <c r="CH131" s="721"/>
      <c r="CI131" s="721"/>
      <c r="CJ131" s="721"/>
      <c r="CK131" s="722"/>
      <c r="CL131" s="720"/>
      <c r="CM131" s="721"/>
      <c r="CN131" s="721"/>
      <c r="CO131" s="721"/>
      <c r="CP131" s="721"/>
      <c r="CQ131" s="721"/>
      <c r="CR131" s="721"/>
      <c r="CS131" s="721"/>
      <c r="CT131" s="721"/>
      <c r="CU131" s="721"/>
      <c r="CV131" s="721"/>
      <c r="CW131" s="721"/>
      <c r="CX131" s="721"/>
      <c r="CY131" s="721"/>
      <c r="CZ131" s="722"/>
      <c r="DA131" s="232"/>
    </row>
    <row r="132" spans="1:105" s="17" customFormat="1" ht="13.2" hidden="1" x14ac:dyDescent="0.25">
      <c r="A132" s="659" t="s">
        <v>69</v>
      </c>
      <c r="B132" s="659"/>
      <c r="C132" s="659"/>
      <c r="D132" s="659"/>
      <c r="E132" s="659"/>
      <c r="F132" s="659"/>
      <c r="G132" s="213"/>
      <c r="H132" s="707" t="s">
        <v>556</v>
      </c>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c r="BA132" s="707"/>
      <c r="BB132" s="707"/>
      <c r="BC132" s="707"/>
      <c r="BD132" s="707"/>
      <c r="BE132" s="707"/>
      <c r="BF132" s="707"/>
      <c r="BG132" s="707"/>
      <c r="BH132" s="707"/>
      <c r="BI132" s="707"/>
      <c r="BJ132" s="707"/>
      <c r="BK132" s="707"/>
      <c r="BL132" s="707"/>
      <c r="BM132" s="707"/>
      <c r="BN132" s="707"/>
      <c r="BO132" s="707"/>
      <c r="BP132" s="707"/>
      <c r="BQ132" s="707"/>
      <c r="BR132" s="707"/>
      <c r="BS132" s="707"/>
      <c r="BT132" s="707"/>
      <c r="BU132" s="708"/>
      <c r="BV132" s="573">
        <v>0</v>
      </c>
      <c r="BW132" s="573"/>
      <c r="BX132" s="573"/>
      <c r="BY132" s="573"/>
      <c r="BZ132" s="573"/>
      <c r="CA132" s="573"/>
      <c r="CB132" s="573"/>
      <c r="CC132" s="573"/>
      <c r="CD132" s="573"/>
      <c r="CE132" s="573"/>
      <c r="CF132" s="573"/>
      <c r="CG132" s="573"/>
      <c r="CH132" s="573"/>
      <c r="CI132" s="573"/>
      <c r="CJ132" s="573"/>
      <c r="CK132" s="573"/>
      <c r="CL132" s="573">
        <f>BV132*10%</f>
        <v>0</v>
      </c>
      <c r="CM132" s="573"/>
      <c r="CN132" s="573"/>
      <c r="CO132" s="573"/>
      <c r="CP132" s="573"/>
      <c r="CQ132" s="573"/>
      <c r="CR132" s="573"/>
      <c r="CS132" s="573"/>
      <c r="CT132" s="573"/>
      <c r="CU132" s="573"/>
      <c r="CV132" s="573"/>
      <c r="CW132" s="573"/>
      <c r="CX132" s="573"/>
      <c r="CY132" s="573"/>
      <c r="CZ132" s="573"/>
      <c r="DA132" s="232"/>
    </row>
    <row r="133" spans="1:105" s="17" customFormat="1" ht="13.2" hidden="1" x14ac:dyDescent="0.25">
      <c r="A133" s="659" t="s">
        <v>70</v>
      </c>
      <c r="B133" s="659"/>
      <c r="C133" s="659"/>
      <c r="D133" s="659"/>
      <c r="E133" s="659"/>
      <c r="F133" s="659"/>
      <c r="G133" s="213"/>
      <c r="H133" s="707" t="s">
        <v>557</v>
      </c>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707"/>
      <c r="BF133" s="707"/>
      <c r="BG133" s="707"/>
      <c r="BH133" s="707"/>
      <c r="BI133" s="707"/>
      <c r="BJ133" s="707"/>
      <c r="BK133" s="707"/>
      <c r="BL133" s="707"/>
      <c r="BM133" s="707"/>
      <c r="BN133" s="707"/>
      <c r="BO133" s="707"/>
      <c r="BP133" s="707"/>
      <c r="BQ133" s="707"/>
      <c r="BR133" s="707"/>
      <c r="BS133" s="707"/>
      <c r="BT133" s="707"/>
      <c r="BU133" s="708"/>
      <c r="BV133" s="573"/>
      <c r="BW133" s="573"/>
      <c r="BX133" s="573"/>
      <c r="BY133" s="573"/>
      <c r="BZ133" s="573"/>
      <c r="CA133" s="573"/>
      <c r="CB133" s="573"/>
      <c r="CC133" s="573"/>
      <c r="CD133" s="573"/>
      <c r="CE133" s="573"/>
      <c r="CF133" s="573"/>
      <c r="CG133" s="573"/>
      <c r="CH133" s="573"/>
      <c r="CI133" s="573"/>
      <c r="CJ133" s="573"/>
      <c r="CK133" s="573"/>
      <c r="CL133" s="573"/>
      <c r="CM133" s="573"/>
      <c r="CN133" s="573"/>
      <c r="CO133" s="573"/>
      <c r="CP133" s="573"/>
      <c r="CQ133" s="573"/>
      <c r="CR133" s="573"/>
      <c r="CS133" s="573"/>
      <c r="CT133" s="573"/>
      <c r="CU133" s="573"/>
      <c r="CV133" s="573"/>
      <c r="CW133" s="573"/>
      <c r="CX133" s="573"/>
      <c r="CY133" s="573"/>
      <c r="CZ133" s="573"/>
      <c r="DA133" s="232"/>
    </row>
    <row r="134" spans="1:105" s="17" customFormat="1" ht="13.2" hidden="1" x14ac:dyDescent="0.25">
      <c r="A134" s="659" t="s">
        <v>71</v>
      </c>
      <c r="B134" s="659"/>
      <c r="C134" s="659"/>
      <c r="D134" s="659"/>
      <c r="E134" s="659"/>
      <c r="F134" s="659"/>
      <c r="G134" s="213"/>
      <c r="H134" s="585" t="s">
        <v>558</v>
      </c>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5"/>
      <c r="AY134" s="585"/>
      <c r="AZ134" s="585"/>
      <c r="BA134" s="585"/>
      <c r="BB134" s="585"/>
      <c r="BC134" s="585"/>
      <c r="BD134" s="585"/>
      <c r="BE134" s="585"/>
      <c r="BF134" s="585"/>
      <c r="BG134" s="585"/>
      <c r="BH134" s="585"/>
      <c r="BI134" s="585"/>
      <c r="BJ134" s="585"/>
      <c r="BK134" s="585"/>
      <c r="BL134" s="585"/>
      <c r="BM134" s="585"/>
      <c r="BN134" s="585"/>
      <c r="BO134" s="585"/>
      <c r="BP134" s="585"/>
      <c r="BQ134" s="585"/>
      <c r="BR134" s="585"/>
      <c r="BS134" s="585"/>
      <c r="BT134" s="585"/>
      <c r="BU134" s="586"/>
      <c r="BV134" s="582" t="s">
        <v>4</v>
      </c>
      <c r="BW134" s="582"/>
      <c r="BX134" s="582"/>
      <c r="BY134" s="582"/>
      <c r="BZ134" s="582"/>
      <c r="CA134" s="582"/>
      <c r="CB134" s="582"/>
      <c r="CC134" s="582"/>
      <c r="CD134" s="582"/>
      <c r="CE134" s="582"/>
      <c r="CF134" s="582"/>
      <c r="CG134" s="582"/>
      <c r="CH134" s="582"/>
      <c r="CI134" s="582"/>
      <c r="CJ134" s="582"/>
      <c r="CK134" s="582"/>
      <c r="CL134" s="561">
        <f>CL135+CL138+CL137</f>
        <v>0</v>
      </c>
      <c r="CM134" s="561"/>
      <c r="CN134" s="561"/>
      <c r="CO134" s="561"/>
      <c r="CP134" s="561"/>
      <c r="CQ134" s="561"/>
      <c r="CR134" s="561"/>
      <c r="CS134" s="561"/>
      <c r="CT134" s="561"/>
      <c r="CU134" s="561"/>
      <c r="CV134" s="561"/>
      <c r="CW134" s="561"/>
      <c r="CX134" s="561"/>
      <c r="CY134" s="561"/>
      <c r="CZ134" s="561"/>
      <c r="DA134" s="232"/>
    </row>
    <row r="135" spans="1:105" s="17" customFormat="1" ht="13.2" hidden="1" x14ac:dyDescent="0.25">
      <c r="A135" s="709" t="s">
        <v>72</v>
      </c>
      <c r="B135" s="710"/>
      <c r="C135" s="710"/>
      <c r="D135" s="710"/>
      <c r="E135" s="710"/>
      <c r="F135" s="711"/>
      <c r="G135" s="233"/>
      <c r="H135" s="715" t="s">
        <v>3</v>
      </c>
      <c r="I135" s="715"/>
      <c r="J135" s="715"/>
      <c r="K135" s="715"/>
      <c r="L135" s="715"/>
      <c r="M135" s="715"/>
      <c r="N135" s="715"/>
      <c r="O135" s="715"/>
      <c r="P135" s="715"/>
      <c r="Q135" s="715"/>
      <c r="R135" s="715"/>
      <c r="S135" s="715"/>
      <c r="T135" s="715"/>
      <c r="U135" s="715"/>
      <c r="V135" s="715"/>
      <c r="W135" s="715"/>
      <c r="X135" s="715"/>
      <c r="Y135" s="715"/>
      <c r="Z135" s="715"/>
      <c r="AA135" s="715"/>
      <c r="AB135" s="715"/>
      <c r="AC135" s="715"/>
      <c r="AD135" s="715"/>
      <c r="AE135" s="715"/>
      <c r="AF135" s="715"/>
      <c r="AG135" s="715"/>
      <c r="AH135" s="715"/>
      <c r="AI135" s="715"/>
      <c r="AJ135" s="715"/>
      <c r="AK135" s="715"/>
      <c r="AL135" s="715"/>
      <c r="AM135" s="715"/>
      <c r="AN135" s="715"/>
      <c r="AO135" s="715"/>
      <c r="AP135" s="715"/>
      <c r="AQ135" s="715"/>
      <c r="AR135" s="715"/>
      <c r="AS135" s="715"/>
      <c r="AT135" s="715"/>
      <c r="AU135" s="715"/>
      <c r="AV135" s="715"/>
      <c r="AW135" s="715"/>
      <c r="AX135" s="715"/>
      <c r="AY135" s="715"/>
      <c r="AZ135" s="715"/>
      <c r="BA135" s="715"/>
      <c r="BB135" s="715"/>
      <c r="BC135" s="715"/>
      <c r="BD135" s="715"/>
      <c r="BE135" s="715"/>
      <c r="BF135" s="715"/>
      <c r="BG135" s="715"/>
      <c r="BH135" s="715"/>
      <c r="BI135" s="715"/>
      <c r="BJ135" s="715"/>
      <c r="BK135" s="715"/>
      <c r="BL135" s="715"/>
      <c r="BM135" s="715"/>
      <c r="BN135" s="715"/>
      <c r="BO135" s="715"/>
      <c r="BP135" s="715"/>
      <c r="BQ135" s="715"/>
      <c r="BR135" s="715"/>
      <c r="BS135" s="715"/>
      <c r="BT135" s="715"/>
      <c r="BU135" s="716"/>
      <c r="BV135" s="717">
        <f>BV141</f>
        <v>0</v>
      </c>
      <c r="BW135" s="718"/>
      <c r="BX135" s="718"/>
      <c r="BY135" s="718"/>
      <c r="BZ135" s="718"/>
      <c r="CA135" s="718"/>
      <c r="CB135" s="718"/>
      <c r="CC135" s="718"/>
      <c r="CD135" s="718"/>
      <c r="CE135" s="718"/>
      <c r="CF135" s="718"/>
      <c r="CG135" s="718"/>
      <c r="CH135" s="718"/>
      <c r="CI135" s="718"/>
      <c r="CJ135" s="718"/>
      <c r="CK135" s="719"/>
      <c r="CL135" s="717">
        <f>BV135*2.9%</f>
        <v>0</v>
      </c>
      <c r="CM135" s="718"/>
      <c r="CN135" s="718"/>
      <c r="CO135" s="718"/>
      <c r="CP135" s="718"/>
      <c r="CQ135" s="718"/>
      <c r="CR135" s="718"/>
      <c r="CS135" s="718"/>
      <c r="CT135" s="718"/>
      <c r="CU135" s="718"/>
      <c r="CV135" s="718"/>
      <c r="CW135" s="718"/>
      <c r="CX135" s="718"/>
      <c r="CY135" s="718"/>
      <c r="CZ135" s="719"/>
      <c r="DA135" s="232"/>
    </row>
    <row r="136" spans="1:105" s="17" customFormat="1" ht="13.2" hidden="1" x14ac:dyDescent="0.25">
      <c r="A136" s="712"/>
      <c r="B136" s="713"/>
      <c r="C136" s="713"/>
      <c r="D136" s="713"/>
      <c r="E136" s="713"/>
      <c r="F136" s="714"/>
      <c r="G136" s="234"/>
      <c r="H136" s="723" t="s">
        <v>559</v>
      </c>
      <c r="I136" s="723"/>
      <c r="J136" s="723"/>
      <c r="K136" s="723"/>
      <c r="L136" s="723"/>
      <c r="M136" s="723"/>
      <c r="N136" s="723"/>
      <c r="O136" s="723"/>
      <c r="P136" s="723"/>
      <c r="Q136" s="723"/>
      <c r="R136" s="723"/>
      <c r="S136" s="723"/>
      <c r="T136" s="723"/>
      <c r="U136" s="723"/>
      <c r="V136" s="723"/>
      <c r="W136" s="723"/>
      <c r="X136" s="723"/>
      <c r="Y136" s="723"/>
      <c r="Z136" s="723"/>
      <c r="AA136" s="723"/>
      <c r="AB136" s="723"/>
      <c r="AC136" s="723"/>
      <c r="AD136" s="723"/>
      <c r="AE136" s="723"/>
      <c r="AF136" s="723"/>
      <c r="AG136" s="723"/>
      <c r="AH136" s="723"/>
      <c r="AI136" s="723"/>
      <c r="AJ136" s="723"/>
      <c r="AK136" s="723"/>
      <c r="AL136" s="723"/>
      <c r="AM136" s="723"/>
      <c r="AN136" s="723"/>
      <c r="AO136" s="723"/>
      <c r="AP136" s="723"/>
      <c r="AQ136" s="723"/>
      <c r="AR136" s="723"/>
      <c r="AS136" s="723"/>
      <c r="AT136" s="723"/>
      <c r="AU136" s="723"/>
      <c r="AV136" s="723"/>
      <c r="AW136" s="723"/>
      <c r="AX136" s="723"/>
      <c r="AY136" s="723"/>
      <c r="AZ136" s="723"/>
      <c r="BA136" s="723"/>
      <c r="BB136" s="723"/>
      <c r="BC136" s="723"/>
      <c r="BD136" s="723"/>
      <c r="BE136" s="723"/>
      <c r="BF136" s="723"/>
      <c r="BG136" s="723"/>
      <c r="BH136" s="723"/>
      <c r="BI136" s="723"/>
      <c r="BJ136" s="723"/>
      <c r="BK136" s="723"/>
      <c r="BL136" s="723"/>
      <c r="BM136" s="723"/>
      <c r="BN136" s="723"/>
      <c r="BO136" s="723"/>
      <c r="BP136" s="723"/>
      <c r="BQ136" s="723"/>
      <c r="BR136" s="723"/>
      <c r="BS136" s="723"/>
      <c r="BT136" s="723"/>
      <c r="BU136" s="724"/>
      <c r="BV136" s="720"/>
      <c r="BW136" s="721"/>
      <c r="BX136" s="721"/>
      <c r="BY136" s="721"/>
      <c r="BZ136" s="721"/>
      <c r="CA136" s="721"/>
      <c r="CB136" s="721"/>
      <c r="CC136" s="721"/>
      <c r="CD136" s="721"/>
      <c r="CE136" s="721"/>
      <c r="CF136" s="721"/>
      <c r="CG136" s="721"/>
      <c r="CH136" s="721"/>
      <c r="CI136" s="721"/>
      <c r="CJ136" s="721"/>
      <c r="CK136" s="722"/>
      <c r="CL136" s="720"/>
      <c r="CM136" s="721"/>
      <c r="CN136" s="721"/>
      <c r="CO136" s="721"/>
      <c r="CP136" s="721"/>
      <c r="CQ136" s="721"/>
      <c r="CR136" s="721"/>
      <c r="CS136" s="721"/>
      <c r="CT136" s="721"/>
      <c r="CU136" s="721"/>
      <c r="CV136" s="721"/>
      <c r="CW136" s="721"/>
      <c r="CX136" s="721"/>
      <c r="CY136" s="721"/>
      <c r="CZ136" s="722"/>
      <c r="DA136" s="232"/>
    </row>
    <row r="137" spans="1:105" s="17" customFormat="1" ht="13.2" hidden="1" x14ac:dyDescent="0.25">
      <c r="A137" s="659" t="s">
        <v>73</v>
      </c>
      <c r="B137" s="659"/>
      <c r="C137" s="659"/>
      <c r="D137" s="659"/>
      <c r="E137" s="659"/>
      <c r="F137" s="659"/>
      <c r="G137" s="213"/>
      <c r="H137" s="707" t="s">
        <v>560</v>
      </c>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c r="BA137" s="707"/>
      <c r="BB137" s="707"/>
      <c r="BC137" s="707"/>
      <c r="BD137" s="707"/>
      <c r="BE137" s="707"/>
      <c r="BF137" s="707"/>
      <c r="BG137" s="707"/>
      <c r="BH137" s="707"/>
      <c r="BI137" s="707"/>
      <c r="BJ137" s="707"/>
      <c r="BK137" s="707"/>
      <c r="BL137" s="707"/>
      <c r="BM137" s="707"/>
      <c r="BN137" s="707"/>
      <c r="BO137" s="707"/>
      <c r="BP137" s="707"/>
      <c r="BQ137" s="707"/>
      <c r="BR137" s="707"/>
      <c r="BS137" s="707"/>
      <c r="BT137" s="707"/>
      <c r="BU137" s="708"/>
      <c r="BV137" s="573">
        <v>0</v>
      </c>
      <c r="BW137" s="573"/>
      <c r="BX137" s="573"/>
      <c r="BY137" s="573"/>
      <c r="BZ137" s="573"/>
      <c r="CA137" s="573"/>
      <c r="CB137" s="573"/>
      <c r="CC137" s="573"/>
      <c r="CD137" s="573"/>
      <c r="CE137" s="573"/>
      <c r="CF137" s="573"/>
      <c r="CG137" s="573"/>
      <c r="CH137" s="573"/>
      <c r="CI137" s="573"/>
      <c r="CJ137" s="573"/>
      <c r="CK137" s="573"/>
      <c r="CL137" s="573"/>
      <c r="CM137" s="573"/>
      <c r="CN137" s="573"/>
      <c r="CO137" s="573"/>
      <c r="CP137" s="573"/>
      <c r="CQ137" s="573"/>
      <c r="CR137" s="573"/>
      <c r="CS137" s="573"/>
      <c r="CT137" s="573"/>
      <c r="CU137" s="573"/>
      <c r="CV137" s="573"/>
      <c r="CW137" s="573"/>
      <c r="CX137" s="573"/>
      <c r="CY137" s="573"/>
      <c r="CZ137" s="573"/>
      <c r="DA137" s="232"/>
    </row>
    <row r="138" spans="1:105" s="17" customFormat="1" ht="13.2" hidden="1" x14ac:dyDescent="0.25">
      <c r="A138" s="659" t="s">
        <v>74</v>
      </c>
      <c r="B138" s="659"/>
      <c r="C138" s="659"/>
      <c r="D138" s="659"/>
      <c r="E138" s="659"/>
      <c r="F138" s="659"/>
      <c r="G138" s="213"/>
      <c r="H138" s="707" t="s">
        <v>561</v>
      </c>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c r="BA138" s="707"/>
      <c r="BB138" s="707"/>
      <c r="BC138" s="707"/>
      <c r="BD138" s="707"/>
      <c r="BE138" s="707"/>
      <c r="BF138" s="707"/>
      <c r="BG138" s="707"/>
      <c r="BH138" s="707"/>
      <c r="BI138" s="707"/>
      <c r="BJ138" s="707"/>
      <c r="BK138" s="707"/>
      <c r="BL138" s="707"/>
      <c r="BM138" s="707"/>
      <c r="BN138" s="707"/>
      <c r="BO138" s="707"/>
      <c r="BP138" s="707"/>
      <c r="BQ138" s="707"/>
      <c r="BR138" s="707"/>
      <c r="BS138" s="707"/>
      <c r="BT138" s="707"/>
      <c r="BU138" s="708"/>
      <c r="BV138" s="573">
        <f>BV141</f>
        <v>0</v>
      </c>
      <c r="BW138" s="573"/>
      <c r="BX138" s="573"/>
      <c r="BY138" s="573"/>
      <c r="BZ138" s="573"/>
      <c r="CA138" s="573"/>
      <c r="CB138" s="573"/>
      <c r="CC138" s="573"/>
      <c r="CD138" s="573"/>
      <c r="CE138" s="573"/>
      <c r="CF138" s="573"/>
      <c r="CG138" s="573"/>
      <c r="CH138" s="573"/>
      <c r="CI138" s="573"/>
      <c r="CJ138" s="573"/>
      <c r="CK138" s="573"/>
      <c r="CL138" s="573">
        <f>BV138*0.2%</f>
        <v>0</v>
      </c>
      <c r="CM138" s="573"/>
      <c r="CN138" s="573"/>
      <c r="CO138" s="573"/>
      <c r="CP138" s="573"/>
      <c r="CQ138" s="573"/>
      <c r="CR138" s="573"/>
      <c r="CS138" s="573"/>
      <c r="CT138" s="573"/>
      <c r="CU138" s="573"/>
      <c r="CV138" s="573"/>
      <c r="CW138" s="573"/>
      <c r="CX138" s="573"/>
      <c r="CY138" s="573"/>
      <c r="CZ138" s="573"/>
      <c r="DA138" s="232"/>
    </row>
    <row r="139" spans="1:105" s="17" customFormat="1" ht="13.2" hidden="1" x14ac:dyDescent="0.25">
      <c r="A139" s="659" t="s">
        <v>562</v>
      </c>
      <c r="B139" s="659"/>
      <c r="C139" s="659"/>
      <c r="D139" s="659"/>
      <c r="E139" s="659"/>
      <c r="F139" s="659"/>
      <c r="G139" s="213"/>
      <c r="H139" s="707" t="s">
        <v>563</v>
      </c>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707"/>
      <c r="BF139" s="707"/>
      <c r="BG139" s="707"/>
      <c r="BH139" s="707"/>
      <c r="BI139" s="707"/>
      <c r="BJ139" s="707"/>
      <c r="BK139" s="707"/>
      <c r="BL139" s="707"/>
      <c r="BM139" s="707"/>
      <c r="BN139" s="707"/>
      <c r="BO139" s="707"/>
      <c r="BP139" s="707"/>
      <c r="BQ139" s="707"/>
      <c r="BR139" s="707"/>
      <c r="BS139" s="707"/>
      <c r="BT139" s="707"/>
      <c r="BU139" s="708"/>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232"/>
    </row>
    <row r="140" spans="1:105" s="17" customFormat="1" ht="13.2" hidden="1" x14ac:dyDescent="0.25">
      <c r="A140" s="659" t="s">
        <v>564</v>
      </c>
      <c r="B140" s="659"/>
      <c r="C140" s="659"/>
      <c r="D140" s="659"/>
      <c r="E140" s="659"/>
      <c r="F140" s="659"/>
      <c r="G140" s="213"/>
      <c r="H140" s="707" t="s">
        <v>563</v>
      </c>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c r="BA140" s="707"/>
      <c r="BB140" s="707"/>
      <c r="BC140" s="707"/>
      <c r="BD140" s="707"/>
      <c r="BE140" s="707"/>
      <c r="BF140" s="707"/>
      <c r="BG140" s="707"/>
      <c r="BH140" s="707"/>
      <c r="BI140" s="707"/>
      <c r="BJ140" s="707"/>
      <c r="BK140" s="707"/>
      <c r="BL140" s="707"/>
      <c r="BM140" s="707"/>
      <c r="BN140" s="707"/>
      <c r="BO140" s="707"/>
      <c r="BP140" s="707"/>
      <c r="BQ140" s="707"/>
      <c r="BR140" s="707"/>
      <c r="BS140" s="707"/>
      <c r="BT140" s="707"/>
      <c r="BU140" s="708"/>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232"/>
    </row>
    <row r="141" spans="1:105" s="17" customFormat="1" ht="13.2" hidden="1" x14ac:dyDescent="0.25">
      <c r="A141" s="659" t="s">
        <v>462</v>
      </c>
      <c r="B141" s="659"/>
      <c r="C141" s="659"/>
      <c r="D141" s="659"/>
      <c r="E141" s="659"/>
      <c r="F141" s="659"/>
      <c r="G141" s="213"/>
      <c r="H141" s="585" t="s">
        <v>565</v>
      </c>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c r="AV141" s="585"/>
      <c r="AW141" s="585"/>
      <c r="AX141" s="585"/>
      <c r="AY141" s="585"/>
      <c r="AZ141" s="585"/>
      <c r="BA141" s="585"/>
      <c r="BB141" s="585"/>
      <c r="BC141" s="585"/>
      <c r="BD141" s="585"/>
      <c r="BE141" s="585"/>
      <c r="BF141" s="585"/>
      <c r="BG141" s="585"/>
      <c r="BH141" s="585"/>
      <c r="BI141" s="585"/>
      <c r="BJ141" s="585"/>
      <c r="BK141" s="585"/>
      <c r="BL141" s="585"/>
      <c r="BM141" s="585"/>
      <c r="BN141" s="585"/>
      <c r="BO141" s="585"/>
      <c r="BP141" s="585"/>
      <c r="BQ141" s="585"/>
      <c r="BR141" s="585"/>
      <c r="BS141" s="585"/>
      <c r="BT141" s="585"/>
      <c r="BU141" s="586"/>
      <c r="BV141" s="573">
        <v>0</v>
      </c>
      <c r="BW141" s="573"/>
      <c r="BX141" s="573"/>
      <c r="BY141" s="573"/>
      <c r="BZ141" s="573"/>
      <c r="CA141" s="573"/>
      <c r="CB141" s="573"/>
      <c r="CC141" s="573"/>
      <c r="CD141" s="573"/>
      <c r="CE141" s="573"/>
      <c r="CF141" s="573"/>
      <c r="CG141" s="573"/>
      <c r="CH141" s="573"/>
      <c r="CI141" s="573"/>
      <c r="CJ141" s="573"/>
      <c r="CK141" s="573"/>
      <c r="CL141" s="561">
        <f>BV141*5.1%</f>
        <v>0</v>
      </c>
      <c r="CM141" s="561"/>
      <c r="CN141" s="561"/>
      <c r="CO141" s="561"/>
      <c r="CP141" s="561"/>
      <c r="CQ141" s="561"/>
      <c r="CR141" s="561"/>
      <c r="CS141" s="561"/>
      <c r="CT141" s="561"/>
      <c r="CU141" s="561"/>
      <c r="CV141" s="561"/>
      <c r="CW141" s="561"/>
      <c r="CX141" s="561"/>
      <c r="CY141" s="561"/>
      <c r="CZ141" s="561"/>
      <c r="DA141" s="235"/>
    </row>
    <row r="142" spans="1:105" s="17" customFormat="1" ht="13.2" hidden="1" x14ac:dyDescent="0.25">
      <c r="A142" s="659"/>
      <c r="B142" s="659"/>
      <c r="C142" s="659"/>
      <c r="D142" s="659"/>
      <c r="E142" s="659"/>
      <c r="F142" s="659"/>
      <c r="G142" s="607" t="s">
        <v>292</v>
      </c>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8"/>
      <c r="AZ142" s="608"/>
      <c r="BA142" s="608"/>
      <c r="BB142" s="608"/>
      <c r="BC142" s="608"/>
      <c r="BD142" s="608"/>
      <c r="BE142" s="608"/>
      <c r="BF142" s="608"/>
      <c r="BG142" s="608"/>
      <c r="BH142" s="608"/>
      <c r="BI142" s="608"/>
      <c r="BJ142" s="608"/>
      <c r="BK142" s="608"/>
      <c r="BL142" s="608"/>
      <c r="BM142" s="608"/>
      <c r="BN142" s="608"/>
      <c r="BO142" s="608"/>
      <c r="BP142" s="608"/>
      <c r="BQ142" s="608"/>
      <c r="BR142" s="608"/>
      <c r="BS142" s="608"/>
      <c r="BT142" s="608"/>
      <c r="BU142" s="609"/>
      <c r="BV142" s="560" t="s">
        <v>4</v>
      </c>
      <c r="BW142" s="560"/>
      <c r="BX142" s="560"/>
      <c r="BY142" s="560"/>
      <c r="BZ142" s="560"/>
      <c r="CA142" s="560"/>
      <c r="CB142" s="560"/>
      <c r="CC142" s="560"/>
      <c r="CD142" s="560"/>
      <c r="CE142" s="560"/>
      <c r="CF142" s="560"/>
      <c r="CG142" s="560"/>
      <c r="CH142" s="560"/>
      <c r="CI142" s="560"/>
      <c r="CJ142" s="560"/>
      <c r="CK142" s="560"/>
      <c r="CL142" s="611">
        <v>0</v>
      </c>
      <c r="CM142" s="560"/>
      <c r="CN142" s="560"/>
      <c r="CO142" s="560"/>
      <c r="CP142" s="560"/>
      <c r="CQ142" s="560"/>
      <c r="CR142" s="560"/>
      <c r="CS142" s="560"/>
      <c r="CT142" s="560"/>
      <c r="CU142" s="560"/>
      <c r="CV142" s="560"/>
      <c r="CW142" s="560"/>
      <c r="CX142" s="560"/>
      <c r="CY142" s="560"/>
      <c r="CZ142" s="560"/>
      <c r="DA142" s="235"/>
    </row>
    <row r="143" spans="1:105" s="17" customFormat="1" ht="13.2" x14ac:dyDescent="0.25">
      <c r="A143" s="659"/>
      <c r="B143" s="659"/>
      <c r="C143" s="659"/>
      <c r="D143" s="659"/>
      <c r="E143" s="659"/>
      <c r="F143" s="659"/>
      <c r="G143" s="607" t="s">
        <v>56</v>
      </c>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8"/>
      <c r="AY143" s="608"/>
      <c r="AZ143" s="608"/>
      <c r="BA143" s="608"/>
      <c r="BB143" s="608"/>
      <c r="BC143" s="608"/>
      <c r="BD143" s="608"/>
      <c r="BE143" s="608"/>
      <c r="BF143" s="608"/>
      <c r="BG143" s="608"/>
      <c r="BH143" s="608"/>
      <c r="BI143" s="608"/>
      <c r="BJ143" s="608"/>
      <c r="BK143" s="608"/>
      <c r="BL143" s="608"/>
      <c r="BM143" s="608"/>
      <c r="BN143" s="608"/>
      <c r="BO143" s="608"/>
      <c r="BP143" s="608"/>
      <c r="BQ143" s="608"/>
      <c r="BR143" s="608"/>
      <c r="BS143" s="608"/>
      <c r="BT143" s="608"/>
      <c r="BU143" s="609"/>
      <c r="BV143" s="560" t="s">
        <v>4</v>
      </c>
      <c r="BW143" s="560"/>
      <c r="BX143" s="560"/>
      <c r="BY143" s="560"/>
      <c r="BZ143" s="560"/>
      <c r="CA143" s="560"/>
      <c r="CB143" s="560"/>
      <c r="CC143" s="560"/>
      <c r="CD143" s="560"/>
      <c r="CE143" s="560"/>
      <c r="CF143" s="560"/>
      <c r="CG143" s="560"/>
      <c r="CH143" s="560"/>
      <c r="CI143" s="560"/>
      <c r="CJ143" s="560"/>
      <c r="CK143" s="560"/>
      <c r="CL143" s="611">
        <f>CL115+CL127+CL142</f>
        <v>26027827.776439998</v>
      </c>
      <c r="CM143" s="611"/>
      <c r="CN143" s="611"/>
      <c r="CO143" s="611"/>
      <c r="CP143" s="611"/>
      <c r="CQ143" s="611"/>
      <c r="CR143" s="611"/>
      <c r="CS143" s="611"/>
      <c r="CT143" s="611"/>
      <c r="CU143" s="611"/>
      <c r="CV143" s="611"/>
      <c r="CW143" s="611"/>
      <c r="CX143" s="611"/>
      <c r="CY143" s="611"/>
      <c r="CZ143" s="611"/>
      <c r="DA143" s="235"/>
    </row>
    <row r="144" spans="1:105" s="17" customFormat="1" ht="13.2" x14ac:dyDescent="0.25">
      <c r="A144" s="221"/>
      <c r="B144" s="221"/>
      <c r="C144" s="221"/>
      <c r="D144" s="221"/>
      <c r="E144" s="221"/>
      <c r="F144" s="221"/>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9"/>
      <c r="CM144" s="229"/>
      <c r="CN144" s="229"/>
      <c r="CO144" s="229"/>
      <c r="CP144" s="229"/>
      <c r="CQ144" s="229"/>
      <c r="CR144" s="229"/>
      <c r="CS144" s="229"/>
      <c r="CT144" s="229"/>
      <c r="CU144" s="229"/>
      <c r="CV144" s="229"/>
      <c r="CW144" s="229"/>
      <c r="CX144" s="229"/>
      <c r="CY144" s="229"/>
      <c r="CZ144" s="229"/>
      <c r="DA144" s="235"/>
    </row>
    <row r="145" spans="1:105" s="17" customFormat="1" x14ac:dyDescent="0.25">
      <c r="A145" s="524" t="s">
        <v>377</v>
      </c>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4"/>
      <c r="AY145" s="524"/>
      <c r="AZ145" s="524"/>
      <c r="BA145" s="524"/>
      <c r="BB145" s="524"/>
      <c r="BC145" s="524"/>
      <c r="BD145" s="524"/>
      <c r="BE145" s="524"/>
      <c r="BF145" s="524"/>
      <c r="BG145" s="524"/>
      <c r="BH145" s="524"/>
      <c r="BI145" s="524"/>
      <c r="BJ145" s="524"/>
      <c r="BK145" s="524"/>
      <c r="BL145" s="524"/>
      <c r="BM145" s="524"/>
      <c r="BN145" s="524"/>
      <c r="BO145" s="524"/>
      <c r="BP145" s="524"/>
      <c r="BQ145" s="524"/>
      <c r="BR145" s="524"/>
      <c r="BS145" s="524"/>
      <c r="BT145" s="524"/>
      <c r="BU145" s="524"/>
      <c r="BV145" s="524"/>
      <c r="BW145" s="524"/>
      <c r="BX145" s="524"/>
      <c r="BY145" s="524"/>
      <c r="BZ145" s="524"/>
      <c r="CA145" s="524"/>
      <c r="CB145" s="524"/>
      <c r="CC145" s="524"/>
      <c r="CD145" s="524"/>
      <c r="CE145" s="524"/>
      <c r="CF145" s="524"/>
      <c r="CG145" s="524"/>
      <c r="CH145" s="524"/>
      <c r="CI145" s="524"/>
      <c r="CJ145" s="524"/>
      <c r="CK145" s="524"/>
      <c r="CL145" s="524"/>
      <c r="CM145" s="524"/>
      <c r="CN145" s="524"/>
      <c r="CO145" s="524"/>
      <c r="CP145" s="524"/>
      <c r="CQ145" s="524"/>
      <c r="CR145" s="524"/>
      <c r="CS145" s="524"/>
      <c r="CT145" s="524"/>
      <c r="CU145" s="524"/>
      <c r="CV145" s="524"/>
      <c r="CW145" s="524"/>
      <c r="CX145" s="524"/>
      <c r="CY145" s="524"/>
      <c r="CZ145" s="524"/>
      <c r="DA145" s="235"/>
    </row>
    <row r="146" spans="1:105" s="17" customFormat="1" ht="13.2" x14ac:dyDescent="0.25">
      <c r="A146" s="221"/>
      <c r="B146" s="221"/>
      <c r="C146" s="221"/>
      <c r="D146" s="221"/>
      <c r="E146" s="221"/>
      <c r="F146" s="2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9"/>
      <c r="CM146" s="229"/>
      <c r="CN146" s="229"/>
      <c r="CO146" s="229"/>
      <c r="CP146" s="229"/>
      <c r="CQ146" s="229"/>
      <c r="CR146" s="229"/>
      <c r="CS146" s="229"/>
      <c r="CT146" s="229"/>
      <c r="CU146" s="229"/>
      <c r="CV146" s="229"/>
      <c r="CW146" s="229"/>
      <c r="CX146" s="229"/>
      <c r="CY146" s="229"/>
      <c r="CZ146" s="229"/>
      <c r="DA146" s="235"/>
    </row>
    <row r="147" spans="1:105" s="17" customForma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95" t="s">
        <v>553</v>
      </c>
      <c r="X147" s="595"/>
      <c r="Y147" s="595"/>
      <c r="Z147" s="595"/>
      <c r="AA147" s="595"/>
      <c r="AB147" s="595"/>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595"/>
      <c r="BB147" s="595"/>
      <c r="BC147" s="595"/>
      <c r="BD147" s="595"/>
      <c r="BE147" s="595"/>
      <c r="BF147" s="595"/>
      <c r="BG147" s="595"/>
      <c r="BH147" s="595"/>
      <c r="BI147" s="595"/>
      <c r="BJ147" s="595"/>
      <c r="BK147" s="595"/>
      <c r="BL147" s="595"/>
      <c r="BM147" s="595"/>
      <c r="BN147" s="595"/>
      <c r="BO147" s="595"/>
      <c r="BP147" s="595"/>
      <c r="BQ147" s="595"/>
      <c r="BR147" s="595"/>
      <c r="BS147" s="595"/>
      <c r="BT147" s="595"/>
      <c r="BU147" s="595"/>
      <c r="BV147" s="595"/>
      <c r="BW147" s="595"/>
      <c r="BX147" s="595"/>
      <c r="BY147" s="595"/>
      <c r="BZ147" s="595"/>
      <c r="CA147" s="595"/>
      <c r="CB147" s="595"/>
      <c r="CC147" s="595"/>
      <c r="CD147" s="595"/>
      <c r="CE147" s="595"/>
      <c r="CF147" s="595"/>
      <c r="CG147" s="595"/>
      <c r="CH147" s="595"/>
      <c r="CI147" s="595"/>
      <c r="CJ147" s="595"/>
      <c r="CK147" s="595"/>
      <c r="CL147" s="595"/>
      <c r="CM147" s="595"/>
      <c r="CN147" s="595"/>
      <c r="CO147" s="595"/>
      <c r="CP147" s="595"/>
      <c r="CQ147" s="595"/>
      <c r="CR147" s="595"/>
      <c r="CS147" s="595"/>
      <c r="CT147" s="595"/>
      <c r="CU147" s="595"/>
      <c r="CV147" s="595"/>
      <c r="CW147" s="595"/>
      <c r="CX147" s="595"/>
      <c r="CY147" s="595"/>
      <c r="CZ147" s="595"/>
      <c r="DA147" s="235"/>
    </row>
    <row r="148" spans="1:105" s="17" customForma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5"/>
    </row>
    <row r="149" spans="1:105" s="17" customFormat="1" ht="13.2" x14ac:dyDescent="0.25">
      <c r="A149" s="606" t="s">
        <v>49</v>
      </c>
      <c r="B149" s="606"/>
      <c r="C149" s="606"/>
      <c r="D149" s="606"/>
      <c r="E149" s="606"/>
      <c r="F149" s="606"/>
      <c r="G149" s="606" t="s">
        <v>64</v>
      </c>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06"/>
      <c r="AL149" s="606"/>
      <c r="AM149" s="606"/>
      <c r="AN149" s="606"/>
      <c r="AO149" s="606"/>
      <c r="AP149" s="606"/>
      <c r="AQ149" s="606"/>
      <c r="AR149" s="606"/>
      <c r="AS149" s="606"/>
      <c r="AT149" s="606"/>
      <c r="AU149" s="606"/>
      <c r="AV149" s="606"/>
      <c r="AW149" s="606"/>
      <c r="AX149" s="606"/>
      <c r="AY149" s="606"/>
      <c r="AZ149" s="606"/>
      <c r="BA149" s="606"/>
      <c r="BB149" s="606"/>
      <c r="BC149" s="606"/>
      <c r="BD149" s="606"/>
      <c r="BE149" s="606"/>
      <c r="BF149" s="606"/>
      <c r="BG149" s="606"/>
      <c r="BH149" s="606"/>
      <c r="BI149" s="606"/>
      <c r="BJ149" s="606"/>
      <c r="BK149" s="606"/>
      <c r="BL149" s="606"/>
      <c r="BM149" s="606"/>
      <c r="BN149" s="606"/>
      <c r="BO149" s="606"/>
      <c r="BP149" s="606"/>
      <c r="BQ149" s="606"/>
      <c r="BR149" s="606"/>
      <c r="BS149" s="606"/>
      <c r="BT149" s="606"/>
      <c r="BU149" s="606"/>
      <c r="BV149" s="597" t="s">
        <v>65</v>
      </c>
      <c r="BW149" s="598"/>
      <c r="BX149" s="598"/>
      <c r="BY149" s="598"/>
      <c r="BZ149" s="598"/>
      <c r="CA149" s="598"/>
      <c r="CB149" s="598"/>
      <c r="CC149" s="598"/>
      <c r="CD149" s="598"/>
      <c r="CE149" s="598"/>
      <c r="CF149" s="598"/>
      <c r="CG149" s="598"/>
      <c r="CH149" s="598"/>
      <c r="CI149" s="598"/>
      <c r="CJ149" s="598"/>
      <c r="CK149" s="599"/>
      <c r="CL149" s="597" t="s">
        <v>66</v>
      </c>
      <c r="CM149" s="598"/>
      <c r="CN149" s="598"/>
      <c r="CO149" s="598"/>
      <c r="CP149" s="598"/>
      <c r="CQ149" s="598"/>
      <c r="CR149" s="598"/>
      <c r="CS149" s="598"/>
      <c r="CT149" s="598"/>
      <c r="CU149" s="598"/>
      <c r="CV149" s="598"/>
      <c r="CW149" s="598"/>
      <c r="CX149" s="598"/>
      <c r="CY149" s="598"/>
      <c r="CZ149" s="598"/>
      <c r="DA149" s="235"/>
    </row>
    <row r="150" spans="1:105" s="17" customFormat="1" ht="13.2" x14ac:dyDescent="0.25">
      <c r="A150" s="591">
        <v>1</v>
      </c>
      <c r="B150" s="591"/>
      <c r="C150" s="591"/>
      <c r="D150" s="591"/>
      <c r="E150" s="591"/>
      <c r="F150" s="591"/>
      <c r="G150" s="591">
        <v>2</v>
      </c>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1"/>
      <c r="AY150" s="591"/>
      <c r="AZ150" s="591"/>
      <c r="BA150" s="591"/>
      <c r="BB150" s="591"/>
      <c r="BC150" s="591"/>
      <c r="BD150" s="591"/>
      <c r="BE150" s="591"/>
      <c r="BF150" s="591"/>
      <c r="BG150" s="591"/>
      <c r="BH150" s="591"/>
      <c r="BI150" s="591"/>
      <c r="BJ150" s="591"/>
      <c r="BK150" s="591"/>
      <c r="BL150" s="591"/>
      <c r="BM150" s="591"/>
      <c r="BN150" s="591"/>
      <c r="BO150" s="591"/>
      <c r="BP150" s="591"/>
      <c r="BQ150" s="591"/>
      <c r="BR150" s="591"/>
      <c r="BS150" s="591"/>
      <c r="BT150" s="591"/>
      <c r="BU150" s="591"/>
      <c r="BV150" s="591">
        <v>3</v>
      </c>
      <c r="BW150" s="591"/>
      <c r="BX150" s="591"/>
      <c r="BY150" s="591"/>
      <c r="BZ150" s="591"/>
      <c r="CA150" s="591"/>
      <c r="CB150" s="591"/>
      <c r="CC150" s="591"/>
      <c r="CD150" s="591"/>
      <c r="CE150" s="591"/>
      <c r="CF150" s="591"/>
      <c r="CG150" s="591"/>
      <c r="CH150" s="591"/>
      <c r="CI150" s="591"/>
      <c r="CJ150" s="591"/>
      <c r="CK150" s="591"/>
      <c r="CL150" s="591">
        <v>4</v>
      </c>
      <c r="CM150" s="591"/>
      <c r="CN150" s="591"/>
      <c r="CO150" s="591"/>
      <c r="CP150" s="591"/>
      <c r="CQ150" s="591"/>
      <c r="CR150" s="591"/>
      <c r="CS150" s="591"/>
      <c r="CT150" s="591"/>
      <c r="CU150" s="591"/>
      <c r="CV150" s="591"/>
      <c r="CW150" s="591"/>
      <c r="CX150" s="591"/>
      <c r="CY150" s="591"/>
      <c r="CZ150" s="591"/>
      <c r="DA150" s="235"/>
    </row>
    <row r="151" spans="1:105" s="17" customFormat="1" ht="13.2" x14ac:dyDescent="0.25">
      <c r="A151" s="648" t="s">
        <v>889</v>
      </c>
      <c r="B151" s="649"/>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9"/>
      <c r="AL151" s="649"/>
      <c r="AM151" s="649"/>
      <c r="AN151" s="649"/>
      <c r="AO151" s="649"/>
      <c r="AP151" s="649"/>
      <c r="AQ151" s="649"/>
      <c r="AR151" s="649"/>
      <c r="AS151" s="649"/>
      <c r="AT151" s="649"/>
      <c r="AU151" s="649"/>
      <c r="AV151" s="649"/>
      <c r="AW151" s="649"/>
      <c r="AX151" s="649"/>
      <c r="AY151" s="649"/>
      <c r="AZ151" s="649"/>
      <c r="BA151" s="649"/>
      <c r="BB151" s="649"/>
      <c r="BC151" s="649"/>
      <c r="BD151" s="649"/>
      <c r="BE151" s="649"/>
      <c r="BF151" s="649"/>
      <c r="BG151" s="649"/>
      <c r="BH151" s="649"/>
      <c r="BI151" s="649"/>
      <c r="BJ151" s="649"/>
      <c r="BK151" s="649"/>
      <c r="BL151" s="649"/>
      <c r="BM151" s="649"/>
      <c r="BN151" s="649"/>
      <c r="BO151" s="649"/>
      <c r="BP151" s="649"/>
      <c r="BQ151" s="649"/>
      <c r="BR151" s="649"/>
      <c r="BS151" s="649"/>
      <c r="BT151" s="649"/>
      <c r="BU151" s="649"/>
      <c r="BV151" s="649"/>
      <c r="BW151" s="649"/>
      <c r="BX151" s="649"/>
      <c r="BY151" s="649"/>
      <c r="BZ151" s="649"/>
      <c r="CA151" s="649"/>
      <c r="CB151" s="649"/>
      <c r="CC151" s="649"/>
      <c r="CD151" s="649"/>
      <c r="CE151" s="649"/>
      <c r="CF151" s="649"/>
      <c r="CG151" s="649"/>
      <c r="CH151" s="649"/>
      <c r="CI151" s="649"/>
      <c r="CJ151" s="649"/>
      <c r="CK151" s="649"/>
      <c r="CL151" s="649"/>
      <c r="CM151" s="649"/>
      <c r="CN151" s="649"/>
      <c r="CO151" s="649"/>
      <c r="CP151" s="649"/>
      <c r="CQ151" s="649"/>
      <c r="CR151" s="649"/>
      <c r="CS151" s="649"/>
      <c r="CT151" s="649"/>
      <c r="CU151" s="649"/>
      <c r="CV151" s="649"/>
      <c r="CW151" s="649"/>
      <c r="CX151" s="649"/>
      <c r="CY151" s="649"/>
      <c r="CZ151" s="649"/>
      <c r="DA151" s="235"/>
    </row>
    <row r="152" spans="1:105" s="17" customFormat="1" ht="13.2" x14ac:dyDescent="0.25">
      <c r="A152" s="659" t="s">
        <v>67</v>
      </c>
      <c r="B152" s="659"/>
      <c r="C152" s="659"/>
      <c r="D152" s="659"/>
      <c r="E152" s="659"/>
      <c r="F152" s="659"/>
      <c r="G152" s="213"/>
      <c r="H152" s="585" t="s">
        <v>369</v>
      </c>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5"/>
      <c r="AL152" s="585"/>
      <c r="AM152" s="585"/>
      <c r="AN152" s="585"/>
      <c r="AO152" s="585"/>
      <c r="AP152" s="585"/>
      <c r="AQ152" s="585"/>
      <c r="AR152" s="585"/>
      <c r="AS152" s="585"/>
      <c r="AT152" s="585"/>
      <c r="AU152" s="585"/>
      <c r="AV152" s="585"/>
      <c r="AW152" s="585"/>
      <c r="AX152" s="585"/>
      <c r="AY152" s="585"/>
      <c r="AZ152" s="585"/>
      <c r="BA152" s="585"/>
      <c r="BB152" s="585"/>
      <c r="BC152" s="585"/>
      <c r="BD152" s="585"/>
      <c r="BE152" s="585"/>
      <c r="BF152" s="585"/>
      <c r="BG152" s="585"/>
      <c r="BH152" s="585"/>
      <c r="BI152" s="585"/>
      <c r="BJ152" s="585"/>
      <c r="BK152" s="585"/>
      <c r="BL152" s="585"/>
      <c r="BM152" s="585"/>
      <c r="BN152" s="585"/>
      <c r="BO152" s="585"/>
      <c r="BP152" s="585"/>
      <c r="BQ152" s="585"/>
      <c r="BR152" s="585"/>
      <c r="BS152" s="585"/>
      <c r="BT152" s="585"/>
      <c r="BU152" s="586"/>
      <c r="BV152" s="582" t="s">
        <v>4</v>
      </c>
      <c r="BW152" s="582"/>
      <c r="BX152" s="582"/>
      <c r="BY152" s="582"/>
      <c r="BZ152" s="582"/>
      <c r="CA152" s="582"/>
      <c r="CB152" s="582"/>
      <c r="CC152" s="582"/>
      <c r="CD152" s="582"/>
      <c r="CE152" s="582"/>
      <c r="CF152" s="582"/>
      <c r="CG152" s="582"/>
      <c r="CH152" s="582"/>
      <c r="CI152" s="582"/>
      <c r="CJ152" s="582"/>
      <c r="CK152" s="582"/>
      <c r="CL152" s="582">
        <f>CL153</f>
        <v>945.93</v>
      </c>
      <c r="CM152" s="582"/>
      <c r="CN152" s="582"/>
      <c r="CO152" s="582"/>
      <c r="CP152" s="582"/>
      <c r="CQ152" s="582"/>
      <c r="CR152" s="582"/>
      <c r="CS152" s="582"/>
      <c r="CT152" s="582"/>
      <c r="CU152" s="582"/>
      <c r="CV152" s="582"/>
      <c r="CW152" s="582"/>
      <c r="CX152" s="582"/>
      <c r="CY152" s="582"/>
      <c r="CZ152" s="582"/>
      <c r="DA152" s="235"/>
    </row>
    <row r="153" spans="1:105" s="17" customFormat="1" ht="13.2" x14ac:dyDescent="0.25">
      <c r="A153" s="709" t="s">
        <v>68</v>
      </c>
      <c r="B153" s="710"/>
      <c r="C153" s="710"/>
      <c r="D153" s="710"/>
      <c r="E153" s="710"/>
      <c r="F153" s="711"/>
      <c r="G153" s="233"/>
      <c r="H153" s="715" t="s">
        <v>3</v>
      </c>
      <c r="I153" s="715"/>
      <c r="J153" s="715"/>
      <c r="K153" s="715"/>
      <c r="L153" s="715"/>
      <c r="M153" s="715"/>
      <c r="N153" s="715"/>
      <c r="O153" s="715"/>
      <c r="P153" s="715"/>
      <c r="Q153" s="715"/>
      <c r="R153" s="715"/>
      <c r="S153" s="715"/>
      <c r="T153" s="715"/>
      <c r="U153" s="715"/>
      <c r="V153" s="715"/>
      <c r="W153" s="715"/>
      <c r="X153" s="715"/>
      <c r="Y153" s="715"/>
      <c r="Z153" s="715"/>
      <c r="AA153" s="715"/>
      <c r="AB153" s="715"/>
      <c r="AC153" s="715"/>
      <c r="AD153" s="715"/>
      <c r="AE153" s="715"/>
      <c r="AF153" s="715"/>
      <c r="AG153" s="715"/>
      <c r="AH153" s="715"/>
      <c r="AI153" s="715"/>
      <c r="AJ153" s="715"/>
      <c r="AK153" s="715"/>
      <c r="AL153" s="715"/>
      <c r="AM153" s="715"/>
      <c r="AN153" s="715"/>
      <c r="AO153" s="715"/>
      <c r="AP153" s="715"/>
      <c r="AQ153" s="715"/>
      <c r="AR153" s="715"/>
      <c r="AS153" s="715"/>
      <c r="AT153" s="715"/>
      <c r="AU153" s="715"/>
      <c r="AV153" s="715"/>
      <c r="AW153" s="715"/>
      <c r="AX153" s="715"/>
      <c r="AY153" s="715"/>
      <c r="AZ153" s="715"/>
      <c r="BA153" s="715"/>
      <c r="BB153" s="715"/>
      <c r="BC153" s="715"/>
      <c r="BD153" s="715"/>
      <c r="BE153" s="715"/>
      <c r="BF153" s="715"/>
      <c r="BG153" s="715"/>
      <c r="BH153" s="715"/>
      <c r="BI153" s="715"/>
      <c r="BJ153" s="715"/>
      <c r="BK153" s="715"/>
      <c r="BL153" s="715"/>
      <c r="BM153" s="715"/>
      <c r="BN153" s="715"/>
      <c r="BO153" s="715"/>
      <c r="BP153" s="715"/>
      <c r="BQ153" s="715"/>
      <c r="BR153" s="715"/>
      <c r="BS153" s="715"/>
      <c r="BT153" s="715"/>
      <c r="BU153" s="716"/>
      <c r="BV153" s="736">
        <v>3153.1</v>
      </c>
      <c r="BW153" s="737"/>
      <c r="BX153" s="737"/>
      <c r="BY153" s="737"/>
      <c r="BZ153" s="737"/>
      <c r="CA153" s="737"/>
      <c r="CB153" s="737"/>
      <c r="CC153" s="737"/>
      <c r="CD153" s="737"/>
      <c r="CE153" s="737"/>
      <c r="CF153" s="737"/>
      <c r="CG153" s="737"/>
      <c r="CH153" s="737"/>
      <c r="CI153" s="737"/>
      <c r="CJ153" s="737"/>
      <c r="CK153" s="738"/>
      <c r="CL153" s="736">
        <v>945.93</v>
      </c>
      <c r="CM153" s="737"/>
      <c r="CN153" s="737"/>
      <c r="CO153" s="737"/>
      <c r="CP153" s="737"/>
      <c r="CQ153" s="737"/>
      <c r="CR153" s="737"/>
      <c r="CS153" s="737"/>
      <c r="CT153" s="737"/>
      <c r="CU153" s="737"/>
      <c r="CV153" s="737"/>
      <c r="CW153" s="737"/>
      <c r="CX153" s="737"/>
      <c r="CY153" s="737"/>
      <c r="CZ153" s="738"/>
      <c r="DA153" s="235"/>
    </row>
    <row r="154" spans="1:105" s="17" customFormat="1" ht="13.2" x14ac:dyDescent="0.25">
      <c r="A154" s="712"/>
      <c r="B154" s="713"/>
      <c r="C154" s="713"/>
      <c r="D154" s="713"/>
      <c r="E154" s="713"/>
      <c r="F154" s="714"/>
      <c r="G154" s="234"/>
      <c r="H154" s="707" t="s">
        <v>370</v>
      </c>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7"/>
      <c r="BB154" s="707"/>
      <c r="BC154" s="707"/>
      <c r="BD154" s="707"/>
      <c r="BE154" s="707"/>
      <c r="BF154" s="707"/>
      <c r="BG154" s="707"/>
      <c r="BH154" s="707"/>
      <c r="BI154" s="707"/>
      <c r="BJ154" s="707"/>
      <c r="BK154" s="707"/>
      <c r="BL154" s="707"/>
      <c r="BM154" s="707"/>
      <c r="BN154" s="707"/>
      <c r="BO154" s="707"/>
      <c r="BP154" s="707"/>
      <c r="BQ154" s="707"/>
      <c r="BR154" s="707"/>
      <c r="BS154" s="707"/>
      <c r="BT154" s="707"/>
      <c r="BU154" s="708"/>
      <c r="BV154" s="739"/>
      <c r="BW154" s="740"/>
      <c r="BX154" s="740"/>
      <c r="BY154" s="740"/>
      <c r="BZ154" s="740"/>
      <c r="CA154" s="740"/>
      <c r="CB154" s="740"/>
      <c r="CC154" s="740"/>
      <c r="CD154" s="740"/>
      <c r="CE154" s="740"/>
      <c r="CF154" s="740"/>
      <c r="CG154" s="740"/>
      <c r="CH154" s="740"/>
      <c r="CI154" s="740"/>
      <c r="CJ154" s="740"/>
      <c r="CK154" s="741"/>
      <c r="CL154" s="739"/>
      <c r="CM154" s="740"/>
      <c r="CN154" s="740"/>
      <c r="CO154" s="740"/>
      <c r="CP154" s="740"/>
      <c r="CQ154" s="740"/>
      <c r="CR154" s="740"/>
      <c r="CS154" s="740"/>
      <c r="CT154" s="740"/>
      <c r="CU154" s="740"/>
      <c r="CV154" s="740"/>
      <c r="CW154" s="740"/>
      <c r="CX154" s="740"/>
      <c r="CY154" s="740"/>
      <c r="CZ154" s="741"/>
      <c r="DA154" s="235"/>
    </row>
    <row r="155" spans="1:105" s="17" customFormat="1" ht="13.2" x14ac:dyDescent="0.25">
      <c r="A155" s="659" t="s">
        <v>69</v>
      </c>
      <c r="B155" s="659"/>
      <c r="C155" s="659"/>
      <c r="D155" s="659"/>
      <c r="E155" s="659"/>
      <c r="F155" s="659"/>
      <c r="G155" s="213"/>
      <c r="H155" s="707" t="s">
        <v>371</v>
      </c>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7"/>
      <c r="AY155" s="707"/>
      <c r="AZ155" s="707"/>
      <c r="BA155" s="707"/>
      <c r="BB155" s="707"/>
      <c r="BC155" s="707"/>
      <c r="BD155" s="707"/>
      <c r="BE155" s="707"/>
      <c r="BF155" s="707"/>
      <c r="BG155" s="707"/>
      <c r="BH155" s="707"/>
      <c r="BI155" s="707"/>
      <c r="BJ155" s="707"/>
      <c r="BK155" s="707"/>
      <c r="BL155" s="707"/>
      <c r="BM155" s="707"/>
      <c r="BN155" s="707"/>
      <c r="BO155" s="707"/>
      <c r="BP155" s="707"/>
      <c r="BQ155" s="707"/>
      <c r="BR155" s="707"/>
      <c r="BS155" s="707"/>
      <c r="BT155" s="707"/>
      <c r="BU155" s="708"/>
      <c r="BV155" s="582"/>
      <c r="BW155" s="582"/>
      <c r="BX155" s="582"/>
      <c r="BY155" s="582"/>
      <c r="BZ155" s="582"/>
      <c r="CA155" s="582"/>
      <c r="CB155" s="582"/>
      <c r="CC155" s="582"/>
      <c r="CD155" s="582"/>
      <c r="CE155" s="582"/>
      <c r="CF155" s="582"/>
      <c r="CG155" s="582"/>
      <c r="CH155" s="582"/>
      <c r="CI155" s="582"/>
      <c r="CJ155" s="582"/>
      <c r="CK155" s="582"/>
      <c r="CL155" s="582"/>
      <c r="CM155" s="582"/>
      <c r="CN155" s="582"/>
      <c r="CO155" s="582"/>
      <c r="CP155" s="582"/>
      <c r="CQ155" s="582"/>
      <c r="CR155" s="582"/>
      <c r="CS155" s="582"/>
      <c r="CT155" s="582"/>
      <c r="CU155" s="582"/>
      <c r="CV155" s="582"/>
      <c r="CW155" s="582"/>
      <c r="CX155" s="582"/>
      <c r="CY155" s="582"/>
      <c r="CZ155" s="582"/>
      <c r="DA155" s="235"/>
    </row>
    <row r="156" spans="1:105" s="17" customFormat="1" ht="13.2" x14ac:dyDescent="0.25">
      <c r="A156" s="659" t="s">
        <v>70</v>
      </c>
      <c r="B156" s="659"/>
      <c r="C156" s="659"/>
      <c r="D156" s="659"/>
      <c r="E156" s="659"/>
      <c r="F156" s="659"/>
      <c r="G156" s="213"/>
      <c r="H156" s="707" t="s">
        <v>372</v>
      </c>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7"/>
      <c r="AY156" s="707"/>
      <c r="AZ156" s="707"/>
      <c r="BA156" s="707"/>
      <c r="BB156" s="707"/>
      <c r="BC156" s="707"/>
      <c r="BD156" s="707"/>
      <c r="BE156" s="707"/>
      <c r="BF156" s="707"/>
      <c r="BG156" s="707"/>
      <c r="BH156" s="707"/>
      <c r="BI156" s="707"/>
      <c r="BJ156" s="707"/>
      <c r="BK156" s="707"/>
      <c r="BL156" s="707"/>
      <c r="BM156" s="707"/>
      <c r="BN156" s="707"/>
      <c r="BO156" s="707"/>
      <c r="BP156" s="707"/>
      <c r="BQ156" s="707"/>
      <c r="BR156" s="707"/>
      <c r="BS156" s="707"/>
      <c r="BT156" s="707"/>
      <c r="BU156" s="708"/>
      <c r="BV156" s="582"/>
      <c r="BW156" s="582"/>
      <c r="BX156" s="582"/>
      <c r="BY156" s="582"/>
      <c r="BZ156" s="582"/>
      <c r="CA156" s="582"/>
      <c r="CB156" s="582"/>
      <c r="CC156" s="582"/>
      <c r="CD156" s="582"/>
      <c r="CE156" s="582"/>
      <c r="CF156" s="582"/>
      <c r="CG156" s="582"/>
      <c r="CH156" s="582"/>
      <c r="CI156" s="582"/>
      <c r="CJ156" s="582"/>
      <c r="CK156" s="582"/>
      <c r="CL156" s="582"/>
      <c r="CM156" s="582"/>
      <c r="CN156" s="582"/>
      <c r="CO156" s="582"/>
      <c r="CP156" s="582"/>
      <c r="CQ156" s="582"/>
      <c r="CR156" s="582"/>
      <c r="CS156" s="582"/>
      <c r="CT156" s="582"/>
      <c r="CU156" s="582"/>
      <c r="CV156" s="582"/>
      <c r="CW156" s="582"/>
      <c r="CX156" s="582"/>
      <c r="CY156" s="582"/>
      <c r="CZ156" s="582"/>
      <c r="DA156" s="235"/>
    </row>
    <row r="157" spans="1:105" s="17" customFormat="1" ht="13.2" x14ac:dyDescent="0.25">
      <c r="A157" s="659" t="s">
        <v>71</v>
      </c>
      <c r="B157" s="659"/>
      <c r="C157" s="659"/>
      <c r="D157" s="659"/>
      <c r="E157" s="659"/>
      <c r="F157" s="659"/>
      <c r="G157" s="213"/>
      <c r="H157" s="585" t="s">
        <v>373</v>
      </c>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85"/>
      <c r="AP157" s="585"/>
      <c r="AQ157" s="585"/>
      <c r="AR157" s="585"/>
      <c r="AS157" s="585"/>
      <c r="AT157" s="585"/>
      <c r="AU157" s="585"/>
      <c r="AV157" s="585"/>
      <c r="AW157" s="585"/>
      <c r="AX157" s="585"/>
      <c r="AY157" s="585"/>
      <c r="AZ157" s="585"/>
      <c r="BA157" s="585"/>
      <c r="BB157" s="585"/>
      <c r="BC157" s="585"/>
      <c r="BD157" s="585"/>
      <c r="BE157" s="585"/>
      <c r="BF157" s="585"/>
      <c r="BG157" s="585"/>
      <c r="BH157" s="585"/>
      <c r="BI157" s="585"/>
      <c r="BJ157" s="585"/>
      <c r="BK157" s="585"/>
      <c r="BL157" s="585"/>
      <c r="BM157" s="585"/>
      <c r="BN157" s="585"/>
      <c r="BO157" s="585"/>
      <c r="BP157" s="585"/>
      <c r="BQ157" s="585"/>
      <c r="BR157" s="585"/>
      <c r="BS157" s="585"/>
      <c r="BT157" s="585"/>
      <c r="BU157" s="586"/>
      <c r="BV157" s="582" t="s">
        <v>4</v>
      </c>
      <c r="BW157" s="582"/>
      <c r="BX157" s="582"/>
      <c r="BY157" s="582"/>
      <c r="BZ157" s="582"/>
      <c r="CA157" s="582"/>
      <c r="CB157" s="582"/>
      <c r="CC157" s="582"/>
      <c r="CD157" s="582"/>
      <c r="CE157" s="582"/>
      <c r="CF157" s="582"/>
      <c r="CG157" s="582"/>
      <c r="CH157" s="582"/>
      <c r="CI157" s="582"/>
      <c r="CJ157" s="582"/>
      <c r="CK157" s="582"/>
      <c r="CL157" s="582">
        <f>CL158</f>
        <v>6.31</v>
      </c>
      <c r="CM157" s="582"/>
      <c r="CN157" s="582"/>
      <c r="CO157" s="582"/>
      <c r="CP157" s="582"/>
      <c r="CQ157" s="582"/>
      <c r="CR157" s="582"/>
      <c r="CS157" s="582"/>
      <c r="CT157" s="582"/>
      <c r="CU157" s="582"/>
      <c r="CV157" s="582"/>
      <c r="CW157" s="582"/>
      <c r="CX157" s="582"/>
      <c r="CY157" s="582"/>
      <c r="CZ157" s="582"/>
      <c r="DA157" s="235"/>
    </row>
    <row r="158" spans="1:105" s="17" customFormat="1" ht="13.2" x14ac:dyDescent="0.25">
      <c r="A158" s="709" t="s">
        <v>72</v>
      </c>
      <c r="B158" s="710"/>
      <c r="C158" s="710"/>
      <c r="D158" s="710"/>
      <c r="E158" s="710"/>
      <c r="F158" s="711"/>
      <c r="G158" s="233"/>
      <c r="H158" s="715" t="s">
        <v>3</v>
      </c>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5"/>
      <c r="AY158" s="715"/>
      <c r="AZ158" s="715"/>
      <c r="BA158" s="715"/>
      <c r="BB158" s="715"/>
      <c r="BC158" s="715"/>
      <c r="BD158" s="715"/>
      <c r="BE158" s="715"/>
      <c r="BF158" s="715"/>
      <c r="BG158" s="715"/>
      <c r="BH158" s="715"/>
      <c r="BI158" s="715"/>
      <c r="BJ158" s="715"/>
      <c r="BK158" s="715"/>
      <c r="BL158" s="715"/>
      <c r="BM158" s="715"/>
      <c r="BN158" s="715"/>
      <c r="BO158" s="715"/>
      <c r="BP158" s="715"/>
      <c r="BQ158" s="715"/>
      <c r="BR158" s="715"/>
      <c r="BS158" s="715"/>
      <c r="BT158" s="715"/>
      <c r="BU158" s="716"/>
      <c r="BV158" s="736">
        <v>3153.1</v>
      </c>
      <c r="BW158" s="737"/>
      <c r="BX158" s="737"/>
      <c r="BY158" s="737"/>
      <c r="BZ158" s="737"/>
      <c r="CA158" s="737"/>
      <c r="CB158" s="737"/>
      <c r="CC158" s="737"/>
      <c r="CD158" s="737"/>
      <c r="CE158" s="737"/>
      <c r="CF158" s="737"/>
      <c r="CG158" s="737"/>
      <c r="CH158" s="737"/>
      <c r="CI158" s="737"/>
      <c r="CJ158" s="737"/>
      <c r="CK158" s="738"/>
      <c r="CL158" s="736">
        <v>6.31</v>
      </c>
      <c r="CM158" s="737"/>
      <c r="CN158" s="737"/>
      <c r="CO158" s="737"/>
      <c r="CP158" s="737"/>
      <c r="CQ158" s="737"/>
      <c r="CR158" s="737"/>
      <c r="CS158" s="737"/>
      <c r="CT158" s="737"/>
      <c r="CU158" s="737"/>
      <c r="CV158" s="737"/>
      <c r="CW158" s="737"/>
      <c r="CX158" s="737"/>
      <c r="CY158" s="737"/>
      <c r="CZ158" s="738"/>
      <c r="DA158" s="235"/>
    </row>
    <row r="159" spans="1:105" s="17" customFormat="1" ht="13.2" x14ac:dyDescent="0.25">
      <c r="A159" s="712"/>
      <c r="B159" s="713"/>
      <c r="C159" s="713"/>
      <c r="D159" s="713"/>
      <c r="E159" s="713"/>
      <c r="F159" s="714"/>
      <c r="G159" s="234"/>
      <c r="H159" s="707" t="s">
        <v>374</v>
      </c>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c r="BA159" s="707"/>
      <c r="BB159" s="707"/>
      <c r="BC159" s="707"/>
      <c r="BD159" s="707"/>
      <c r="BE159" s="707"/>
      <c r="BF159" s="707"/>
      <c r="BG159" s="707"/>
      <c r="BH159" s="707"/>
      <c r="BI159" s="707"/>
      <c r="BJ159" s="707"/>
      <c r="BK159" s="707"/>
      <c r="BL159" s="707"/>
      <c r="BM159" s="707"/>
      <c r="BN159" s="707"/>
      <c r="BO159" s="707"/>
      <c r="BP159" s="707"/>
      <c r="BQ159" s="707"/>
      <c r="BR159" s="707"/>
      <c r="BS159" s="707"/>
      <c r="BT159" s="707"/>
      <c r="BU159" s="708"/>
      <c r="BV159" s="739"/>
      <c r="BW159" s="740"/>
      <c r="BX159" s="740"/>
      <c r="BY159" s="740"/>
      <c r="BZ159" s="740"/>
      <c r="CA159" s="740"/>
      <c r="CB159" s="740"/>
      <c r="CC159" s="740"/>
      <c r="CD159" s="740"/>
      <c r="CE159" s="740"/>
      <c r="CF159" s="740"/>
      <c r="CG159" s="740"/>
      <c r="CH159" s="740"/>
      <c r="CI159" s="740"/>
      <c r="CJ159" s="740"/>
      <c r="CK159" s="741"/>
      <c r="CL159" s="739"/>
      <c r="CM159" s="740"/>
      <c r="CN159" s="740"/>
      <c r="CO159" s="740"/>
      <c r="CP159" s="740"/>
      <c r="CQ159" s="740"/>
      <c r="CR159" s="740"/>
      <c r="CS159" s="740"/>
      <c r="CT159" s="740"/>
      <c r="CU159" s="740"/>
      <c r="CV159" s="740"/>
      <c r="CW159" s="740"/>
      <c r="CX159" s="740"/>
      <c r="CY159" s="740"/>
      <c r="CZ159" s="741"/>
      <c r="DA159" s="235"/>
    </row>
    <row r="160" spans="1:105" s="17" customFormat="1" ht="13.2" x14ac:dyDescent="0.25">
      <c r="A160" s="659" t="s">
        <v>73</v>
      </c>
      <c r="B160" s="659"/>
      <c r="C160" s="659"/>
      <c r="D160" s="659"/>
      <c r="E160" s="659"/>
      <c r="F160" s="659"/>
      <c r="G160" s="213"/>
      <c r="H160" s="707" t="s">
        <v>375</v>
      </c>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7"/>
      <c r="AR160" s="707"/>
      <c r="AS160" s="707"/>
      <c r="AT160" s="707"/>
      <c r="AU160" s="707"/>
      <c r="AV160" s="707"/>
      <c r="AW160" s="707"/>
      <c r="AX160" s="707"/>
      <c r="AY160" s="707"/>
      <c r="AZ160" s="707"/>
      <c r="BA160" s="707"/>
      <c r="BB160" s="707"/>
      <c r="BC160" s="707"/>
      <c r="BD160" s="707"/>
      <c r="BE160" s="707"/>
      <c r="BF160" s="707"/>
      <c r="BG160" s="707"/>
      <c r="BH160" s="707"/>
      <c r="BI160" s="707"/>
      <c r="BJ160" s="707"/>
      <c r="BK160" s="707"/>
      <c r="BL160" s="707"/>
      <c r="BM160" s="707"/>
      <c r="BN160" s="707"/>
      <c r="BO160" s="707"/>
      <c r="BP160" s="707"/>
      <c r="BQ160" s="707"/>
      <c r="BR160" s="707"/>
      <c r="BS160" s="707"/>
      <c r="BT160" s="707"/>
      <c r="BU160" s="708"/>
      <c r="BV160" s="582"/>
      <c r="BW160" s="582"/>
      <c r="BX160" s="582"/>
      <c r="BY160" s="582"/>
      <c r="BZ160" s="582"/>
      <c r="CA160" s="582"/>
      <c r="CB160" s="582"/>
      <c r="CC160" s="582"/>
      <c r="CD160" s="582"/>
      <c r="CE160" s="582"/>
      <c r="CF160" s="582"/>
      <c r="CG160" s="582"/>
      <c r="CH160" s="582"/>
      <c r="CI160" s="582"/>
      <c r="CJ160" s="582"/>
      <c r="CK160" s="582"/>
      <c r="CL160" s="582"/>
      <c r="CM160" s="582"/>
      <c r="CN160" s="582"/>
      <c r="CO160" s="582"/>
      <c r="CP160" s="582"/>
      <c r="CQ160" s="582"/>
      <c r="CR160" s="582"/>
      <c r="CS160" s="582"/>
      <c r="CT160" s="582"/>
      <c r="CU160" s="582"/>
      <c r="CV160" s="582"/>
      <c r="CW160" s="582"/>
      <c r="CX160" s="582"/>
      <c r="CY160" s="582"/>
      <c r="CZ160" s="582"/>
      <c r="DA160" s="235"/>
    </row>
    <row r="161" spans="1:105" s="17" customFormat="1" ht="13.2" x14ac:dyDescent="0.25">
      <c r="A161" s="659" t="s">
        <v>74</v>
      </c>
      <c r="B161" s="659"/>
      <c r="C161" s="659"/>
      <c r="D161" s="659"/>
      <c r="E161" s="659"/>
      <c r="F161" s="659"/>
      <c r="G161" s="213"/>
      <c r="H161" s="707" t="s">
        <v>375</v>
      </c>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c r="BA161" s="707"/>
      <c r="BB161" s="707"/>
      <c r="BC161" s="707"/>
      <c r="BD161" s="707"/>
      <c r="BE161" s="707"/>
      <c r="BF161" s="707"/>
      <c r="BG161" s="707"/>
      <c r="BH161" s="707"/>
      <c r="BI161" s="707"/>
      <c r="BJ161" s="707"/>
      <c r="BK161" s="707"/>
      <c r="BL161" s="707"/>
      <c r="BM161" s="707"/>
      <c r="BN161" s="707"/>
      <c r="BO161" s="707"/>
      <c r="BP161" s="707"/>
      <c r="BQ161" s="707"/>
      <c r="BR161" s="707"/>
      <c r="BS161" s="707"/>
      <c r="BT161" s="707"/>
      <c r="BU161" s="708"/>
      <c r="BV161" s="582"/>
      <c r="BW161" s="582"/>
      <c r="BX161" s="582"/>
      <c r="BY161" s="582"/>
      <c r="BZ161" s="582"/>
      <c r="CA161" s="582"/>
      <c r="CB161" s="582"/>
      <c r="CC161" s="582"/>
      <c r="CD161" s="582"/>
      <c r="CE161" s="582"/>
      <c r="CF161" s="582"/>
      <c r="CG161" s="582"/>
      <c r="CH161" s="582"/>
      <c r="CI161" s="582"/>
      <c r="CJ161" s="582"/>
      <c r="CK161" s="582"/>
      <c r="CL161" s="582"/>
      <c r="CM161" s="582"/>
      <c r="CN161" s="582"/>
      <c r="CO161" s="582"/>
      <c r="CP161" s="582"/>
      <c r="CQ161" s="582"/>
      <c r="CR161" s="582"/>
      <c r="CS161" s="582"/>
      <c r="CT161" s="582"/>
      <c r="CU161" s="582"/>
      <c r="CV161" s="582"/>
      <c r="CW161" s="582"/>
      <c r="CX161" s="582"/>
      <c r="CY161" s="582"/>
      <c r="CZ161" s="582"/>
      <c r="DA161" s="235"/>
    </row>
    <row r="162" spans="1:105" s="17" customFormat="1" ht="13.2" x14ac:dyDescent="0.25">
      <c r="A162" s="659"/>
      <c r="B162" s="659"/>
      <c r="C162" s="659"/>
      <c r="D162" s="659"/>
      <c r="E162" s="659"/>
      <c r="F162" s="659"/>
      <c r="G162" s="607" t="s">
        <v>292</v>
      </c>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608"/>
      <c r="AY162" s="608"/>
      <c r="AZ162" s="608"/>
      <c r="BA162" s="608"/>
      <c r="BB162" s="608"/>
      <c r="BC162" s="608"/>
      <c r="BD162" s="608"/>
      <c r="BE162" s="608"/>
      <c r="BF162" s="608"/>
      <c r="BG162" s="608"/>
      <c r="BH162" s="608"/>
      <c r="BI162" s="608"/>
      <c r="BJ162" s="608"/>
      <c r="BK162" s="608"/>
      <c r="BL162" s="608"/>
      <c r="BM162" s="608"/>
      <c r="BN162" s="608"/>
      <c r="BO162" s="608"/>
      <c r="BP162" s="608"/>
      <c r="BQ162" s="608"/>
      <c r="BR162" s="608"/>
      <c r="BS162" s="608"/>
      <c r="BT162" s="608"/>
      <c r="BU162" s="609"/>
      <c r="BV162" s="560" t="s">
        <v>4</v>
      </c>
      <c r="BW162" s="560"/>
      <c r="BX162" s="560"/>
      <c r="BY162" s="560"/>
      <c r="BZ162" s="560"/>
      <c r="CA162" s="560"/>
      <c r="CB162" s="560"/>
      <c r="CC162" s="560"/>
      <c r="CD162" s="560"/>
      <c r="CE162" s="560"/>
      <c r="CF162" s="560"/>
      <c r="CG162" s="560"/>
      <c r="CH162" s="560"/>
      <c r="CI162" s="560"/>
      <c r="CJ162" s="560"/>
      <c r="CK162" s="560"/>
      <c r="CL162" s="560">
        <f>CL153+CL158</f>
        <v>952.2399999999999</v>
      </c>
      <c r="CM162" s="560"/>
      <c r="CN162" s="560"/>
      <c r="CO162" s="560"/>
      <c r="CP162" s="560"/>
      <c r="CQ162" s="560"/>
      <c r="CR162" s="560"/>
      <c r="CS162" s="560"/>
      <c r="CT162" s="560"/>
      <c r="CU162" s="560"/>
      <c r="CV162" s="560"/>
      <c r="CW162" s="560"/>
      <c r="CX162" s="560"/>
      <c r="CY162" s="560"/>
      <c r="CZ162" s="560"/>
      <c r="DA162" s="235"/>
    </row>
    <row r="163" spans="1:105" s="17" customFormat="1" ht="13.2" hidden="1" x14ac:dyDescent="0.25">
      <c r="A163" s="648" t="s">
        <v>258</v>
      </c>
      <c r="B163" s="649"/>
      <c r="C163" s="649"/>
      <c r="D163" s="649"/>
      <c r="E163" s="649"/>
      <c r="F163" s="649"/>
      <c r="G163" s="649"/>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49"/>
      <c r="AY163" s="649"/>
      <c r="AZ163" s="649"/>
      <c r="BA163" s="649"/>
      <c r="BB163" s="649"/>
      <c r="BC163" s="649"/>
      <c r="BD163" s="649"/>
      <c r="BE163" s="649"/>
      <c r="BF163" s="649"/>
      <c r="BG163" s="649"/>
      <c r="BH163" s="649"/>
      <c r="BI163" s="649"/>
      <c r="BJ163" s="649"/>
      <c r="BK163" s="649"/>
      <c r="BL163" s="649"/>
      <c r="BM163" s="649"/>
      <c r="BN163" s="649"/>
      <c r="BO163" s="649"/>
      <c r="BP163" s="649"/>
      <c r="BQ163" s="649"/>
      <c r="BR163" s="649"/>
      <c r="BS163" s="649"/>
      <c r="BT163" s="649"/>
      <c r="BU163" s="649"/>
      <c r="BV163" s="649"/>
      <c r="BW163" s="649"/>
      <c r="BX163" s="649"/>
      <c r="BY163" s="649"/>
      <c r="BZ163" s="649"/>
      <c r="CA163" s="649"/>
      <c r="CB163" s="649"/>
      <c r="CC163" s="649"/>
      <c r="CD163" s="649"/>
      <c r="CE163" s="649"/>
      <c r="CF163" s="649"/>
      <c r="CG163" s="649"/>
      <c r="CH163" s="649"/>
      <c r="CI163" s="649"/>
      <c r="CJ163" s="649"/>
      <c r="CK163" s="649"/>
      <c r="CL163" s="649"/>
      <c r="CM163" s="649"/>
      <c r="CN163" s="649"/>
      <c r="CO163" s="649"/>
      <c r="CP163" s="649"/>
      <c r="CQ163" s="649"/>
      <c r="CR163" s="649"/>
      <c r="CS163" s="649"/>
      <c r="CT163" s="649"/>
      <c r="CU163" s="649"/>
      <c r="CV163" s="649"/>
      <c r="CW163" s="649"/>
      <c r="CX163" s="649"/>
      <c r="CY163" s="649"/>
      <c r="CZ163" s="649"/>
      <c r="DA163" s="235"/>
    </row>
    <row r="164" spans="1:105" s="17" customFormat="1" ht="13.2" hidden="1" x14ac:dyDescent="0.25">
      <c r="A164" s="659" t="s">
        <v>67</v>
      </c>
      <c r="B164" s="659"/>
      <c r="C164" s="659"/>
      <c r="D164" s="659"/>
      <c r="E164" s="659"/>
      <c r="F164" s="659"/>
      <c r="G164" s="213"/>
      <c r="H164" s="585" t="s">
        <v>369</v>
      </c>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5"/>
      <c r="AL164" s="585"/>
      <c r="AM164" s="585"/>
      <c r="AN164" s="585"/>
      <c r="AO164" s="585"/>
      <c r="AP164" s="585"/>
      <c r="AQ164" s="585"/>
      <c r="AR164" s="585"/>
      <c r="AS164" s="585"/>
      <c r="AT164" s="585"/>
      <c r="AU164" s="585"/>
      <c r="AV164" s="585"/>
      <c r="AW164" s="585"/>
      <c r="AX164" s="585"/>
      <c r="AY164" s="585"/>
      <c r="AZ164" s="585"/>
      <c r="BA164" s="585"/>
      <c r="BB164" s="585"/>
      <c r="BC164" s="585"/>
      <c r="BD164" s="585"/>
      <c r="BE164" s="585"/>
      <c r="BF164" s="585"/>
      <c r="BG164" s="585"/>
      <c r="BH164" s="585"/>
      <c r="BI164" s="585"/>
      <c r="BJ164" s="585"/>
      <c r="BK164" s="585"/>
      <c r="BL164" s="585"/>
      <c r="BM164" s="585"/>
      <c r="BN164" s="585"/>
      <c r="BO164" s="585"/>
      <c r="BP164" s="585"/>
      <c r="BQ164" s="585"/>
      <c r="BR164" s="585"/>
      <c r="BS164" s="585"/>
      <c r="BT164" s="585"/>
      <c r="BU164" s="586"/>
      <c r="BV164" s="582" t="s">
        <v>4</v>
      </c>
      <c r="BW164" s="582"/>
      <c r="BX164" s="582"/>
      <c r="BY164" s="582"/>
      <c r="BZ164" s="582"/>
      <c r="CA164" s="582"/>
      <c r="CB164" s="582"/>
      <c r="CC164" s="582"/>
      <c r="CD164" s="582"/>
      <c r="CE164" s="582"/>
      <c r="CF164" s="582"/>
      <c r="CG164" s="582"/>
      <c r="CH164" s="582"/>
      <c r="CI164" s="582"/>
      <c r="CJ164" s="582"/>
      <c r="CK164" s="582"/>
      <c r="CL164" s="582"/>
      <c r="CM164" s="582"/>
      <c r="CN164" s="582"/>
      <c r="CO164" s="582"/>
      <c r="CP164" s="582"/>
      <c r="CQ164" s="582"/>
      <c r="CR164" s="582"/>
      <c r="CS164" s="582"/>
      <c r="CT164" s="582"/>
      <c r="CU164" s="582"/>
      <c r="CV164" s="582"/>
      <c r="CW164" s="582"/>
      <c r="CX164" s="582"/>
      <c r="CY164" s="582"/>
      <c r="CZ164" s="582"/>
      <c r="DA164" s="235"/>
    </row>
    <row r="165" spans="1:105" s="17" customFormat="1" ht="13.2" hidden="1" x14ac:dyDescent="0.25">
      <c r="A165" s="709" t="s">
        <v>68</v>
      </c>
      <c r="B165" s="710"/>
      <c r="C165" s="710"/>
      <c r="D165" s="710"/>
      <c r="E165" s="710"/>
      <c r="F165" s="711"/>
      <c r="G165" s="233"/>
      <c r="H165" s="715" t="s">
        <v>3</v>
      </c>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5"/>
      <c r="AY165" s="715"/>
      <c r="AZ165" s="715"/>
      <c r="BA165" s="715"/>
      <c r="BB165" s="715"/>
      <c r="BC165" s="715"/>
      <c r="BD165" s="715"/>
      <c r="BE165" s="715"/>
      <c r="BF165" s="715"/>
      <c r="BG165" s="715"/>
      <c r="BH165" s="715"/>
      <c r="BI165" s="715"/>
      <c r="BJ165" s="715"/>
      <c r="BK165" s="715"/>
      <c r="BL165" s="715"/>
      <c r="BM165" s="715"/>
      <c r="BN165" s="715"/>
      <c r="BO165" s="715"/>
      <c r="BP165" s="715"/>
      <c r="BQ165" s="715"/>
      <c r="BR165" s="715"/>
      <c r="BS165" s="715"/>
      <c r="BT165" s="715"/>
      <c r="BU165" s="716"/>
      <c r="BV165" s="736"/>
      <c r="BW165" s="737"/>
      <c r="BX165" s="737"/>
      <c r="BY165" s="737"/>
      <c r="BZ165" s="737"/>
      <c r="CA165" s="737"/>
      <c r="CB165" s="737"/>
      <c r="CC165" s="737"/>
      <c r="CD165" s="737"/>
      <c r="CE165" s="737"/>
      <c r="CF165" s="737"/>
      <c r="CG165" s="737"/>
      <c r="CH165" s="737"/>
      <c r="CI165" s="737"/>
      <c r="CJ165" s="737"/>
      <c r="CK165" s="738"/>
      <c r="CL165" s="736"/>
      <c r="CM165" s="737"/>
      <c r="CN165" s="737"/>
      <c r="CO165" s="737"/>
      <c r="CP165" s="737"/>
      <c r="CQ165" s="737"/>
      <c r="CR165" s="737"/>
      <c r="CS165" s="737"/>
      <c r="CT165" s="737"/>
      <c r="CU165" s="737"/>
      <c r="CV165" s="737"/>
      <c r="CW165" s="737"/>
      <c r="CX165" s="737"/>
      <c r="CY165" s="737"/>
      <c r="CZ165" s="738"/>
      <c r="DA165" s="235"/>
    </row>
    <row r="166" spans="1:105" s="17" customFormat="1" ht="13.2" hidden="1" x14ac:dyDescent="0.25">
      <c r="A166" s="712"/>
      <c r="B166" s="713"/>
      <c r="C166" s="713"/>
      <c r="D166" s="713"/>
      <c r="E166" s="713"/>
      <c r="F166" s="714"/>
      <c r="G166" s="234"/>
      <c r="H166" s="707" t="s">
        <v>370</v>
      </c>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c r="BA166" s="707"/>
      <c r="BB166" s="707"/>
      <c r="BC166" s="707"/>
      <c r="BD166" s="707"/>
      <c r="BE166" s="707"/>
      <c r="BF166" s="707"/>
      <c r="BG166" s="707"/>
      <c r="BH166" s="707"/>
      <c r="BI166" s="707"/>
      <c r="BJ166" s="707"/>
      <c r="BK166" s="707"/>
      <c r="BL166" s="707"/>
      <c r="BM166" s="707"/>
      <c r="BN166" s="707"/>
      <c r="BO166" s="707"/>
      <c r="BP166" s="707"/>
      <c r="BQ166" s="707"/>
      <c r="BR166" s="707"/>
      <c r="BS166" s="707"/>
      <c r="BT166" s="707"/>
      <c r="BU166" s="708"/>
      <c r="BV166" s="739"/>
      <c r="BW166" s="740"/>
      <c r="BX166" s="740"/>
      <c r="BY166" s="740"/>
      <c r="BZ166" s="740"/>
      <c r="CA166" s="740"/>
      <c r="CB166" s="740"/>
      <c r="CC166" s="740"/>
      <c r="CD166" s="740"/>
      <c r="CE166" s="740"/>
      <c r="CF166" s="740"/>
      <c r="CG166" s="740"/>
      <c r="CH166" s="740"/>
      <c r="CI166" s="740"/>
      <c r="CJ166" s="740"/>
      <c r="CK166" s="741"/>
      <c r="CL166" s="739"/>
      <c r="CM166" s="740"/>
      <c r="CN166" s="740"/>
      <c r="CO166" s="740"/>
      <c r="CP166" s="740"/>
      <c r="CQ166" s="740"/>
      <c r="CR166" s="740"/>
      <c r="CS166" s="740"/>
      <c r="CT166" s="740"/>
      <c r="CU166" s="740"/>
      <c r="CV166" s="740"/>
      <c r="CW166" s="740"/>
      <c r="CX166" s="740"/>
      <c r="CY166" s="740"/>
      <c r="CZ166" s="741"/>
      <c r="DA166" s="235"/>
    </row>
    <row r="167" spans="1:105" s="17" customFormat="1" ht="13.2" hidden="1" x14ac:dyDescent="0.25">
      <c r="A167" s="659" t="s">
        <v>69</v>
      </c>
      <c r="B167" s="659"/>
      <c r="C167" s="659"/>
      <c r="D167" s="659"/>
      <c r="E167" s="659"/>
      <c r="F167" s="659"/>
      <c r="G167" s="213"/>
      <c r="H167" s="707" t="s">
        <v>371</v>
      </c>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c r="BA167" s="707"/>
      <c r="BB167" s="707"/>
      <c r="BC167" s="707"/>
      <c r="BD167" s="707"/>
      <c r="BE167" s="707"/>
      <c r="BF167" s="707"/>
      <c r="BG167" s="707"/>
      <c r="BH167" s="707"/>
      <c r="BI167" s="707"/>
      <c r="BJ167" s="707"/>
      <c r="BK167" s="707"/>
      <c r="BL167" s="707"/>
      <c r="BM167" s="707"/>
      <c r="BN167" s="707"/>
      <c r="BO167" s="707"/>
      <c r="BP167" s="707"/>
      <c r="BQ167" s="707"/>
      <c r="BR167" s="707"/>
      <c r="BS167" s="707"/>
      <c r="BT167" s="707"/>
      <c r="BU167" s="708"/>
      <c r="BV167" s="582"/>
      <c r="BW167" s="582"/>
      <c r="BX167" s="582"/>
      <c r="BY167" s="582"/>
      <c r="BZ167" s="582"/>
      <c r="CA167" s="582"/>
      <c r="CB167" s="582"/>
      <c r="CC167" s="582"/>
      <c r="CD167" s="582"/>
      <c r="CE167" s="582"/>
      <c r="CF167" s="582"/>
      <c r="CG167" s="582"/>
      <c r="CH167" s="582"/>
      <c r="CI167" s="582"/>
      <c r="CJ167" s="582"/>
      <c r="CK167" s="582"/>
      <c r="CL167" s="582"/>
      <c r="CM167" s="582"/>
      <c r="CN167" s="582"/>
      <c r="CO167" s="582"/>
      <c r="CP167" s="582"/>
      <c r="CQ167" s="582"/>
      <c r="CR167" s="582"/>
      <c r="CS167" s="582"/>
      <c r="CT167" s="582"/>
      <c r="CU167" s="582"/>
      <c r="CV167" s="582"/>
      <c r="CW167" s="582"/>
      <c r="CX167" s="582"/>
      <c r="CY167" s="582"/>
      <c r="CZ167" s="582"/>
      <c r="DA167" s="235"/>
    </row>
    <row r="168" spans="1:105" s="17" customFormat="1" ht="13.2" hidden="1" x14ac:dyDescent="0.25">
      <c r="A168" s="659" t="s">
        <v>70</v>
      </c>
      <c r="B168" s="659"/>
      <c r="C168" s="659"/>
      <c r="D168" s="659"/>
      <c r="E168" s="659"/>
      <c r="F168" s="659"/>
      <c r="G168" s="213"/>
      <c r="H168" s="707" t="s">
        <v>372</v>
      </c>
      <c r="I168" s="707"/>
      <c r="J168" s="707"/>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c r="BA168" s="707"/>
      <c r="BB168" s="707"/>
      <c r="BC168" s="707"/>
      <c r="BD168" s="707"/>
      <c r="BE168" s="707"/>
      <c r="BF168" s="707"/>
      <c r="BG168" s="707"/>
      <c r="BH168" s="707"/>
      <c r="BI168" s="707"/>
      <c r="BJ168" s="707"/>
      <c r="BK168" s="707"/>
      <c r="BL168" s="707"/>
      <c r="BM168" s="707"/>
      <c r="BN168" s="707"/>
      <c r="BO168" s="707"/>
      <c r="BP168" s="707"/>
      <c r="BQ168" s="707"/>
      <c r="BR168" s="707"/>
      <c r="BS168" s="707"/>
      <c r="BT168" s="707"/>
      <c r="BU168" s="708"/>
      <c r="BV168" s="582"/>
      <c r="BW168" s="582"/>
      <c r="BX168" s="582"/>
      <c r="BY168" s="582"/>
      <c r="BZ168" s="582"/>
      <c r="CA168" s="582"/>
      <c r="CB168" s="582"/>
      <c r="CC168" s="582"/>
      <c r="CD168" s="582"/>
      <c r="CE168" s="582"/>
      <c r="CF168" s="582"/>
      <c r="CG168" s="582"/>
      <c r="CH168" s="582"/>
      <c r="CI168" s="582"/>
      <c r="CJ168" s="582"/>
      <c r="CK168" s="582"/>
      <c r="CL168" s="582"/>
      <c r="CM168" s="582"/>
      <c r="CN168" s="582"/>
      <c r="CO168" s="582"/>
      <c r="CP168" s="582"/>
      <c r="CQ168" s="582"/>
      <c r="CR168" s="582"/>
      <c r="CS168" s="582"/>
      <c r="CT168" s="582"/>
      <c r="CU168" s="582"/>
      <c r="CV168" s="582"/>
      <c r="CW168" s="582"/>
      <c r="CX168" s="582"/>
      <c r="CY168" s="582"/>
      <c r="CZ168" s="582"/>
      <c r="DA168" s="235"/>
    </row>
    <row r="169" spans="1:105" s="17" customFormat="1" ht="13.2" hidden="1" x14ac:dyDescent="0.25">
      <c r="A169" s="659" t="s">
        <v>71</v>
      </c>
      <c r="B169" s="659"/>
      <c r="C169" s="659"/>
      <c r="D169" s="659"/>
      <c r="E169" s="659"/>
      <c r="F169" s="659"/>
      <c r="G169" s="213"/>
      <c r="H169" s="585" t="s">
        <v>373</v>
      </c>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c r="AV169" s="585"/>
      <c r="AW169" s="585"/>
      <c r="AX169" s="585"/>
      <c r="AY169" s="585"/>
      <c r="AZ169" s="585"/>
      <c r="BA169" s="585"/>
      <c r="BB169" s="585"/>
      <c r="BC169" s="585"/>
      <c r="BD169" s="585"/>
      <c r="BE169" s="585"/>
      <c r="BF169" s="585"/>
      <c r="BG169" s="585"/>
      <c r="BH169" s="585"/>
      <c r="BI169" s="585"/>
      <c r="BJ169" s="585"/>
      <c r="BK169" s="585"/>
      <c r="BL169" s="585"/>
      <c r="BM169" s="585"/>
      <c r="BN169" s="585"/>
      <c r="BO169" s="585"/>
      <c r="BP169" s="585"/>
      <c r="BQ169" s="585"/>
      <c r="BR169" s="585"/>
      <c r="BS169" s="585"/>
      <c r="BT169" s="585"/>
      <c r="BU169" s="586"/>
      <c r="BV169" s="582" t="s">
        <v>4</v>
      </c>
      <c r="BW169" s="582"/>
      <c r="BX169" s="582"/>
      <c r="BY169" s="582"/>
      <c r="BZ169" s="582"/>
      <c r="CA169" s="582"/>
      <c r="CB169" s="582"/>
      <c r="CC169" s="582"/>
      <c r="CD169" s="582"/>
      <c r="CE169" s="582"/>
      <c r="CF169" s="582"/>
      <c r="CG169" s="582"/>
      <c r="CH169" s="582"/>
      <c r="CI169" s="582"/>
      <c r="CJ169" s="582"/>
      <c r="CK169" s="582"/>
      <c r="CL169" s="582"/>
      <c r="CM169" s="582"/>
      <c r="CN169" s="582"/>
      <c r="CO169" s="582"/>
      <c r="CP169" s="582"/>
      <c r="CQ169" s="582"/>
      <c r="CR169" s="582"/>
      <c r="CS169" s="582"/>
      <c r="CT169" s="582"/>
      <c r="CU169" s="582"/>
      <c r="CV169" s="582"/>
      <c r="CW169" s="582"/>
      <c r="CX169" s="582"/>
      <c r="CY169" s="582"/>
      <c r="CZ169" s="582"/>
      <c r="DA169" s="235"/>
    </row>
    <row r="170" spans="1:105" s="17" customFormat="1" ht="13.2" hidden="1" x14ac:dyDescent="0.25">
      <c r="A170" s="709" t="s">
        <v>72</v>
      </c>
      <c r="B170" s="710"/>
      <c r="C170" s="710"/>
      <c r="D170" s="710"/>
      <c r="E170" s="710"/>
      <c r="F170" s="711"/>
      <c r="G170" s="233"/>
      <c r="H170" s="715" t="s">
        <v>3</v>
      </c>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5"/>
      <c r="AK170" s="715"/>
      <c r="AL170" s="715"/>
      <c r="AM170" s="715"/>
      <c r="AN170" s="715"/>
      <c r="AO170" s="715"/>
      <c r="AP170" s="715"/>
      <c r="AQ170" s="715"/>
      <c r="AR170" s="715"/>
      <c r="AS170" s="715"/>
      <c r="AT170" s="715"/>
      <c r="AU170" s="715"/>
      <c r="AV170" s="715"/>
      <c r="AW170" s="715"/>
      <c r="AX170" s="715"/>
      <c r="AY170" s="715"/>
      <c r="AZ170" s="715"/>
      <c r="BA170" s="715"/>
      <c r="BB170" s="715"/>
      <c r="BC170" s="715"/>
      <c r="BD170" s="715"/>
      <c r="BE170" s="715"/>
      <c r="BF170" s="715"/>
      <c r="BG170" s="715"/>
      <c r="BH170" s="715"/>
      <c r="BI170" s="715"/>
      <c r="BJ170" s="715"/>
      <c r="BK170" s="715"/>
      <c r="BL170" s="715"/>
      <c r="BM170" s="715"/>
      <c r="BN170" s="715"/>
      <c r="BO170" s="715"/>
      <c r="BP170" s="715"/>
      <c r="BQ170" s="715"/>
      <c r="BR170" s="715"/>
      <c r="BS170" s="715"/>
      <c r="BT170" s="715"/>
      <c r="BU170" s="716"/>
      <c r="BV170" s="736"/>
      <c r="BW170" s="737"/>
      <c r="BX170" s="737"/>
      <c r="BY170" s="737"/>
      <c r="BZ170" s="737"/>
      <c r="CA170" s="737"/>
      <c r="CB170" s="737"/>
      <c r="CC170" s="737"/>
      <c r="CD170" s="737"/>
      <c r="CE170" s="737"/>
      <c r="CF170" s="737"/>
      <c r="CG170" s="737"/>
      <c r="CH170" s="737"/>
      <c r="CI170" s="737"/>
      <c r="CJ170" s="737"/>
      <c r="CK170" s="738"/>
      <c r="CL170" s="736"/>
      <c r="CM170" s="737"/>
      <c r="CN170" s="737"/>
      <c r="CO170" s="737"/>
      <c r="CP170" s="737"/>
      <c r="CQ170" s="737"/>
      <c r="CR170" s="737"/>
      <c r="CS170" s="737"/>
      <c r="CT170" s="737"/>
      <c r="CU170" s="737"/>
      <c r="CV170" s="737"/>
      <c r="CW170" s="737"/>
      <c r="CX170" s="737"/>
      <c r="CY170" s="737"/>
      <c r="CZ170" s="738"/>
      <c r="DA170" s="235"/>
    </row>
    <row r="171" spans="1:105" s="17" customFormat="1" ht="13.2" hidden="1" x14ac:dyDescent="0.25">
      <c r="A171" s="712"/>
      <c r="B171" s="713"/>
      <c r="C171" s="713"/>
      <c r="D171" s="713"/>
      <c r="E171" s="713"/>
      <c r="F171" s="714"/>
      <c r="G171" s="234"/>
      <c r="H171" s="707" t="s">
        <v>374</v>
      </c>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c r="BA171" s="707"/>
      <c r="BB171" s="707"/>
      <c r="BC171" s="707"/>
      <c r="BD171" s="707"/>
      <c r="BE171" s="707"/>
      <c r="BF171" s="707"/>
      <c r="BG171" s="707"/>
      <c r="BH171" s="707"/>
      <c r="BI171" s="707"/>
      <c r="BJ171" s="707"/>
      <c r="BK171" s="707"/>
      <c r="BL171" s="707"/>
      <c r="BM171" s="707"/>
      <c r="BN171" s="707"/>
      <c r="BO171" s="707"/>
      <c r="BP171" s="707"/>
      <c r="BQ171" s="707"/>
      <c r="BR171" s="707"/>
      <c r="BS171" s="707"/>
      <c r="BT171" s="707"/>
      <c r="BU171" s="708"/>
      <c r="BV171" s="739"/>
      <c r="BW171" s="740"/>
      <c r="BX171" s="740"/>
      <c r="BY171" s="740"/>
      <c r="BZ171" s="740"/>
      <c r="CA171" s="740"/>
      <c r="CB171" s="740"/>
      <c r="CC171" s="740"/>
      <c r="CD171" s="740"/>
      <c r="CE171" s="740"/>
      <c r="CF171" s="740"/>
      <c r="CG171" s="740"/>
      <c r="CH171" s="740"/>
      <c r="CI171" s="740"/>
      <c r="CJ171" s="740"/>
      <c r="CK171" s="741"/>
      <c r="CL171" s="739"/>
      <c r="CM171" s="740"/>
      <c r="CN171" s="740"/>
      <c r="CO171" s="740"/>
      <c r="CP171" s="740"/>
      <c r="CQ171" s="740"/>
      <c r="CR171" s="740"/>
      <c r="CS171" s="740"/>
      <c r="CT171" s="740"/>
      <c r="CU171" s="740"/>
      <c r="CV171" s="740"/>
      <c r="CW171" s="740"/>
      <c r="CX171" s="740"/>
      <c r="CY171" s="740"/>
      <c r="CZ171" s="741"/>
      <c r="DA171" s="235"/>
    </row>
    <row r="172" spans="1:105" s="17" customFormat="1" ht="13.2" hidden="1" x14ac:dyDescent="0.25">
      <c r="A172" s="659" t="s">
        <v>73</v>
      </c>
      <c r="B172" s="659"/>
      <c r="C172" s="659"/>
      <c r="D172" s="659"/>
      <c r="E172" s="659"/>
      <c r="F172" s="659"/>
      <c r="G172" s="213"/>
      <c r="H172" s="707" t="s">
        <v>375</v>
      </c>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c r="BA172" s="707"/>
      <c r="BB172" s="707"/>
      <c r="BC172" s="707"/>
      <c r="BD172" s="707"/>
      <c r="BE172" s="707"/>
      <c r="BF172" s="707"/>
      <c r="BG172" s="707"/>
      <c r="BH172" s="707"/>
      <c r="BI172" s="707"/>
      <c r="BJ172" s="707"/>
      <c r="BK172" s="707"/>
      <c r="BL172" s="707"/>
      <c r="BM172" s="707"/>
      <c r="BN172" s="707"/>
      <c r="BO172" s="707"/>
      <c r="BP172" s="707"/>
      <c r="BQ172" s="707"/>
      <c r="BR172" s="707"/>
      <c r="BS172" s="707"/>
      <c r="BT172" s="707"/>
      <c r="BU172" s="708"/>
      <c r="BV172" s="582"/>
      <c r="BW172" s="582"/>
      <c r="BX172" s="582"/>
      <c r="BY172" s="582"/>
      <c r="BZ172" s="582"/>
      <c r="CA172" s="582"/>
      <c r="CB172" s="582"/>
      <c r="CC172" s="582"/>
      <c r="CD172" s="582"/>
      <c r="CE172" s="582"/>
      <c r="CF172" s="582"/>
      <c r="CG172" s="582"/>
      <c r="CH172" s="582"/>
      <c r="CI172" s="582"/>
      <c r="CJ172" s="582"/>
      <c r="CK172" s="582"/>
      <c r="CL172" s="582"/>
      <c r="CM172" s="582"/>
      <c r="CN172" s="582"/>
      <c r="CO172" s="582"/>
      <c r="CP172" s="582"/>
      <c r="CQ172" s="582"/>
      <c r="CR172" s="582"/>
      <c r="CS172" s="582"/>
      <c r="CT172" s="582"/>
      <c r="CU172" s="582"/>
      <c r="CV172" s="582"/>
      <c r="CW172" s="582"/>
      <c r="CX172" s="582"/>
      <c r="CY172" s="582"/>
      <c r="CZ172" s="582"/>
      <c r="DA172" s="235"/>
    </row>
    <row r="173" spans="1:105" s="17" customFormat="1" ht="13.2" hidden="1" x14ac:dyDescent="0.25">
      <c r="A173" s="659" t="s">
        <v>74</v>
      </c>
      <c r="B173" s="659"/>
      <c r="C173" s="659"/>
      <c r="D173" s="659"/>
      <c r="E173" s="659"/>
      <c r="F173" s="659"/>
      <c r="G173" s="213"/>
      <c r="H173" s="707" t="s">
        <v>375</v>
      </c>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c r="BA173" s="707"/>
      <c r="BB173" s="707"/>
      <c r="BC173" s="707"/>
      <c r="BD173" s="707"/>
      <c r="BE173" s="707"/>
      <c r="BF173" s="707"/>
      <c r="BG173" s="707"/>
      <c r="BH173" s="707"/>
      <c r="BI173" s="707"/>
      <c r="BJ173" s="707"/>
      <c r="BK173" s="707"/>
      <c r="BL173" s="707"/>
      <c r="BM173" s="707"/>
      <c r="BN173" s="707"/>
      <c r="BO173" s="707"/>
      <c r="BP173" s="707"/>
      <c r="BQ173" s="707"/>
      <c r="BR173" s="707"/>
      <c r="BS173" s="707"/>
      <c r="BT173" s="707"/>
      <c r="BU173" s="708"/>
      <c r="BV173" s="582"/>
      <c r="BW173" s="582"/>
      <c r="BX173" s="582"/>
      <c r="BY173" s="582"/>
      <c r="BZ173" s="582"/>
      <c r="CA173" s="582"/>
      <c r="CB173" s="582"/>
      <c r="CC173" s="582"/>
      <c r="CD173" s="582"/>
      <c r="CE173" s="582"/>
      <c r="CF173" s="582"/>
      <c r="CG173" s="582"/>
      <c r="CH173" s="582"/>
      <c r="CI173" s="582"/>
      <c r="CJ173" s="582"/>
      <c r="CK173" s="582"/>
      <c r="CL173" s="582"/>
      <c r="CM173" s="582"/>
      <c r="CN173" s="582"/>
      <c r="CO173" s="582"/>
      <c r="CP173" s="582"/>
      <c r="CQ173" s="582"/>
      <c r="CR173" s="582"/>
      <c r="CS173" s="582"/>
      <c r="CT173" s="582"/>
      <c r="CU173" s="582"/>
      <c r="CV173" s="582"/>
      <c r="CW173" s="582"/>
      <c r="CX173" s="582"/>
      <c r="CY173" s="582"/>
      <c r="CZ173" s="582"/>
      <c r="DA173" s="235"/>
    </row>
    <row r="174" spans="1:105" s="17" customFormat="1" ht="13.2" hidden="1" x14ac:dyDescent="0.25">
      <c r="A174" s="659"/>
      <c r="B174" s="659"/>
      <c r="C174" s="659"/>
      <c r="D174" s="659"/>
      <c r="E174" s="659"/>
      <c r="F174" s="659"/>
      <c r="G174" s="607" t="s">
        <v>292</v>
      </c>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08"/>
      <c r="AY174" s="608"/>
      <c r="AZ174" s="608"/>
      <c r="BA174" s="608"/>
      <c r="BB174" s="608"/>
      <c r="BC174" s="608"/>
      <c r="BD174" s="608"/>
      <c r="BE174" s="608"/>
      <c r="BF174" s="608"/>
      <c r="BG174" s="608"/>
      <c r="BH174" s="608"/>
      <c r="BI174" s="608"/>
      <c r="BJ174" s="608"/>
      <c r="BK174" s="608"/>
      <c r="BL174" s="608"/>
      <c r="BM174" s="608"/>
      <c r="BN174" s="608"/>
      <c r="BO174" s="608"/>
      <c r="BP174" s="608"/>
      <c r="BQ174" s="608"/>
      <c r="BR174" s="608"/>
      <c r="BS174" s="608"/>
      <c r="BT174" s="608"/>
      <c r="BU174" s="609"/>
      <c r="BV174" s="560" t="s">
        <v>4</v>
      </c>
      <c r="BW174" s="560"/>
      <c r="BX174" s="560"/>
      <c r="BY174" s="560"/>
      <c r="BZ174" s="560"/>
      <c r="CA174" s="560"/>
      <c r="CB174" s="560"/>
      <c r="CC174" s="560"/>
      <c r="CD174" s="560"/>
      <c r="CE174" s="560"/>
      <c r="CF174" s="560"/>
      <c r="CG174" s="560"/>
      <c r="CH174" s="560"/>
      <c r="CI174" s="560"/>
      <c r="CJ174" s="560"/>
      <c r="CK174" s="560"/>
      <c r="CL174" s="560"/>
      <c r="CM174" s="560"/>
      <c r="CN174" s="560"/>
      <c r="CO174" s="560"/>
      <c r="CP174" s="560"/>
      <c r="CQ174" s="560"/>
      <c r="CR174" s="560"/>
      <c r="CS174" s="560"/>
      <c r="CT174" s="560"/>
      <c r="CU174" s="560"/>
      <c r="CV174" s="560"/>
      <c r="CW174" s="560"/>
      <c r="CX174" s="560"/>
      <c r="CY174" s="560"/>
      <c r="CZ174" s="560"/>
      <c r="DA174" s="235"/>
    </row>
    <row r="175" spans="1:105" s="17" customFormat="1" ht="13.2" x14ac:dyDescent="0.25">
      <c r="A175" s="659"/>
      <c r="B175" s="659"/>
      <c r="C175" s="659"/>
      <c r="D175" s="659"/>
      <c r="E175" s="659"/>
      <c r="F175" s="659"/>
      <c r="G175" s="607" t="s">
        <v>56</v>
      </c>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c r="AN175" s="608"/>
      <c r="AO175" s="608"/>
      <c r="AP175" s="608"/>
      <c r="AQ175" s="608"/>
      <c r="AR175" s="608"/>
      <c r="AS175" s="608"/>
      <c r="AT175" s="608"/>
      <c r="AU175" s="608"/>
      <c r="AV175" s="608"/>
      <c r="AW175" s="608"/>
      <c r="AX175" s="608"/>
      <c r="AY175" s="608"/>
      <c r="AZ175" s="608"/>
      <c r="BA175" s="608"/>
      <c r="BB175" s="608"/>
      <c r="BC175" s="608"/>
      <c r="BD175" s="608"/>
      <c r="BE175" s="608"/>
      <c r="BF175" s="608"/>
      <c r="BG175" s="608"/>
      <c r="BH175" s="608"/>
      <c r="BI175" s="608"/>
      <c r="BJ175" s="608"/>
      <c r="BK175" s="608"/>
      <c r="BL175" s="608"/>
      <c r="BM175" s="608"/>
      <c r="BN175" s="608"/>
      <c r="BO175" s="608"/>
      <c r="BP175" s="608"/>
      <c r="BQ175" s="608"/>
      <c r="BR175" s="608"/>
      <c r="BS175" s="608"/>
      <c r="BT175" s="608"/>
      <c r="BU175" s="609"/>
      <c r="BV175" s="560" t="s">
        <v>4</v>
      </c>
      <c r="BW175" s="560"/>
      <c r="BX175" s="560"/>
      <c r="BY175" s="560"/>
      <c r="BZ175" s="560"/>
      <c r="CA175" s="560"/>
      <c r="CB175" s="560"/>
      <c r="CC175" s="560"/>
      <c r="CD175" s="560"/>
      <c r="CE175" s="560"/>
      <c r="CF175" s="560"/>
      <c r="CG175" s="560"/>
      <c r="CH175" s="560"/>
      <c r="CI175" s="560"/>
      <c r="CJ175" s="560"/>
      <c r="CK175" s="560"/>
      <c r="CL175" s="560">
        <f>CL162+CL174</f>
        <v>952.2399999999999</v>
      </c>
      <c r="CM175" s="560"/>
      <c r="CN175" s="560"/>
      <c r="CO175" s="560"/>
      <c r="CP175" s="560"/>
      <c r="CQ175" s="560"/>
      <c r="CR175" s="560"/>
      <c r="CS175" s="560"/>
      <c r="CT175" s="560"/>
      <c r="CU175" s="560"/>
      <c r="CV175" s="560"/>
      <c r="CW175" s="560"/>
      <c r="CX175" s="560"/>
      <c r="CY175" s="560"/>
      <c r="CZ175" s="560"/>
      <c r="DA175" s="235"/>
    </row>
    <row r="176" spans="1:105" s="17" customFormat="1" ht="13.2" x14ac:dyDescent="0.25">
      <c r="A176" s="221"/>
      <c r="B176" s="221"/>
      <c r="C176" s="221"/>
      <c r="D176" s="221"/>
      <c r="E176" s="221"/>
      <c r="F176" s="22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9"/>
      <c r="CM176" s="45"/>
      <c r="CN176" s="45"/>
      <c r="CO176" s="45"/>
      <c r="CP176" s="45"/>
      <c r="CQ176" s="45"/>
      <c r="CR176" s="45"/>
      <c r="CS176" s="45"/>
      <c r="CT176" s="45"/>
      <c r="CU176" s="45"/>
      <c r="CV176" s="45"/>
      <c r="CW176" s="45"/>
      <c r="CX176" s="45"/>
      <c r="CY176" s="45"/>
      <c r="CZ176" s="45"/>
      <c r="DA176" s="235"/>
    </row>
    <row r="177" spans="1:105" s="20" customFormat="1" hidden="1" x14ac:dyDescent="0.25">
      <c r="A177" s="742" t="s">
        <v>568</v>
      </c>
      <c r="B177" s="742"/>
      <c r="C177" s="742"/>
      <c r="D177" s="742"/>
      <c r="E177" s="742"/>
      <c r="F177" s="742"/>
      <c r="G177" s="742"/>
      <c r="H177" s="742"/>
      <c r="I177" s="742"/>
      <c r="J177" s="742"/>
      <c r="K177" s="742"/>
      <c r="L177" s="742"/>
      <c r="M177" s="742"/>
      <c r="N177" s="742"/>
      <c r="O177" s="742"/>
      <c r="P177" s="742"/>
      <c r="Q177" s="742"/>
      <c r="R177" s="742"/>
      <c r="S177" s="742"/>
      <c r="T177" s="742"/>
      <c r="U177" s="742"/>
      <c r="V177" s="742"/>
      <c r="W177" s="742"/>
      <c r="X177" s="742"/>
      <c r="Y177" s="742"/>
      <c r="Z177" s="742"/>
      <c r="AA177" s="742"/>
      <c r="AB177" s="742"/>
      <c r="AC177" s="742"/>
      <c r="AD177" s="742"/>
      <c r="AE177" s="742"/>
      <c r="AF177" s="742"/>
      <c r="AG177" s="742"/>
      <c r="AH177" s="742"/>
      <c r="AI177" s="742"/>
      <c r="AJ177" s="742"/>
      <c r="AK177" s="742"/>
      <c r="AL177" s="742"/>
      <c r="AM177" s="742"/>
      <c r="AN177" s="742"/>
      <c r="AO177" s="742"/>
      <c r="AP177" s="742"/>
      <c r="AQ177" s="742"/>
      <c r="AR177" s="742"/>
      <c r="AS177" s="742"/>
      <c r="AT177" s="742"/>
      <c r="AU177" s="742"/>
      <c r="AV177" s="742"/>
      <c r="AW177" s="742"/>
      <c r="AX177" s="742"/>
      <c r="AY177" s="742"/>
      <c r="AZ177" s="742"/>
      <c r="BA177" s="742"/>
      <c r="BB177" s="742"/>
      <c r="BC177" s="742"/>
      <c r="BD177" s="742"/>
      <c r="BE177" s="742"/>
      <c r="BF177" s="742"/>
      <c r="BG177" s="742"/>
      <c r="BH177" s="742"/>
      <c r="BI177" s="742"/>
      <c r="BJ177" s="742"/>
      <c r="BK177" s="742"/>
      <c r="BL177" s="742"/>
      <c r="BM177" s="742"/>
      <c r="BN177" s="742"/>
      <c r="BO177" s="742"/>
      <c r="BP177" s="742"/>
      <c r="BQ177" s="742"/>
      <c r="BR177" s="742"/>
      <c r="BS177" s="742"/>
      <c r="BT177" s="742"/>
      <c r="BU177" s="742"/>
      <c r="BV177" s="742"/>
      <c r="BW177" s="742"/>
      <c r="BX177" s="742"/>
      <c r="BY177" s="742"/>
      <c r="BZ177" s="742"/>
      <c r="CA177" s="742"/>
      <c r="CB177" s="742"/>
      <c r="CC177" s="742"/>
      <c r="CD177" s="742"/>
      <c r="CE177" s="742"/>
      <c r="CF177" s="742"/>
      <c r="CG177" s="742"/>
      <c r="CH177" s="742"/>
      <c r="CI177" s="742"/>
      <c r="CJ177" s="742"/>
      <c r="CK177" s="742"/>
      <c r="CL177" s="742"/>
      <c r="CM177" s="742"/>
      <c r="CN177" s="742"/>
      <c r="CO177" s="742"/>
      <c r="CP177" s="742"/>
      <c r="CQ177" s="742"/>
      <c r="CR177" s="742"/>
      <c r="CS177" s="742"/>
      <c r="CT177" s="742"/>
      <c r="CU177" s="742"/>
      <c r="CV177" s="742"/>
      <c r="CW177" s="742"/>
      <c r="CX177" s="742"/>
      <c r="CY177" s="742"/>
      <c r="CZ177" s="742"/>
    </row>
    <row r="178" spans="1:105" hidden="1" x14ac:dyDescent="0.25"/>
    <row r="179" spans="1:105" s="20" customFormat="1" hidden="1" x14ac:dyDescent="0.25">
      <c r="A179" s="20" t="s">
        <v>47</v>
      </c>
      <c r="W179" s="595" t="s">
        <v>466</v>
      </c>
      <c r="X179" s="595"/>
      <c r="Y179" s="595"/>
      <c r="Z179" s="595"/>
      <c r="AA179" s="595"/>
      <c r="AB179" s="595"/>
      <c r="AC179" s="595"/>
      <c r="AD179" s="595"/>
      <c r="AE179" s="595"/>
      <c r="AF179" s="595"/>
      <c r="AG179" s="595"/>
      <c r="AH179" s="595"/>
      <c r="AI179" s="595"/>
      <c r="AJ179" s="595"/>
      <c r="AK179" s="595"/>
      <c r="AL179" s="595"/>
      <c r="AM179" s="595"/>
      <c r="AN179" s="595"/>
      <c r="AO179" s="595"/>
      <c r="AP179" s="595"/>
      <c r="AQ179" s="595"/>
      <c r="AR179" s="595"/>
      <c r="AS179" s="595"/>
      <c r="AT179" s="595"/>
      <c r="AU179" s="595"/>
      <c r="AV179" s="595"/>
      <c r="AW179" s="595"/>
      <c r="AX179" s="595"/>
      <c r="AY179" s="595"/>
      <c r="AZ179" s="595"/>
      <c r="BA179" s="595"/>
      <c r="BB179" s="595"/>
      <c r="BC179" s="595"/>
      <c r="BD179" s="595"/>
      <c r="BE179" s="595"/>
      <c r="BF179" s="595"/>
      <c r="BG179" s="595"/>
      <c r="BH179" s="595"/>
      <c r="BI179" s="595"/>
      <c r="BJ179" s="595"/>
      <c r="BK179" s="595"/>
      <c r="BL179" s="595"/>
      <c r="BM179" s="595"/>
      <c r="BN179" s="595"/>
      <c r="BO179" s="595"/>
      <c r="BP179" s="595"/>
      <c r="BQ179" s="595"/>
      <c r="BR179" s="595"/>
      <c r="BS179" s="595"/>
      <c r="BT179" s="595"/>
      <c r="BU179" s="595"/>
      <c r="BV179" s="595"/>
      <c r="BW179" s="595"/>
      <c r="BX179" s="595"/>
      <c r="BY179" s="595"/>
      <c r="BZ179" s="595"/>
      <c r="CA179" s="595"/>
      <c r="CB179" s="595"/>
      <c r="CC179" s="595"/>
      <c r="CD179" s="595"/>
      <c r="CE179" s="595"/>
      <c r="CF179" s="595"/>
      <c r="CG179" s="595"/>
      <c r="CH179" s="595"/>
      <c r="CI179" s="595"/>
      <c r="CJ179" s="595"/>
      <c r="CK179" s="595"/>
      <c r="CL179" s="595"/>
      <c r="CM179" s="595"/>
      <c r="CN179" s="595"/>
      <c r="CO179" s="595"/>
      <c r="CP179" s="595"/>
      <c r="CQ179" s="595"/>
      <c r="CR179" s="595"/>
      <c r="CS179" s="595"/>
      <c r="CT179" s="595"/>
      <c r="CU179" s="595"/>
      <c r="CV179" s="595"/>
      <c r="CW179" s="595"/>
      <c r="CX179" s="595"/>
      <c r="CY179" s="595"/>
      <c r="CZ179" s="595"/>
    </row>
    <row r="180" spans="1:105" hidden="1" x14ac:dyDescent="0.25"/>
    <row r="181" spans="1:105" s="18" customFormat="1" ht="13.2" hidden="1" x14ac:dyDescent="0.3">
      <c r="A181" s="475" t="s">
        <v>49</v>
      </c>
      <c r="B181" s="476"/>
      <c r="C181" s="476"/>
      <c r="D181" s="476"/>
      <c r="E181" s="476"/>
      <c r="F181" s="476"/>
      <c r="G181" s="477"/>
      <c r="H181" s="475" t="s">
        <v>0</v>
      </c>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76"/>
      <c r="AP181" s="476"/>
      <c r="AQ181" s="476"/>
      <c r="AR181" s="476"/>
      <c r="AS181" s="476"/>
      <c r="AT181" s="476"/>
      <c r="AU181" s="476"/>
      <c r="AV181" s="476"/>
      <c r="AW181" s="476"/>
      <c r="AX181" s="476"/>
      <c r="AY181" s="476"/>
      <c r="AZ181" s="476"/>
      <c r="BA181" s="476"/>
      <c r="BB181" s="477"/>
      <c r="BC181" s="606" t="s">
        <v>75</v>
      </c>
      <c r="BD181" s="606"/>
      <c r="BE181" s="606"/>
      <c r="BF181" s="606"/>
      <c r="BG181" s="606"/>
      <c r="BH181" s="606"/>
      <c r="BI181" s="606"/>
      <c r="BJ181" s="606"/>
      <c r="BK181" s="606"/>
      <c r="BL181" s="606"/>
      <c r="BM181" s="606"/>
      <c r="BN181" s="606"/>
      <c r="BO181" s="606"/>
      <c r="BP181" s="606"/>
      <c r="BQ181" s="606"/>
      <c r="BR181" s="606"/>
      <c r="BS181" s="606" t="s">
        <v>76</v>
      </c>
      <c r="BT181" s="606"/>
      <c r="BU181" s="606"/>
      <c r="BV181" s="606"/>
      <c r="BW181" s="606"/>
      <c r="BX181" s="606"/>
      <c r="BY181" s="606"/>
      <c r="BZ181" s="606"/>
      <c r="CA181" s="606"/>
      <c r="CB181" s="606"/>
      <c r="CC181" s="606"/>
      <c r="CD181" s="606"/>
      <c r="CE181" s="606"/>
      <c r="CF181" s="606"/>
      <c r="CG181" s="606"/>
      <c r="CH181" s="606"/>
      <c r="CI181" s="606" t="s">
        <v>77</v>
      </c>
      <c r="CJ181" s="606"/>
      <c r="CK181" s="606"/>
      <c r="CL181" s="606"/>
      <c r="CM181" s="606"/>
      <c r="CN181" s="606"/>
      <c r="CO181" s="606"/>
      <c r="CP181" s="606"/>
      <c r="CQ181" s="606"/>
      <c r="CR181" s="606"/>
      <c r="CS181" s="606"/>
      <c r="CT181" s="606"/>
      <c r="CU181" s="606"/>
      <c r="CV181" s="606"/>
      <c r="CW181" s="606"/>
      <c r="CX181" s="606"/>
      <c r="CY181" s="606"/>
      <c r="CZ181" s="606"/>
      <c r="DA181" s="218"/>
    </row>
    <row r="182" spans="1:105" s="15" customFormat="1" ht="13.2" hidden="1" x14ac:dyDescent="0.3">
      <c r="A182" s="591">
        <v>1</v>
      </c>
      <c r="B182" s="591"/>
      <c r="C182" s="591"/>
      <c r="D182" s="591"/>
      <c r="E182" s="591"/>
      <c r="F182" s="591"/>
      <c r="G182" s="591"/>
      <c r="H182" s="591">
        <v>2</v>
      </c>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1"/>
      <c r="AL182" s="591"/>
      <c r="AM182" s="591"/>
      <c r="AN182" s="591"/>
      <c r="AO182" s="591"/>
      <c r="AP182" s="591"/>
      <c r="AQ182" s="591"/>
      <c r="AR182" s="591"/>
      <c r="AS182" s="591"/>
      <c r="AT182" s="591"/>
      <c r="AU182" s="591"/>
      <c r="AV182" s="591"/>
      <c r="AW182" s="591"/>
      <c r="AX182" s="591"/>
      <c r="AY182" s="591"/>
      <c r="AZ182" s="591"/>
      <c r="BA182" s="591"/>
      <c r="BB182" s="591"/>
      <c r="BC182" s="591">
        <v>3</v>
      </c>
      <c r="BD182" s="591"/>
      <c r="BE182" s="591"/>
      <c r="BF182" s="591"/>
      <c r="BG182" s="591"/>
      <c r="BH182" s="591"/>
      <c r="BI182" s="591"/>
      <c r="BJ182" s="591"/>
      <c r="BK182" s="591"/>
      <c r="BL182" s="591"/>
      <c r="BM182" s="591"/>
      <c r="BN182" s="591"/>
      <c r="BO182" s="591"/>
      <c r="BP182" s="591"/>
      <c r="BQ182" s="591"/>
      <c r="BR182" s="591"/>
      <c r="BS182" s="591">
        <v>4</v>
      </c>
      <c r="BT182" s="591"/>
      <c r="BU182" s="591"/>
      <c r="BV182" s="591"/>
      <c r="BW182" s="591"/>
      <c r="BX182" s="591"/>
      <c r="BY182" s="591"/>
      <c r="BZ182" s="591"/>
      <c r="CA182" s="591"/>
      <c r="CB182" s="591"/>
      <c r="CC182" s="591"/>
      <c r="CD182" s="591"/>
      <c r="CE182" s="591"/>
      <c r="CF182" s="591"/>
      <c r="CG182" s="591"/>
      <c r="CH182" s="591"/>
      <c r="CI182" s="591">
        <v>5</v>
      </c>
      <c r="CJ182" s="591"/>
      <c r="CK182" s="591"/>
      <c r="CL182" s="591"/>
      <c r="CM182" s="591"/>
      <c r="CN182" s="591"/>
      <c r="CO182" s="591"/>
      <c r="CP182" s="591"/>
      <c r="CQ182" s="591"/>
      <c r="CR182" s="591"/>
      <c r="CS182" s="591"/>
      <c r="CT182" s="591"/>
      <c r="CU182" s="591"/>
      <c r="CV182" s="591"/>
      <c r="CW182" s="591"/>
      <c r="CX182" s="591"/>
      <c r="CY182" s="591"/>
      <c r="CZ182" s="591"/>
      <c r="DA182" s="219"/>
    </row>
    <row r="183" spans="1:105" s="16" customFormat="1" ht="13.2" hidden="1" x14ac:dyDescent="0.3">
      <c r="A183" s="648" t="s">
        <v>569</v>
      </c>
      <c r="B183" s="649"/>
      <c r="C183" s="649"/>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9"/>
      <c r="AL183" s="649"/>
      <c r="AM183" s="649"/>
      <c r="AN183" s="649"/>
      <c r="AO183" s="649"/>
      <c r="AP183" s="649"/>
      <c r="AQ183" s="649"/>
      <c r="AR183" s="649"/>
      <c r="AS183" s="649"/>
      <c r="AT183" s="649"/>
      <c r="AU183" s="649"/>
      <c r="AV183" s="649"/>
      <c r="AW183" s="649"/>
      <c r="AX183" s="649"/>
      <c r="AY183" s="649"/>
      <c r="AZ183" s="649"/>
      <c r="BA183" s="649"/>
      <c r="BB183" s="649"/>
      <c r="BC183" s="649"/>
      <c r="BD183" s="649"/>
      <c r="BE183" s="649"/>
      <c r="BF183" s="649"/>
      <c r="BG183" s="649"/>
      <c r="BH183" s="649"/>
      <c r="BI183" s="649"/>
      <c r="BJ183" s="649"/>
      <c r="BK183" s="649"/>
      <c r="BL183" s="649"/>
      <c r="BM183" s="649"/>
      <c r="BN183" s="649"/>
      <c r="BO183" s="649"/>
      <c r="BP183" s="649"/>
      <c r="BQ183" s="649"/>
      <c r="BR183" s="649"/>
      <c r="BS183" s="649"/>
      <c r="BT183" s="649"/>
      <c r="BU183" s="649"/>
      <c r="BV183" s="649"/>
      <c r="BW183" s="649"/>
      <c r="BX183" s="649"/>
      <c r="BY183" s="649"/>
      <c r="BZ183" s="649"/>
      <c r="CA183" s="649"/>
      <c r="CB183" s="649"/>
      <c r="CC183" s="649"/>
      <c r="CD183" s="649"/>
      <c r="CE183" s="649"/>
      <c r="CF183" s="649"/>
      <c r="CG183" s="649"/>
      <c r="CH183" s="649"/>
      <c r="CI183" s="649"/>
      <c r="CJ183" s="649"/>
      <c r="CK183" s="649"/>
      <c r="CL183" s="649"/>
      <c r="CM183" s="649"/>
      <c r="CN183" s="649"/>
      <c r="CO183" s="649"/>
      <c r="CP183" s="649"/>
      <c r="CQ183" s="649"/>
      <c r="CR183" s="649"/>
      <c r="CS183" s="649"/>
      <c r="CT183" s="649"/>
      <c r="CU183" s="649"/>
      <c r="CV183" s="649"/>
      <c r="CW183" s="649"/>
      <c r="CX183" s="649"/>
      <c r="CY183" s="649"/>
      <c r="CZ183" s="649"/>
      <c r="DA183" s="214"/>
    </row>
    <row r="184" spans="1:105" s="16" customFormat="1" ht="13.2" hidden="1" x14ac:dyDescent="0.3">
      <c r="A184" s="630" t="s">
        <v>441</v>
      </c>
      <c r="B184" s="631"/>
      <c r="C184" s="631"/>
      <c r="D184" s="631"/>
      <c r="E184" s="631"/>
      <c r="F184" s="631"/>
      <c r="G184" s="632"/>
      <c r="H184" s="584" t="s">
        <v>570</v>
      </c>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585"/>
      <c r="BB184" s="586"/>
      <c r="BC184" s="627">
        <f>CI184/BS184</f>
        <v>0</v>
      </c>
      <c r="BD184" s="628"/>
      <c r="BE184" s="628"/>
      <c r="BF184" s="628"/>
      <c r="BG184" s="628"/>
      <c r="BH184" s="628"/>
      <c r="BI184" s="628"/>
      <c r="BJ184" s="628"/>
      <c r="BK184" s="628"/>
      <c r="BL184" s="628"/>
      <c r="BM184" s="628"/>
      <c r="BN184" s="628"/>
      <c r="BO184" s="628"/>
      <c r="BP184" s="628"/>
      <c r="BQ184" s="628"/>
      <c r="BR184" s="629"/>
      <c r="BS184" s="544">
        <v>50</v>
      </c>
      <c r="BT184" s="545"/>
      <c r="BU184" s="545"/>
      <c r="BV184" s="545"/>
      <c r="BW184" s="545"/>
      <c r="BX184" s="545"/>
      <c r="BY184" s="545"/>
      <c r="BZ184" s="545"/>
      <c r="CA184" s="545"/>
      <c r="CB184" s="545"/>
      <c r="CC184" s="545"/>
      <c r="CD184" s="545"/>
      <c r="CE184" s="545"/>
      <c r="CF184" s="545"/>
      <c r="CG184" s="545"/>
      <c r="CH184" s="546"/>
      <c r="CI184" s="627"/>
      <c r="CJ184" s="628"/>
      <c r="CK184" s="628"/>
      <c r="CL184" s="628"/>
      <c r="CM184" s="628"/>
      <c r="CN184" s="628"/>
      <c r="CO184" s="628"/>
      <c r="CP184" s="628"/>
      <c r="CQ184" s="628"/>
      <c r="CR184" s="628"/>
      <c r="CS184" s="628"/>
      <c r="CT184" s="628"/>
      <c r="CU184" s="628"/>
      <c r="CV184" s="628"/>
      <c r="CW184" s="628"/>
      <c r="CX184" s="628"/>
      <c r="CY184" s="628"/>
      <c r="CZ184" s="629"/>
      <c r="DA184" s="214"/>
    </row>
    <row r="185" spans="1:105" s="16" customFormat="1" ht="13.2" hidden="1" x14ac:dyDescent="0.3">
      <c r="A185" s="630" t="s">
        <v>444</v>
      </c>
      <c r="B185" s="631"/>
      <c r="C185" s="631"/>
      <c r="D185" s="631"/>
      <c r="E185" s="631"/>
      <c r="F185" s="631"/>
      <c r="G185" s="632"/>
      <c r="H185" s="584" t="s">
        <v>571</v>
      </c>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585"/>
      <c r="BB185" s="586"/>
      <c r="BC185" s="627"/>
      <c r="BD185" s="628"/>
      <c r="BE185" s="628"/>
      <c r="BF185" s="628"/>
      <c r="BG185" s="628"/>
      <c r="BH185" s="628"/>
      <c r="BI185" s="628"/>
      <c r="BJ185" s="628"/>
      <c r="BK185" s="628"/>
      <c r="BL185" s="628"/>
      <c r="BM185" s="628"/>
      <c r="BN185" s="628"/>
      <c r="BO185" s="628"/>
      <c r="BP185" s="628"/>
      <c r="BQ185" s="628"/>
      <c r="BR185" s="629"/>
      <c r="BS185" s="544"/>
      <c r="BT185" s="545"/>
      <c r="BU185" s="545"/>
      <c r="BV185" s="545"/>
      <c r="BW185" s="545"/>
      <c r="BX185" s="545"/>
      <c r="BY185" s="545"/>
      <c r="BZ185" s="545"/>
      <c r="CA185" s="545"/>
      <c r="CB185" s="545"/>
      <c r="CC185" s="545"/>
      <c r="CD185" s="545"/>
      <c r="CE185" s="545"/>
      <c r="CF185" s="545"/>
      <c r="CG185" s="545"/>
      <c r="CH185" s="546"/>
      <c r="CI185" s="627"/>
      <c r="CJ185" s="628"/>
      <c r="CK185" s="628"/>
      <c r="CL185" s="628"/>
      <c r="CM185" s="628"/>
      <c r="CN185" s="628"/>
      <c r="CO185" s="628"/>
      <c r="CP185" s="628"/>
      <c r="CQ185" s="628"/>
      <c r="CR185" s="628"/>
      <c r="CS185" s="628"/>
      <c r="CT185" s="628"/>
      <c r="CU185" s="628"/>
      <c r="CV185" s="628"/>
      <c r="CW185" s="628"/>
      <c r="CX185" s="628"/>
      <c r="CY185" s="628"/>
      <c r="CZ185" s="629"/>
      <c r="DA185" s="237">
        <f>180000-CI185</f>
        <v>180000</v>
      </c>
    </row>
    <row r="186" spans="1:105" s="16" customFormat="1" ht="13.2" hidden="1" x14ac:dyDescent="0.3">
      <c r="A186" s="633" t="s">
        <v>292</v>
      </c>
      <c r="B186" s="634"/>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c r="AA186" s="634"/>
      <c r="AB186" s="634"/>
      <c r="AC186" s="634"/>
      <c r="AD186" s="634"/>
      <c r="AE186" s="634"/>
      <c r="AF186" s="634"/>
      <c r="AG186" s="634"/>
      <c r="AH186" s="634"/>
      <c r="AI186" s="634"/>
      <c r="AJ186" s="634"/>
      <c r="AK186" s="634"/>
      <c r="AL186" s="634"/>
      <c r="AM186" s="634"/>
      <c r="AN186" s="634"/>
      <c r="AO186" s="634"/>
      <c r="AP186" s="634"/>
      <c r="AQ186" s="634"/>
      <c r="AR186" s="634"/>
      <c r="AS186" s="634"/>
      <c r="AT186" s="634"/>
      <c r="AU186" s="634"/>
      <c r="AV186" s="634"/>
      <c r="AW186" s="634"/>
      <c r="AX186" s="634"/>
      <c r="AY186" s="634"/>
      <c r="AZ186" s="634"/>
      <c r="BA186" s="634"/>
      <c r="BB186" s="635"/>
      <c r="BC186" s="544" t="s">
        <v>4</v>
      </c>
      <c r="BD186" s="545"/>
      <c r="BE186" s="545"/>
      <c r="BF186" s="545"/>
      <c r="BG186" s="545"/>
      <c r="BH186" s="545"/>
      <c r="BI186" s="545"/>
      <c r="BJ186" s="545"/>
      <c r="BK186" s="545"/>
      <c r="BL186" s="545"/>
      <c r="BM186" s="545"/>
      <c r="BN186" s="545"/>
      <c r="BO186" s="545"/>
      <c r="BP186" s="545"/>
      <c r="BQ186" s="545"/>
      <c r="BR186" s="546"/>
      <c r="BS186" s="544" t="s">
        <v>4</v>
      </c>
      <c r="BT186" s="545"/>
      <c r="BU186" s="545"/>
      <c r="BV186" s="545"/>
      <c r="BW186" s="545"/>
      <c r="BX186" s="545"/>
      <c r="BY186" s="545"/>
      <c r="BZ186" s="545"/>
      <c r="CA186" s="545"/>
      <c r="CB186" s="545"/>
      <c r="CC186" s="545"/>
      <c r="CD186" s="545"/>
      <c r="CE186" s="545"/>
      <c r="CF186" s="545"/>
      <c r="CG186" s="545"/>
      <c r="CH186" s="546"/>
      <c r="CI186" s="636">
        <f>CI184+CI185</f>
        <v>0</v>
      </c>
      <c r="CJ186" s="654"/>
      <c r="CK186" s="654"/>
      <c r="CL186" s="654"/>
      <c r="CM186" s="654"/>
      <c r="CN186" s="654"/>
      <c r="CO186" s="654"/>
      <c r="CP186" s="654"/>
      <c r="CQ186" s="654"/>
      <c r="CR186" s="654"/>
      <c r="CS186" s="654"/>
      <c r="CT186" s="654"/>
      <c r="CU186" s="654"/>
      <c r="CV186" s="654"/>
      <c r="CW186" s="654"/>
      <c r="CX186" s="654"/>
      <c r="CY186" s="654"/>
      <c r="CZ186" s="655"/>
      <c r="DA186" s="214"/>
    </row>
    <row r="187" spans="1:105" s="16" customFormat="1" ht="13.2" hidden="1" x14ac:dyDescent="0.3">
      <c r="A187" s="648" t="s">
        <v>258</v>
      </c>
      <c r="B187" s="649"/>
      <c r="C187" s="649"/>
      <c r="D187" s="649"/>
      <c r="E187" s="649"/>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49"/>
      <c r="AY187" s="649"/>
      <c r="AZ187" s="649"/>
      <c r="BA187" s="649"/>
      <c r="BB187" s="649"/>
      <c r="BC187" s="649"/>
      <c r="BD187" s="649"/>
      <c r="BE187" s="649"/>
      <c r="BF187" s="649"/>
      <c r="BG187" s="649"/>
      <c r="BH187" s="649"/>
      <c r="BI187" s="649"/>
      <c r="BJ187" s="649"/>
      <c r="BK187" s="649"/>
      <c r="BL187" s="649"/>
      <c r="BM187" s="649"/>
      <c r="BN187" s="649"/>
      <c r="BO187" s="649"/>
      <c r="BP187" s="649"/>
      <c r="BQ187" s="649"/>
      <c r="BR187" s="649"/>
      <c r="BS187" s="649"/>
      <c r="BT187" s="649"/>
      <c r="BU187" s="649"/>
      <c r="BV187" s="649"/>
      <c r="BW187" s="649"/>
      <c r="BX187" s="649"/>
      <c r="BY187" s="649"/>
      <c r="BZ187" s="649"/>
      <c r="CA187" s="649"/>
      <c r="CB187" s="649"/>
      <c r="CC187" s="649"/>
      <c r="CD187" s="649"/>
      <c r="CE187" s="649"/>
      <c r="CF187" s="649"/>
      <c r="CG187" s="649"/>
      <c r="CH187" s="649"/>
      <c r="CI187" s="649"/>
      <c r="CJ187" s="649"/>
      <c r="CK187" s="649"/>
      <c r="CL187" s="649"/>
      <c r="CM187" s="649"/>
      <c r="CN187" s="649"/>
      <c r="CO187" s="649"/>
      <c r="CP187" s="649"/>
      <c r="CQ187" s="649"/>
      <c r="CR187" s="649"/>
      <c r="CS187" s="649"/>
      <c r="CT187" s="649"/>
      <c r="CU187" s="649"/>
      <c r="CV187" s="649"/>
      <c r="CW187" s="649"/>
      <c r="CX187" s="649"/>
      <c r="CY187" s="649"/>
      <c r="CZ187" s="649"/>
      <c r="DA187" s="214"/>
    </row>
    <row r="188" spans="1:105" s="16" customFormat="1" ht="13.2" hidden="1" x14ac:dyDescent="0.3">
      <c r="A188" s="630"/>
      <c r="B188" s="631"/>
      <c r="C188" s="631"/>
      <c r="D188" s="631"/>
      <c r="E188" s="631"/>
      <c r="F188" s="631"/>
      <c r="G188" s="632"/>
      <c r="H188" s="584"/>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c r="AV188" s="585"/>
      <c r="AW188" s="585"/>
      <c r="AX188" s="585"/>
      <c r="AY188" s="585"/>
      <c r="AZ188" s="585"/>
      <c r="BA188" s="585"/>
      <c r="BB188" s="586"/>
      <c r="BC188" s="544"/>
      <c r="BD188" s="545"/>
      <c r="BE188" s="545"/>
      <c r="BF188" s="545"/>
      <c r="BG188" s="545"/>
      <c r="BH188" s="545"/>
      <c r="BI188" s="545"/>
      <c r="BJ188" s="545"/>
      <c r="BK188" s="545"/>
      <c r="BL188" s="545"/>
      <c r="BM188" s="545"/>
      <c r="BN188" s="545"/>
      <c r="BO188" s="545"/>
      <c r="BP188" s="545"/>
      <c r="BQ188" s="545"/>
      <c r="BR188" s="546"/>
      <c r="BS188" s="544"/>
      <c r="BT188" s="545"/>
      <c r="BU188" s="545"/>
      <c r="BV188" s="545"/>
      <c r="BW188" s="545"/>
      <c r="BX188" s="545"/>
      <c r="BY188" s="545"/>
      <c r="BZ188" s="545"/>
      <c r="CA188" s="545"/>
      <c r="CB188" s="545"/>
      <c r="CC188" s="545"/>
      <c r="CD188" s="545"/>
      <c r="CE188" s="545"/>
      <c r="CF188" s="545"/>
      <c r="CG188" s="545"/>
      <c r="CH188" s="546"/>
      <c r="CI188" s="544"/>
      <c r="CJ188" s="545"/>
      <c r="CK188" s="545"/>
      <c r="CL188" s="545"/>
      <c r="CM188" s="545"/>
      <c r="CN188" s="545"/>
      <c r="CO188" s="545"/>
      <c r="CP188" s="545"/>
      <c r="CQ188" s="545"/>
      <c r="CR188" s="545"/>
      <c r="CS188" s="545"/>
      <c r="CT188" s="545"/>
      <c r="CU188" s="545"/>
      <c r="CV188" s="545"/>
      <c r="CW188" s="545"/>
      <c r="CX188" s="545"/>
      <c r="CY188" s="545"/>
      <c r="CZ188" s="546"/>
      <c r="DA188" s="214"/>
    </row>
    <row r="189" spans="1:105" s="16" customFormat="1" ht="13.2" hidden="1" x14ac:dyDescent="0.3">
      <c r="A189" s="633" t="s">
        <v>292</v>
      </c>
      <c r="B189" s="634"/>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34"/>
      <c r="AL189" s="634"/>
      <c r="AM189" s="634"/>
      <c r="AN189" s="634"/>
      <c r="AO189" s="634"/>
      <c r="AP189" s="634"/>
      <c r="AQ189" s="634"/>
      <c r="AR189" s="634"/>
      <c r="AS189" s="634"/>
      <c r="AT189" s="634"/>
      <c r="AU189" s="634"/>
      <c r="AV189" s="634"/>
      <c r="AW189" s="634"/>
      <c r="AX189" s="634"/>
      <c r="AY189" s="634"/>
      <c r="AZ189" s="634"/>
      <c r="BA189" s="634"/>
      <c r="BB189" s="635"/>
      <c r="BC189" s="544" t="s">
        <v>4</v>
      </c>
      <c r="BD189" s="545"/>
      <c r="BE189" s="545"/>
      <c r="BF189" s="545"/>
      <c r="BG189" s="545"/>
      <c r="BH189" s="545"/>
      <c r="BI189" s="545"/>
      <c r="BJ189" s="545"/>
      <c r="BK189" s="545"/>
      <c r="BL189" s="545"/>
      <c r="BM189" s="545"/>
      <c r="BN189" s="545"/>
      <c r="BO189" s="545"/>
      <c r="BP189" s="545"/>
      <c r="BQ189" s="545"/>
      <c r="BR189" s="546"/>
      <c r="BS189" s="544" t="s">
        <v>4</v>
      </c>
      <c r="BT189" s="545"/>
      <c r="BU189" s="545"/>
      <c r="BV189" s="545"/>
      <c r="BW189" s="545"/>
      <c r="BX189" s="545"/>
      <c r="BY189" s="545"/>
      <c r="BZ189" s="545"/>
      <c r="CA189" s="545"/>
      <c r="CB189" s="545"/>
      <c r="CC189" s="545"/>
      <c r="CD189" s="545"/>
      <c r="CE189" s="545"/>
      <c r="CF189" s="545"/>
      <c r="CG189" s="545"/>
      <c r="CH189" s="546"/>
      <c r="CI189" s="544"/>
      <c r="CJ189" s="545"/>
      <c r="CK189" s="545"/>
      <c r="CL189" s="545"/>
      <c r="CM189" s="545"/>
      <c r="CN189" s="545"/>
      <c r="CO189" s="545"/>
      <c r="CP189" s="545"/>
      <c r="CQ189" s="545"/>
      <c r="CR189" s="545"/>
      <c r="CS189" s="545"/>
      <c r="CT189" s="545"/>
      <c r="CU189" s="545"/>
      <c r="CV189" s="545"/>
      <c r="CW189" s="545"/>
      <c r="CX189" s="545"/>
      <c r="CY189" s="545"/>
      <c r="CZ189" s="546"/>
      <c r="DA189" s="214"/>
    </row>
    <row r="190" spans="1:105" s="16" customFormat="1" ht="13.2" hidden="1" x14ac:dyDescent="0.3">
      <c r="A190" s="633" t="s">
        <v>56</v>
      </c>
      <c r="B190" s="634"/>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4"/>
      <c r="AY190" s="634"/>
      <c r="AZ190" s="634"/>
      <c r="BA190" s="634"/>
      <c r="BB190" s="635"/>
      <c r="BC190" s="544" t="s">
        <v>4</v>
      </c>
      <c r="BD190" s="545"/>
      <c r="BE190" s="545"/>
      <c r="BF190" s="545"/>
      <c r="BG190" s="545"/>
      <c r="BH190" s="545"/>
      <c r="BI190" s="545"/>
      <c r="BJ190" s="545"/>
      <c r="BK190" s="545"/>
      <c r="BL190" s="545"/>
      <c r="BM190" s="545"/>
      <c r="BN190" s="545"/>
      <c r="BO190" s="545"/>
      <c r="BP190" s="545"/>
      <c r="BQ190" s="545"/>
      <c r="BR190" s="546"/>
      <c r="BS190" s="544" t="s">
        <v>4</v>
      </c>
      <c r="BT190" s="545"/>
      <c r="BU190" s="545"/>
      <c r="BV190" s="545"/>
      <c r="BW190" s="545"/>
      <c r="BX190" s="545"/>
      <c r="BY190" s="545"/>
      <c r="BZ190" s="545"/>
      <c r="CA190" s="545"/>
      <c r="CB190" s="545"/>
      <c r="CC190" s="545"/>
      <c r="CD190" s="545"/>
      <c r="CE190" s="545"/>
      <c r="CF190" s="545"/>
      <c r="CG190" s="545"/>
      <c r="CH190" s="546"/>
      <c r="CI190" s="636">
        <f>CI186</f>
        <v>0</v>
      </c>
      <c r="CJ190" s="637"/>
      <c r="CK190" s="637"/>
      <c r="CL190" s="637"/>
      <c r="CM190" s="637"/>
      <c r="CN190" s="637"/>
      <c r="CO190" s="637"/>
      <c r="CP190" s="637"/>
      <c r="CQ190" s="637"/>
      <c r="CR190" s="637"/>
      <c r="CS190" s="637"/>
      <c r="CT190" s="637"/>
      <c r="CU190" s="637"/>
      <c r="CV190" s="637"/>
      <c r="CW190" s="637"/>
      <c r="CX190" s="637"/>
      <c r="CY190" s="637"/>
      <c r="CZ190" s="638"/>
      <c r="DA190" s="238"/>
    </row>
    <row r="191" spans="1:105" s="17" customFormat="1" ht="13.2" hidden="1" x14ac:dyDescent="0.25">
      <c r="A191" s="221"/>
      <c r="B191" s="221"/>
      <c r="C191" s="221"/>
      <c r="D191" s="221"/>
      <c r="E191" s="221"/>
      <c r="F191" s="22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9"/>
      <c r="CM191" s="45"/>
      <c r="CN191" s="45"/>
      <c r="CO191" s="45"/>
      <c r="CP191" s="45"/>
      <c r="CQ191" s="45"/>
      <c r="CR191" s="45"/>
      <c r="CS191" s="45"/>
      <c r="CT191" s="45"/>
      <c r="CU191" s="45"/>
      <c r="CV191" s="45"/>
      <c r="CW191" s="45"/>
      <c r="CX191" s="45"/>
      <c r="CY191" s="45"/>
      <c r="CZ191" s="45"/>
      <c r="DA191" s="232"/>
    </row>
    <row r="192" spans="1:105" s="17" customFormat="1" ht="13.5" hidden="1" customHeight="1" x14ac:dyDescent="0.25">
      <c r="A192" s="594" t="s">
        <v>277</v>
      </c>
      <c r="B192" s="594"/>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4"/>
      <c r="AP192" s="594"/>
      <c r="AQ192" s="594"/>
      <c r="AR192" s="594"/>
      <c r="AS192" s="594"/>
      <c r="AT192" s="594"/>
      <c r="AU192" s="594"/>
      <c r="AV192" s="594"/>
      <c r="AW192" s="594"/>
      <c r="AX192" s="594"/>
      <c r="AY192" s="594"/>
      <c r="AZ192" s="594"/>
      <c r="BA192" s="594"/>
      <c r="BB192" s="594"/>
      <c r="BC192" s="594"/>
      <c r="BD192" s="594"/>
      <c r="BE192" s="59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232"/>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32"/>
    </row>
    <row r="194" spans="1:105" s="17" customFormat="1" ht="27" customHeight="1" x14ac:dyDescent="0.25">
      <c r="A194" s="524" t="s">
        <v>288</v>
      </c>
      <c r="B194" s="524"/>
      <c r="C194" s="524"/>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4"/>
      <c r="AL194" s="524"/>
      <c r="AM194" s="524"/>
      <c r="AN194" s="524"/>
      <c r="AO194" s="524"/>
      <c r="AP194" s="524"/>
      <c r="AQ194" s="524"/>
      <c r="AR194" s="524"/>
      <c r="AS194" s="524"/>
      <c r="AT194" s="524"/>
      <c r="AU194" s="524"/>
      <c r="AV194" s="524"/>
      <c r="AW194" s="524"/>
      <c r="AX194" s="524"/>
      <c r="AY194" s="524"/>
      <c r="AZ194" s="524"/>
      <c r="BA194" s="524"/>
      <c r="BB194" s="524"/>
      <c r="BC194" s="524"/>
      <c r="BD194" s="524"/>
      <c r="BE194" s="524"/>
      <c r="BF194" s="524"/>
      <c r="BG194" s="524"/>
      <c r="BH194" s="524"/>
      <c r="BI194" s="524"/>
      <c r="BJ194" s="524"/>
      <c r="BK194" s="524"/>
      <c r="BL194" s="524"/>
      <c r="BM194" s="524"/>
      <c r="BN194" s="524"/>
      <c r="BO194" s="524"/>
      <c r="BP194" s="524"/>
      <c r="BQ194" s="524"/>
      <c r="BR194" s="524"/>
      <c r="BS194" s="524"/>
      <c r="BT194" s="524"/>
      <c r="BU194" s="524"/>
      <c r="BV194" s="524"/>
      <c r="BW194" s="524"/>
      <c r="BX194" s="524"/>
      <c r="BY194" s="524"/>
      <c r="BZ194" s="524"/>
      <c r="CA194" s="524"/>
      <c r="CB194" s="524"/>
      <c r="CC194" s="524"/>
      <c r="CD194" s="524"/>
      <c r="CE194" s="524"/>
      <c r="CF194" s="524"/>
      <c r="CG194" s="524"/>
      <c r="CH194" s="524"/>
      <c r="CI194" s="524"/>
      <c r="CJ194" s="524"/>
      <c r="CK194" s="524"/>
      <c r="CL194" s="524"/>
      <c r="CM194" s="524"/>
      <c r="CN194" s="524"/>
      <c r="CO194" s="524"/>
      <c r="CP194" s="524"/>
      <c r="CQ194" s="524"/>
      <c r="CR194" s="524"/>
      <c r="CS194" s="524"/>
      <c r="CT194" s="524"/>
      <c r="CU194" s="524"/>
      <c r="CV194" s="524"/>
      <c r="CW194" s="524"/>
      <c r="CX194" s="524"/>
      <c r="CY194" s="524"/>
      <c r="CZ194" s="524"/>
      <c r="DA194" s="235"/>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32"/>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95" t="s">
        <v>466</v>
      </c>
      <c r="X196" s="595"/>
      <c r="Y196" s="595"/>
      <c r="Z196" s="595"/>
      <c r="AA196" s="595"/>
      <c r="AB196" s="595"/>
      <c r="AC196" s="595"/>
      <c r="AD196" s="595"/>
      <c r="AE196" s="595"/>
      <c r="AF196" s="595"/>
      <c r="AG196" s="595"/>
      <c r="AH196" s="595"/>
      <c r="AI196" s="595"/>
      <c r="AJ196" s="595"/>
      <c r="AK196" s="595"/>
      <c r="AL196" s="595"/>
      <c r="AM196" s="595"/>
      <c r="AN196" s="595"/>
      <c r="AO196" s="595"/>
      <c r="AP196" s="595"/>
      <c r="AQ196" s="595"/>
      <c r="AR196" s="595"/>
      <c r="AS196" s="595"/>
      <c r="AT196" s="595"/>
      <c r="AU196" s="595"/>
      <c r="AV196" s="595"/>
      <c r="AW196" s="595"/>
      <c r="AX196" s="595"/>
      <c r="AY196" s="595"/>
      <c r="AZ196" s="595"/>
      <c r="BA196" s="595"/>
      <c r="BB196" s="595"/>
      <c r="BC196" s="595"/>
      <c r="BD196" s="595"/>
      <c r="BE196" s="595"/>
      <c r="BF196" s="595"/>
      <c r="BG196" s="595"/>
      <c r="BH196" s="595"/>
      <c r="BI196" s="595"/>
      <c r="BJ196" s="595"/>
      <c r="BK196" s="595"/>
      <c r="BL196" s="595"/>
      <c r="BM196" s="595"/>
      <c r="BN196" s="595"/>
      <c r="BO196" s="595"/>
      <c r="BP196" s="595"/>
      <c r="BQ196" s="595"/>
      <c r="BR196" s="595"/>
      <c r="BS196" s="595"/>
      <c r="BT196" s="595"/>
      <c r="BU196" s="595"/>
      <c r="BV196" s="595"/>
      <c r="BW196" s="595"/>
      <c r="BX196" s="595"/>
      <c r="BY196" s="595"/>
      <c r="BZ196" s="595"/>
      <c r="CA196" s="595"/>
      <c r="CB196" s="595"/>
      <c r="CC196" s="595"/>
      <c r="CD196" s="595"/>
      <c r="CE196" s="595"/>
      <c r="CF196" s="595"/>
      <c r="CG196" s="595"/>
      <c r="CH196" s="595"/>
      <c r="CI196" s="595"/>
      <c r="CJ196" s="595"/>
      <c r="CK196" s="595"/>
      <c r="CL196" s="595"/>
      <c r="CM196" s="595"/>
      <c r="CN196" s="595"/>
      <c r="CO196" s="595"/>
      <c r="CP196" s="595"/>
      <c r="CQ196" s="595"/>
      <c r="CR196" s="595"/>
      <c r="CS196" s="595"/>
      <c r="CT196" s="595"/>
      <c r="CU196" s="595"/>
      <c r="CV196" s="595"/>
      <c r="CW196" s="595"/>
      <c r="CX196" s="595"/>
      <c r="CY196" s="595"/>
      <c r="CZ196" s="595"/>
      <c r="DA196" s="239">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32"/>
    </row>
    <row r="198" spans="1:105" s="17" customFormat="1" ht="25.5" customHeight="1" x14ac:dyDescent="0.25">
      <c r="A198" s="475" t="s">
        <v>49</v>
      </c>
      <c r="B198" s="476"/>
      <c r="C198" s="476"/>
      <c r="D198" s="476"/>
      <c r="E198" s="476"/>
      <c r="F198" s="476"/>
      <c r="G198" s="477"/>
      <c r="H198" s="475" t="s">
        <v>0</v>
      </c>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6"/>
      <c r="AY198" s="476"/>
      <c r="AZ198" s="476"/>
      <c r="BA198" s="476"/>
      <c r="BB198" s="477"/>
      <c r="BC198" s="606" t="s">
        <v>75</v>
      </c>
      <c r="BD198" s="606"/>
      <c r="BE198" s="606"/>
      <c r="BF198" s="606"/>
      <c r="BG198" s="606"/>
      <c r="BH198" s="606"/>
      <c r="BI198" s="606"/>
      <c r="BJ198" s="606"/>
      <c r="BK198" s="606"/>
      <c r="BL198" s="606"/>
      <c r="BM198" s="606"/>
      <c r="BN198" s="606"/>
      <c r="BO198" s="606"/>
      <c r="BP198" s="606"/>
      <c r="BQ198" s="606"/>
      <c r="BR198" s="606"/>
      <c r="BS198" s="606" t="s">
        <v>76</v>
      </c>
      <c r="BT198" s="606"/>
      <c r="BU198" s="606"/>
      <c r="BV198" s="606"/>
      <c r="BW198" s="606"/>
      <c r="BX198" s="606"/>
      <c r="BY198" s="606"/>
      <c r="BZ198" s="606"/>
      <c r="CA198" s="606"/>
      <c r="CB198" s="606"/>
      <c r="CC198" s="606"/>
      <c r="CD198" s="606"/>
      <c r="CE198" s="606"/>
      <c r="CF198" s="606"/>
      <c r="CG198" s="606"/>
      <c r="CH198" s="606"/>
      <c r="CI198" s="606" t="s">
        <v>77</v>
      </c>
      <c r="CJ198" s="606"/>
      <c r="CK198" s="606"/>
      <c r="CL198" s="606"/>
      <c r="CM198" s="606"/>
      <c r="CN198" s="606"/>
      <c r="CO198" s="606"/>
      <c r="CP198" s="606"/>
      <c r="CQ198" s="606"/>
      <c r="CR198" s="606"/>
      <c r="CS198" s="606"/>
      <c r="CT198" s="606"/>
      <c r="CU198" s="606"/>
      <c r="CV198" s="606"/>
      <c r="CW198" s="606"/>
      <c r="CX198" s="606"/>
      <c r="CY198" s="606"/>
      <c r="CZ198" s="606"/>
      <c r="DA198" s="232"/>
    </row>
    <row r="199" spans="1:105" s="17" customFormat="1" ht="13.5" customHeight="1" x14ac:dyDescent="0.25">
      <c r="A199" s="591">
        <v>1</v>
      </c>
      <c r="B199" s="591"/>
      <c r="C199" s="591"/>
      <c r="D199" s="591"/>
      <c r="E199" s="591"/>
      <c r="F199" s="591"/>
      <c r="G199" s="591"/>
      <c r="H199" s="591">
        <v>2</v>
      </c>
      <c r="I199" s="591"/>
      <c r="J199" s="591"/>
      <c r="K199" s="591"/>
      <c r="L199" s="591"/>
      <c r="M199" s="591"/>
      <c r="N199" s="591"/>
      <c r="O199" s="591"/>
      <c r="P199" s="591"/>
      <c r="Q199" s="591"/>
      <c r="R199" s="591"/>
      <c r="S199" s="591"/>
      <c r="T199" s="591"/>
      <c r="U199" s="591"/>
      <c r="V199" s="591"/>
      <c r="W199" s="591"/>
      <c r="X199" s="591"/>
      <c r="Y199" s="591"/>
      <c r="Z199" s="591"/>
      <c r="AA199" s="591"/>
      <c r="AB199" s="591"/>
      <c r="AC199" s="591"/>
      <c r="AD199" s="591"/>
      <c r="AE199" s="591"/>
      <c r="AF199" s="591"/>
      <c r="AG199" s="591"/>
      <c r="AH199" s="591"/>
      <c r="AI199" s="591"/>
      <c r="AJ199" s="591"/>
      <c r="AK199" s="591"/>
      <c r="AL199" s="591"/>
      <c r="AM199" s="591"/>
      <c r="AN199" s="591"/>
      <c r="AO199" s="591"/>
      <c r="AP199" s="591"/>
      <c r="AQ199" s="591"/>
      <c r="AR199" s="591"/>
      <c r="AS199" s="591"/>
      <c r="AT199" s="591"/>
      <c r="AU199" s="591"/>
      <c r="AV199" s="591"/>
      <c r="AW199" s="591"/>
      <c r="AX199" s="591"/>
      <c r="AY199" s="591"/>
      <c r="AZ199" s="591"/>
      <c r="BA199" s="591"/>
      <c r="BB199" s="591"/>
      <c r="BC199" s="591">
        <v>3</v>
      </c>
      <c r="BD199" s="591"/>
      <c r="BE199" s="591"/>
      <c r="BF199" s="591"/>
      <c r="BG199" s="591"/>
      <c r="BH199" s="591"/>
      <c r="BI199" s="591"/>
      <c r="BJ199" s="591"/>
      <c r="BK199" s="591"/>
      <c r="BL199" s="591"/>
      <c r="BM199" s="591"/>
      <c r="BN199" s="591"/>
      <c r="BO199" s="591"/>
      <c r="BP199" s="591"/>
      <c r="BQ199" s="591"/>
      <c r="BR199" s="591"/>
      <c r="BS199" s="591">
        <v>4</v>
      </c>
      <c r="BT199" s="591"/>
      <c r="BU199" s="591"/>
      <c r="BV199" s="591"/>
      <c r="BW199" s="591"/>
      <c r="BX199" s="591"/>
      <c r="BY199" s="591"/>
      <c r="BZ199" s="591"/>
      <c r="CA199" s="591"/>
      <c r="CB199" s="591"/>
      <c r="CC199" s="591"/>
      <c r="CD199" s="591"/>
      <c r="CE199" s="591"/>
      <c r="CF199" s="591"/>
      <c r="CG199" s="591"/>
      <c r="CH199" s="591"/>
      <c r="CI199" s="591">
        <v>5</v>
      </c>
      <c r="CJ199" s="591"/>
      <c r="CK199" s="591"/>
      <c r="CL199" s="591"/>
      <c r="CM199" s="591"/>
      <c r="CN199" s="591"/>
      <c r="CO199" s="591"/>
      <c r="CP199" s="591"/>
      <c r="CQ199" s="591"/>
      <c r="CR199" s="591"/>
      <c r="CS199" s="591"/>
      <c r="CT199" s="591"/>
      <c r="CU199" s="591"/>
      <c r="CV199" s="591"/>
      <c r="CW199" s="591"/>
      <c r="CX199" s="591"/>
      <c r="CY199" s="591"/>
      <c r="CZ199" s="591"/>
      <c r="DA199" s="232"/>
    </row>
    <row r="200" spans="1:105" s="17" customFormat="1" ht="13.5" customHeight="1" x14ac:dyDescent="0.25">
      <c r="A200" s="648" t="s">
        <v>569</v>
      </c>
      <c r="B200" s="649"/>
      <c r="C200" s="649"/>
      <c r="D200" s="649"/>
      <c r="E200" s="649"/>
      <c r="F200" s="649"/>
      <c r="G200" s="649"/>
      <c r="H200" s="649"/>
      <c r="I200" s="649"/>
      <c r="J200" s="649"/>
      <c r="K200" s="649"/>
      <c r="L200" s="649"/>
      <c r="M200" s="649"/>
      <c r="N200" s="649"/>
      <c r="O200" s="649"/>
      <c r="P200" s="649"/>
      <c r="Q200" s="649"/>
      <c r="R200" s="649"/>
      <c r="S200" s="649"/>
      <c r="T200" s="649"/>
      <c r="U200" s="649"/>
      <c r="V200" s="649"/>
      <c r="W200" s="649"/>
      <c r="X200" s="649"/>
      <c r="Y200" s="649"/>
      <c r="Z200" s="649"/>
      <c r="AA200" s="649"/>
      <c r="AB200" s="649"/>
      <c r="AC200" s="649"/>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649"/>
      <c r="AY200" s="649"/>
      <c r="AZ200" s="649"/>
      <c r="BA200" s="649"/>
      <c r="BB200" s="649"/>
      <c r="BC200" s="649"/>
      <c r="BD200" s="649"/>
      <c r="BE200" s="649"/>
      <c r="BF200" s="649"/>
      <c r="BG200" s="649"/>
      <c r="BH200" s="649"/>
      <c r="BI200" s="649"/>
      <c r="BJ200" s="649"/>
      <c r="BK200" s="649"/>
      <c r="BL200" s="649"/>
      <c r="BM200" s="649"/>
      <c r="BN200" s="649"/>
      <c r="BO200" s="649"/>
      <c r="BP200" s="649"/>
      <c r="BQ200" s="649"/>
      <c r="BR200" s="649"/>
      <c r="BS200" s="649"/>
      <c r="BT200" s="649"/>
      <c r="BU200" s="649"/>
      <c r="BV200" s="649"/>
      <c r="BW200" s="649"/>
      <c r="BX200" s="649"/>
      <c r="BY200" s="649"/>
      <c r="BZ200" s="649"/>
      <c r="CA200" s="649"/>
      <c r="CB200" s="649"/>
      <c r="CC200" s="649"/>
      <c r="CD200" s="649"/>
      <c r="CE200" s="649"/>
      <c r="CF200" s="649"/>
      <c r="CG200" s="649"/>
      <c r="CH200" s="649"/>
      <c r="CI200" s="649"/>
      <c r="CJ200" s="649"/>
      <c r="CK200" s="649"/>
      <c r="CL200" s="649"/>
      <c r="CM200" s="649"/>
      <c r="CN200" s="649"/>
      <c r="CO200" s="649"/>
      <c r="CP200" s="649"/>
      <c r="CQ200" s="649"/>
      <c r="CR200" s="649"/>
      <c r="CS200" s="649"/>
      <c r="CT200" s="649"/>
      <c r="CU200" s="649"/>
      <c r="CV200" s="649"/>
      <c r="CW200" s="649"/>
      <c r="CX200" s="649"/>
      <c r="CY200" s="649"/>
      <c r="CZ200" s="649"/>
      <c r="DA200" s="232"/>
    </row>
    <row r="201" spans="1:105" s="17" customFormat="1" ht="25.5" customHeight="1" x14ac:dyDescent="0.25">
      <c r="A201" s="630" t="s">
        <v>441</v>
      </c>
      <c r="B201" s="631"/>
      <c r="C201" s="631"/>
      <c r="D201" s="631"/>
      <c r="E201" s="631"/>
      <c r="F201" s="631"/>
      <c r="G201" s="632"/>
      <c r="H201" s="584" t="s">
        <v>570</v>
      </c>
      <c r="I201" s="585"/>
      <c r="J201" s="585"/>
      <c r="K201" s="585"/>
      <c r="L201" s="585"/>
      <c r="M201" s="585"/>
      <c r="N201" s="585"/>
      <c r="O201" s="585"/>
      <c r="P201" s="585"/>
      <c r="Q201" s="585"/>
      <c r="R201" s="585"/>
      <c r="S201" s="585"/>
      <c r="T201" s="585"/>
      <c r="U201" s="585"/>
      <c r="V201" s="585"/>
      <c r="W201" s="585"/>
      <c r="X201" s="585"/>
      <c r="Y201" s="585"/>
      <c r="Z201" s="585"/>
      <c r="AA201" s="585"/>
      <c r="AB201" s="585"/>
      <c r="AC201" s="585"/>
      <c r="AD201" s="585"/>
      <c r="AE201" s="585"/>
      <c r="AF201" s="585"/>
      <c r="AG201" s="585"/>
      <c r="AH201" s="585"/>
      <c r="AI201" s="585"/>
      <c r="AJ201" s="585"/>
      <c r="AK201" s="585"/>
      <c r="AL201" s="585"/>
      <c r="AM201" s="585"/>
      <c r="AN201" s="585"/>
      <c r="AO201" s="585"/>
      <c r="AP201" s="585"/>
      <c r="AQ201" s="585"/>
      <c r="AR201" s="585"/>
      <c r="AS201" s="585"/>
      <c r="AT201" s="585"/>
      <c r="AU201" s="585"/>
      <c r="AV201" s="585"/>
      <c r="AW201" s="585"/>
      <c r="AX201" s="585"/>
      <c r="AY201" s="585"/>
      <c r="AZ201" s="585"/>
      <c r="BA201" s="585"/>
      <c r="BB201" s="586"/>
      <c r="BC201" s="627">
        <v>4000</v>
      </c>
      <c r="BD201" s="628"/>
      <c r="BE201" s="628"/>
      <c r="BF201" s="628"/>
      <c r="BG201" s="628"/>
      <c r="BH201" s="628"/>
      <c r="BI201" s="628"/>
      <c r="BJ201" s="628"/>
      <c r="BK201" s="628"/>
      <c r="BL201" s="628"/>
      <c r="BM201" s="628"/>
      <c r="BN201" s="628"/>
      <c r="BO201" s="628"/>
      <c r="BP201" s="628"/>
      <c r="BQ201" s="628"/>
      <c r="BR201" s="629"/>
      <c r="BS201" s="544">
        <v>100</v>
      </c>
      <c r="BT201" s="545"/>
      <c r="BU201" s="545"/>
      <c r="BV201" s="545"/>
      <c r="BW201" s="545"/>
      <c r="BX201" s="545"/>
      <c r="BY201" s="545"/>
      <c r="BZ201" s="545"/>
      <c r="CA201" s="545"/>
      <c r="CB201" s="545"/>
      <c r="CC201" s="545"/>
      <c r="CD201" s="545"/>
      <c r="CE201" s="545"/>
      <c r="CF201" s="545"/>
      <c r="CG201" s="545"/>
      <c r="CH201" s="546"/>
      <c r="CI201" s="627">
        <f>BC201*BS201</f>
        <v>400000</v>
      </c>
      <c r="CJ201" s="628"/>
      <c r="CK201" s="628"/>
      <c r="CL201" s="628"/>
      <c r="CM201" s="628"/>
      <c r="CN201" s="628"/>
      <c r="CO201" s="628"/>
      <c r="CP201" s="628"/>
      <c r="CQ201" s="628"/>
      <c r="CR201" s="628"/>
      <c r="CS201" s="628"/>
      <c r="CT201" s="628"/>
      <c r="CU201" s="628"/>
      <c r="CV201" s="628"/>
      <c r="CW201" s="628"/>
      <c r="CX201" s="628"/>
      <c r="CY201" s="628"/>
      <c r="CZ201" s="629"/>
      <c r="DA201" s="232"/>
    </row>
    <row r="202" spans="1:105" s="17" customFormat="1" ht="13.5" customHeight="1" x14ac:dyDescent="0.25">
      <c r="A202" s="633" t="s">
        <v>292</v>
      </c>
      <c r="B202" s="634"/>
      <c r="C202" s="634"/>
      <c r="D202" s="63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34"/>
      <c r="AL202" s="634"/>
      <c r="AM202" s="634"/>
      <c r="AN202" s="634"/>
      <c r="AO202" s="634"/>
      <c r="AP202" s="634"/>
      <c r="AQ202" s="634"/>
      <c r="AR202" s="634"/>
      <c r="AS202" s="634"/>
      <c r="AT202" s="634"/>
      <c r="AU202" s="634"/>
      <c r="AV202" s="634"/>
      <c r="AW202" s="634"/>
      <c r="AX202" s="634"/>
      <c r="AY202" s="634"/>
      <c r="AZ202" s="634"/>
      <c r="BA202" s="634"/>
      <c r="BB202" s="635"/>
      <c r="BC202" s="544" t="s">
        <v>4</v>
      </c>
      <c r="BD202" s="545"/>
      <c r="BE202" s="545"/>
      <c r="BF202" s="545"/>
      <c r="BG202" s="545"/>
      <c r="BH202" s="545"/>
      <c r="BI202" s="545"/>
      <c r="BJ202" s="545"/>
      <c r="BK202" s="545"/>
      <c r="BL202" s="545"/>
      <c r="BM202" s="545"/>
      <c r="BN202" s="545"/>
      <c r="BO202" s="545"/>
      <c r="BP202" s="545"/>
      <c r="BQ202" s="545"/>
      <c r="BR202" s="546"/>
      <c r="BS202" s="544" t="s">
        <v>4</v>
      </c>
      <c r="BT202" s="545"/>
      <c r="BU202" s="545"/>
      <c r="BV202" s="545"/>
      <c r="BW202" s="545"/>
      <c r="BX202" s="545"/>
      <c r="BY202" s="545"/>
      <c r="BZ202" s="545"/>
      <c r="CA202" s="545"/>
      <c r="CB202" s="545"/>
      <c r="CC202" s="545"/>
      <c r="CD202" s="545"/>
      <c r="CE202" s="545"/>
      <c r="CF202" s="545"/>
      <c r="CG202" s="545"/>
      <c r="CH202" s="546"/>
      <c r="CI202" s="636">
        <f>CI201</f>
        <v>400000</v>
      </c>
      <c r="CJ202" s="654"/>
      <c r="CK202" s="654"/>
      <c r="CL202" s="654"/>
      <c r="CM202" s="654"/>
      <c r="CN202" s="654"/>
      <c r="CO202" s="654"/>
      <c r="CP202" s="654"/>
      <c r="CQ202" s="654"/>
      <c r="CR202" s="654"/>
      <c r="CS202" s="654"/>
      <c r="CT202" s="654"/>
      <c r="CU202" s="654"/>
      <c r="CV202" s="654"/>
      <c r="CW202" s="654"/>
      <c r="CX202" s="654"/>
      <c r="CY202" s="654"/>
      <c r="CZ202" s="655"/>
      <c r="DA202" s="232"/>
    </row>
    <row r="203" spans="1:105" s="17" customFormat="1" ht="13.5" customHeight="1" x14ac:dyDescent="0.25">
      <c r="A203" s="633" t="s">
        <v>56</v>
      </c>
      <c r="B203" s="634"/>
      <c r="C203" s="634"/>
      <c r="D203" s="63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4"/>
      <c r="AY203" s="634"/>
      <c r="AZ203" s="634"/>
      <c r="BA203" s="634"/>
      <c r="BB203" s="635"/>
      <c r="BC203" s="544" t="s">
        <v>4</v>
      </c>
      <c r="BD203" s="545"/>
      <c r="BE203" s="545"/>
      <c r="BF203" s="545"/>
      <c r="BG203" s="545"/>
      <c r="BH203" s="545"/>
      <c r="BI203" s="545"/>
      <c r="BJ203" s="545"/>
      <c r="BK203" s="545"/>
      <c r="BL203" s="545"/>
      <c r="BM203" s="545"/>
      <c r="BN203" s="545"/>
      <c r="BO203" s="545"/>
      <c r="BP203" s="545"/>
      <c r="BQ203" s="545"/>
      <c r="BR203" s="546"/>
      <c r="BS203" s="544" t="s">
        <v>4</v>
      </c>
      <c r="BT203" s="545"/>
      <c r="BU203" s="545"/>
      <c r="BV203" s="545"/>
      <c r="BW203" s="545"/>
      <c r="BX203" s="545"/>
      <c r="BY203" s="545"/>
      <c r="BZ203" s="545"/>
      <c r="CA203" s="545"/>
      <c r="CB203" s="545"/>
      <c r="CC203" s="545"/>
      <c r="CD203" s="545"/>
      <c r="CE203" s="545"/>
      <c r="CF203" s="545"/>
      <c r="CG203" s="545"/>
      <c r="CH203" s="546"/>
      <c r="CI203" s="636">
        <f>CI202</f>
        <v>400000</v>
      </c>
      <c r="CJ203" s="637"/>
      <c r="CK203" s="637"/>
      <c r="CL203" s="637"/>
      <c r="CM203" s="637"/>
      <c r="CN203" s="637"/>
      <c r="CO203" s="637"/>
      <c r="CP203" s="637"/>
      <c r="CQ203" s="637"/>
      <c r="CR203" s="637"/>
      <c r="CS203" s="637"/>
      <c r="CT203" s="637"/>
      <c r="CU203" s="637"/>
      <c r="CV203" s="637"/>
      <c r="CW203" s="637"/>
      <c r="CX203" s="637"/>
      <c r="CY203" s="637"/>
      <c r="CZ203" s="638"/>
      <c r="DA203" s="232"/>
    </row>
    <row r="204" spans="1:105" s="17" customFormat="1" ht="13.5" customHeight="1" x14ac:dyDescent="0.25">
      <c r="A204" s="221"/>
      <c r="B204" s="221"/>
      <c r="C204" s="221"/>
      <c r="D204" s="221"/>
      <c r="E204" s="221"/>
      <c r="F204" s="221"/>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9"/>
      <c r="CM204" s="45"/>
      <c r="CN204" s="45"/>
      <c r="CO204" s="45"/>
      <c r="CP204" s="45"/>
      <c r="CQ204" s="45"/>
      <c r="CR204" s="45"/>
      <c r="CS204" s="45"/>
      <c r="CT204" s="45"/>
      <c r="CU204" s="45"/>
      <c r="CV204" s="45"/>
      <c r="CW204" s="45"/>
      <c r="CX204" s="45"/>
      <c r="CY204" s="45"/>
      <c r="CZ204" s="45"/>
      <c r="DA204" s="232"/>
    </row>
    <row r="205" spans="1:105" s="20" customFormat="1" ht="29.25" customHeight="1" x14ac:dyDescent="0.25">
      <c r="A205" s="524" t="s">
        <v>289</v>
      </c>
      <c r="B205" s="524"/>
      <c r="C205" s="524"/>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c r="AP205" s="524"/>
      <c r="AQ205" s="524"/>
      <c r="AR205" s="524"/>
      <c r="AS205" s="524"/>
      <c r="AT205" s="524"/>
      <c r="AU205" s="524"/>
      <c r="AV205" s="524"/>
      <c r="AW205" s="524"/>
      <c r="AX205" s="524"/>
      <c r="AY205" s="524"/>
      <c r="AZ205" s="524"/>
      <c r="BA205" s="524"/>
      <c r="BB205" s="524"/>
      <c r="BC205" s="524"/>
      <c r="BD205" s="524"/>
      <c r="BE205" s="524"/>
      <c r="BF205" s="524"/>
      <c r="BG205" s="524"/>
      <c r="BH205" s="524"/>
      <c r="BI205" s="524"/>
      <c r="BJ205" s="524"/>
      <c r="BK205" s="524"/>
      <c r="BL205" s="524"/>
      <c r="BM205" s="524"/>
      <c r="BN205" s="524"/>
      <c r="BO205" s="524"/>
      <c r="BP205" s="524"/>
      <c r="BQ205" s="524"/>
      <c r="BR205" s="524"/>
      <c r="BS205" s="524"/>
      <c r="BT205" s="524"/>
      <c r="BU205" s="524"/>
      <c r="BV205" s="524"/>
      <c r="BW205" s="524"/>
      <c r="BX205" s="524"/>
      <c r="BY205" s="524"/>
      <c r="BZ205" s="524"/>
      <c r="CA205" s="524"/>
      <c r="CB205" s="524"/>
      <c r="CC205" s="524"/>
      <c r="CD205" s="524"/>
      <c r="CE205" s="524"/>
      <c r="CF205" s="524"/>
      <c r="CG205" s="524"/>
      <c r="CH205" s="524"/>
      <c r="CI205" s="524"/>
      <c r="CJ205" s="524"/>
      <c r="CK205" s="524"/>
      <c r="CL205" s="524"/>
      <c r="CM205" s="524"/>
      <c r="CN205" s="524"/>
      <c r="CO205" s="524"/>
      <c r="CP205" s="524"/>
      <c r="CQ205" s="524"/>
      <c r="CR205" s="524"/>
      <c r="CS205" s="524"/>
      <c r="CT205" s="524"/>
      <c r="CU205" s="524"/>
      <c r="CV205" s="524"/>
      <c r="CW205" s="524"/>
      <c r="CX205" s="524"/>
      <c r="CY205" s="524"/>
      <c r="CZ205" s="524"/>
    </row>
    <row r="206" spans="1:105" ht="11.25" customHeight="1" x14ac:dyDescent="0.25"/>
    <row r="207" spans="1:105" s="20" customFormat="1" x14ac:dyDescent="0.25">
      <c r="A207" s="20" t="s">
        <v>47</v>
      </c>
      <c r="W207" s="595" t="s">
        <v>572</v>
      </c>
      <c r="X207" s="595"/>
      <c r="Y207" s="595"/>
      <c r="Z207" s="595"/>
      <c r="AA207" s="595"/>
      <c r="AB207" s="595"/>
      <c r="AC207" s="595"/>
      <c r="AD207" s="595"/>
      <c r="AE207" s="595"/>
      <c r="AF207" s="595"/>
      <c r="AG207" s="595"/>
      <c r="AH207" s="595"/>
      <c r="AI207" s="595"/>
      <c r="AJ207" s="595"/>
      <c r="AK207" s="595"/>
      <c r="AL207" s="595"/>
      <c r="AM207" s="595"/>
      <c r="AN207" s="595"/>
      <c r="AO207" s="595"/>
      <c r="AP207" s="595"/>
      <c r="AQ207" s="595"/>
      <c r="AR207" s="595"/>
      <c r="AS207" s="595"/>
      <c r="AT207" s="595"/>
      <c r="AU207" s="595"/>
      <c r="AV207" s="595"/>
      <c r="AW207" s="595"/>
      <c r="AX207" s="595"/>
      <c r="AY207" s="595"/>
      <c r="AZ207" s="595"/>
      <c r="BA207" s="595"/>
      <c r="BB207" s="595"/>
      <c r="BC207" s="595"/>
      <c r="BD207" s="595"/>
      <c r="BE207" s="595"/>
      <c r="BF207" s="595"/>
      <c r="BG207" s="595"/>
      <c r="BH207" s="595"/>
      <c r="BI207" s="595"/>
      <c r="BJ207" s="595"/>
      <c r="BK207" s="595"/>
      <c r="BL207" s="595"/>
      <c r="BM207" s="595"/>
      <c r="BN207" s="595"/>
      <c r="BO207" s="595"/>
      <c r="BP207" s="595"/>
      <c r="BQ207" s="595"/>
      <c r="BR207" s="595"/>
      <c r="BS207" s="595"/>
      <c r="BT207" s="595"/>
      <c r="BU207" s="595"/>
      <c r="BV207" s="595"/>
      <c r="BW207" s="595"/>
      <c r="BX207" s="595"/>
      <c r="BY207" s="595"/>
      <c r="BZ207" s="595"/>
      <c r="CA207" s="595"/>
      <c r="CB207" s="595"/>
      <c r="CC207" s="595"/>
      <c r="CD207" s="595"/>
      <c r="CE207" s="595"/>
      <c r="CF207" s="595"/>
      <c r="CG207" s="595"/>
      <c r="CH207" s="595"/>
      <c r="CI207" s="595"/>
      <c r="CJ207" s="595"/>
      <c r="CK207" s="595"/>
      <c r="CL207" s="595"/>
      <c r="CM207" s="595"/>
      <c r="CN207" s="595"/>
      <c r="CO207" s="595"/>
      <c r="CP207" s="595"/>
      <c r="CQ207" s="595"/>
      <c r="CR207" s="595"/>
      <c r="CS207" s="595"/>
      <c r="CT207" s="595"/>
      <c r="CU207" s="595"/>
      <c r="CV207" s="595"/>
      <c r="CW207" s="595"/>
      <c r="CX207" s="595"/>
      <c r="CY207" s="595"/>
      <c r="CZ207" s="595"/>
    </row>
    <row r="208" spans="1:105" ht="10.5" customHeight="1" x14ac:dyDescent="0.25"/>
    <row r="209" spans="1:105" s="18" customFormat="1" ht="45" customHeight="1" x14ac:dyDescent="0.3">
      <c r="A209" s="475" t="s">
        <v>49</v>
      </c>
      <c r="B209" s="476"/>
      <c r="C209" s="476"/>
      <c r="D209" s="476"/>
      <c r="E209" s="476"/>
      <c r="F209" s="476"/>
      <c r="G209" s="477"/>
      <c r="H209" s="475" t="s">
        <v>0</v>
      </c>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7"/>
      <c r="BC209" s="606" t="s">
        <v>290</v>
      </c>
      <c r="BD209" s="606"/>
      <c r="BE209" s="606"/>
      <c r="BF209" s="606"/>
      <c r="BG209" s="606"/>
      <c r="BH209" s="606"/>
      <c r="BI209" s="606"/>
      <c r="BJ209" s="606"/>
      <c r="BK209" s="606"/>
      <c r="BL209" s="606"/>
      <c r="BM209" s="606"/>
      <c r="BN209" s="606"/>
      <c r="BO209" s="606"/>
      <c r="BP209" s="606"/>
      <c r="BQ209" s="606"/>
      <c r="BR209" s="606"/>
      <c r="BS209" s="606" t="s">
        <v>96</v>
      </c>
      <c r="BT209" s="606"/>
      <c r="BU209" s="606"/>
      <c r="BV209" s="606"/>
      <c r="BW209" s="606"/>
      <c r="BX209" s="606"/>
      <c r="BY209" s="606"/>
      <c r="BZ209" s="606"/>
      <c r="CA209" s="606"/>
      <c r="CB209" s="606"/>
      <c r="CC209" s="606"/>
      <c r="CD209" s="606"/>
      <c r="CE209" s="606"/>
      <c r="CF209" s="606"/>
      <c r="CG209" s="606"/>
      <c r="CH209" s="606"/>
      <c r="CI209" s="606" t="s">
        <v>77</v>
      </c>
      <c r="CJ209" s="606"/>
      <c r="CK209" s="606"/>
      <c r="CL209" s="606"/>
      <c r="CM209" s="606"/>
      <c r="CN209" s="606"/>
      <c r="CO209" s="606"/>
      <c r="CP209" s="606"/>
      <c r="CQ209" s="606"/>
      <c r="CR209" s="606"/>
      <c r="CS209" s="606"/>
      <c r="CT209" s="606"/>
      <c r="CU209" s="606"/>
      <c r="CV209" s="606"/>
      <c r="CW209" s="606"/>
      <c r="CX209" s="606"/>
      <c r="CY209" s="606"/>
      <c r="CZ209" s="606"/>
      <c r="DA209" s="218"/>
    </row>
    <row r="210" spans="1:105" s="15" customFormat="1" ht="13.2" x14ac:dyDescent="0.3">
      <c r="A210" s="591">
        <v>1</v>
      </c>
      <c r="B210" s="591"/>
      <c r="C210" s="591"/>
      <c r="D210" s="591"/>
      <c r="E210" s="591"/>
      <c r="F210" s="591"/>
      <c r="G210" s="591"/>
      <c r="H210" s="591">
        <v>2</v>
      </c>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1"/>
      <c r="AL210" s="591"/>
      <c r="AM210" s="591"/>
      <c r="AN210" s="591"/>
      <c r="AO210" s="591"/>
      <c r="AP210" s="591"/>
      <c r="AQ210" s="591"/>
      <c r="AR210" s="591"/>
      <c r="AS210" s="591"/>
      <c r="AT210" s="591"/>
      <c r="AU210" s="591"/>
      <c r="AV210" s="591"/>
      <c r="AW210" s="591"/>
      <c r="AX210" s="591"/>
      <c r="AY210" s="591"/>
      <c r="AZ210" s="591"/>
      <c r="BA210" s="591"/>
      <c r="BB210" s="591"/>
      <c r="BC210" s="591">
        <v>3</v>
      </c>
      <c r="BD210" s="591"/>
      <c r="BE210" s="591"/>
      <c r="BF210" s="591"/>
      <c r="BG210" s="591"/>
      <c r="BH210" s="591"/>
      <c r="BI210" s="591"/>
      <c r="BJ210" s="591"/>
      <c r="BK210" s="591"/>
      <c r="BL210" s="591"/>
      <c r="BM210" s="591"/>
      <c r="BN210" s="591"/>
      <c r="BO210" s="591"/>
      <c r="BP210" s="591"/>
      <c r="BQ210" s="591"/>
      <c r="BR210" s="591"/>
      <c r="BS210" s="591">
        <v>4</v>
      </c>
      <c r="BT210" s="591"/>
      <c r="BU210" s="591"/>
      <c r="BV210" s="591"/>
      <c r="BW210" s="591"/>
      <c r="BX210" s="591"/>
      <c r="BY210" s="591"/>
      <c r="BZ210" s="591"/>
      <c r="CA210" s="591"/>
      <c r="CB210" s="591"/>
      <c r="CC210" s="591"/>
      <c r="CD210" s="591"/>
      <c r="CE210" s="591"/>
      <c r="CF210" s="591"/>
      <c r="CG210" s="591"/>
      <c r="CH210" s="591"/>
      <c r="CI210" s="591">
        <v>5</v>
      </c>
      <c r="CJ210" s="591"/>
      <c r="CK210" s="591"/>
      <c r="CL210" s="591"/>
      <c r="CM210" s="591"/>
      <c r="CN210" s="591"/>
      <c r="CO210" s="591"/>
      <c r="CP210" s="591"/>
      <c r="CQ210" s="591"/>
      <c r="CR210" s="591"/>
      <c r="CS210" s="591"/>
      <c r="CT210" s="591"/>
      <c r="CU210" s="591"/>
      <c r="CV210" s="591"/>
      <c r="CW210" s="591"/>
      <c r="CX210" s="591"/>
      <c r="CY210" s="591"/>
      <c r="CZ210" s="591"/>
      <c r="DA210" s="219"/>
    </row>
    <row r="211" spans="1:105" s="16" customFormat="1" ht="15" customHeight="1" x14ac:dyDescent="0.3">
      <c r="A211" s="648" t="s">
        <v>573</v>
      </c>
      <c r="B211" s="649"/>
      <c r="C211" s="649"/>
      <c r="D211" s="649"/>
      <c r="E211" s="649"/>
      <c r="F211" s="649"/>
      <c r="G211" s="649"/>
      <c r="H211" s="649"/>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49"/>
      <c r="AT211" s="649"/>
      <c r="AU211" s="649"/>
      <c r="AV211" s="649"/>
      <c r="AW211" s="649"/>
      <c r="AX211" s="649"/>
      <c r="AY211" s="649"/>
      <c r="AZ211" s="649"/>
      <c r="BA211" s="649"/>
      <c r="BB211" s="649"/>
      <c r="BC211" s="649"/>
      <c r="BD211" s="649"/>
      <c r="BE211" s="649"/>
      <c r="BF211" s="649"/>
      <c r="BG211" s="649"/>
      <c r="BH211" s="649"/>
      <c r="BI211" s="649"/>
      <c r="BJ211" s="649"/>
      <c r="BK211" s="649"/>
      <c r="BL211" s="649"/>
      <c r="BM211" s="649"/>
      <c r="BN211" s="649"/>
      <c r="BO211" s="649"/>
      <c r="BP211" s="649"/>
      <c r="BQ211" s="649"/>
      <c r="BR211" s="649"/>
      <c r="BS211" s="649"/>
      <c r="BT211" s="649"/>
      <c r="BU211" s="649"/>
      <c r="BV211" s="649"/>
      <c r="BW211" s="649"/>
      <c r="BX211" s="649"/>
      <c r="BY211" s="649"/>
      <c r="BZ211" s="649"/>
      <c r="CA211" s="649"/>
      <c r="CB211" s="649"/>
      <c r="CC211" s="649"/>
      <c r="CD211" s="649"/>
      <c r="CE211" s="649"/>
      <c r="CF211" s="649"/>
      <c r="CG211" s="649"/>
      <c r="CH211" s="649"/>
      <c r="CI211" s="649"/>
      <c r="CJ211" s="649"/>
      <c r="CK211" s="649"/>
      <c r="CL211" s="649"/>
      <c r="CM211" s="649"/>
      <c r="CN211" s="649"/>
      <c r="CO211" s="649"/>
      <c r="CP211" s="649"/>
      <c r="CQ211" s="649"/>
      <c r="CR211" s="649"/>
      <c r="CS211" s="649"/>
      <c r="CT211" s="649"/>
      <c r="CU211" s="649"/>
      <c r="CV211" s="649"/>
      <c r="CW211" s="649"/>
      <c r="CX211" s="649"/>
      <c r="CY211" s="649"/>
      <c r="CZ211" s="649"/>
      <c r="DA211" s="214"/>
    </row>
    <row r="212" spans="1:105" s="16" customFormat="1" ht="56.4" customHeight="1" x14ac:dyDescent="0.3">
      <c r="A212" s="630" t="s">
        <v>441</v>
      </c>
      <c r="B212" s="631"/>
      <c r="C212" s="631"/>
      <c r="D212" s="631"/>
      <c r="E212" s="631"/>
      <c r="F212" s="631"/>
      <c r="G212" s="632"/>
      <c r="H212" s="584" t="s">
        <v>820</v>
      </c>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5"/>
      <c r="AL212" s="585"/>
      <c r="AM212" s="585"/>
      <c r="AN212" s="585"/>
      <c r="AO212" s="585"/>
      <c r="AP212" s="585"/>
      <c r="AQ212" s="585"/>
      <c r="AR212" s="585"/>
      <c r="AS212" s="585"/>
      <c r="AT212" s="585"/>
      <c r="AU212" s="585"/>
      <c r="AV212" s="585"/>
      <c r="AW212" s="585"/>
      <c r="AX212" s="585"/>
      <c r="AY212" s="585"/>
      <c r="AZ212" s="585"/>
      <c r="BA212" s="585"/>
      <c r="BB212" s="586"/>
      <c r="BC212" s="544">
        <v>15</v>
      </c>
      <c r="BD212" s="545"/>
      <c r="BE212" s="545"/>
      <c r="BF212" s="545"/>
      <c r="BG212" s="545"/>
      <c r="BH212" s="545"/>
      <c r="BI212" s="545"/>
      <c r="BJ212" s="545"/>
      <c r="BK212" s="545"/>
      <c r="BL212" s="545"/>
      <c r="BM212" s="545"/>
      <c r="BN212" s="545"/>
      <c r="BO212" s="545"/>
      <c r="BP212" s="545"/>
      <c r="BQ212" s="545"/>
      <c r="BR212" s="546"/>
      <c r="BS212" s="627">
        <f>CI212/BC212</f>
        <v>4200</v>
      </c>
      <c r="BT212" s="628"/>
      <c r="BU212" s="628"/>
      <c r="BV212" s="628"/>
      <c r="BW212" s="628"/>
      <c r="BX212" s="628"/>
      <c r="BY212" s="628"/>
      <c r="BZ212" s="628"/>
      <c r="CA212" s="628"/>
      <c r="CB212" s="628"/>
      <c r="CC212" s="628"/>
      <c r="CD212" s="628"/>
      <c r="CE212" s="628"/>
      <c r="CF212" s="628"/>
      <c r="CG212" s="628"/>
      <c r="CH212" s="629"/>
      <c r="CI212" s="627">
        <v>63000</v>
      </c>
      <c r="CJ212" s="628"/>
      <c r="CK212" s="628"/>
      <c r="CL212" s="628"/>
      <c r="CM212" s="628"/>
      <c r="CN212" s="628"/>
      <c r="CO212" s="628"/>
      <c r="CP212" s="628"/>
      <c r="CQ212" s="628"/>
      <c r="CR212" s="628"/>
      <c r="CS212" s="628"/>
      <c r="CT212" s="628"/>
      <c r="CU212" s="628"/>
      <c r="CV212" s="628"/>
      <c r="CW212" s="628"/>
      <c r="CX212" s="628"/>
      <c r="CY212" s="628"/>
      <c r="CZ212" s="629"/>
      <c r="DA212" s="214"/>
    </row>
    <row r="213" spans="1:105" s="16" customFormat="1" ht="15" customHeight="1" x14ac:dyDescent="0.3">
      <c r="A213" s="633" t="s">
        <v>292</v>
      </c>
      <c r="B213" s="634"/>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4"/>
      <c r="AY213" s="634"/>
      <c r="AZ213" s="634"/>
      <c r="BA213" s="634"/>
      <c r="BB213" s="635"/>
      <c r="BC213" s="544" t="s">
        <v>4</v>
      </c>
      <c r="BD213" s="545"/>
      <c r="BE213" s="545"/>
      <c r="BF213" s="545"/>
      <c r="BG213" s="545"/>
      <c r="BH213" s="545"/>
      <c r="BI213" s="545"/>
      <c r="BJ213" s="545"/>
      <c r="BK213" s="545"/>
      <c r="BL213" s="545"/>
      <c r="BM213" s="545"/>
      <c r="BN213" s="545"/>
      <c r="BO213" s="545"/>
      <c r="BP213" s="545"/>
      <c r="BQ213" s="545"/>
      <c r="BR213" s="546"/>
      <c r="BS213" s="544" t="s">
        <v>4</v>
      </c>
      <c r="BT213" s="545"/>
      <c r="BU213" s="545"/>
      <c r="BV213" s="545"/>
      <c r="BW213" s="545"/>
      <c r="BX213" s="545"/>
      <c r="BY213" s="545"/>
      <c r="BZ213" s="545"/>
      <c r="CA213" s="545"/>
      <c r="CB213" s="545"/>
      <c r="CC213" s="545"/>
      <c r="CD213" s="545"/>
      <c r="CE213" s="545"/>
      <c r="CF213" s="545"/>
      <c r="CG213" s="545"/>
      <c r="CH213" s="546"/>
      <c r="CI213" s="636">
        <f>CI212</f>
        <v>63000</v>
      </c>
      <c r="CJ213" s="637"/>
      <c r="CK213" s="637"/>
      <c r="CL213" s="637"/>
      <c r="CM213" s="637"/>
      <c r="CN213" s="637"/>
      <c r="CO213" s="637"/>
      <c r="CP213" s="637"/>
      <c r="CQ213" s="637"/>
      <c r="CR213" s="637"/>
      <c r="CS213" s="637"/>
      <c r="CT213" s="637"/>
      <c r="CU213" s="637"/>
      <c r="CV213" s="637"/>
      <c r="CW213" s="637"/>
      <c r="CX213" s="637"/>
      <c r="CY213" s="637"/>
      <c r="CZ213" s="638"/>
      <c r="DA213" s="214"/>
    </row>
    <row r="214" spans="1:105" s="16" customFormat="1" ht="15" hidden="1" customHeight="1" x14ac:dyDescent="0.3">
      <c r="A214" s="648" t="s">
        <v>258</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649"/>
      <c r="AY214" s="649"/>
      <c r="AZ214" s="649"/>
      <c r="BA214" s="649"/>
      <c r="BB214" s="649"/>
      <c r="BC214" s="649"/>
      <c r="BD214" s="649"/>
      <c r="BE214" s="649"/>
      <c r="BF214" s="649"/>
      <c r="BG214" s="649"/>
      <c r="BH214" s="649"/>
      <c r="BI214" s="649"/>
      <c r="BJ214" s="649"/>
      <c r="BK214" s="649"/>
      <c r="BL214" s="649"/>
      <c r="BM214" s="649"/>
      <c r="BN214" s="649"/>
      <c r="BO214" s="649"/>
      <c r="BP214" s="649"/>
      <c r="BQ214" s="649"/>
      <c r="BR214" s="649"/>
      <c r="BS214" s="649"/>
      <c r="BT214" s="649"/>
      <c r="BU214" s="649"/>
      <c r="BV214" s="649"/>
      <c r="BW214" s="649"/>
      <c r="BX214" s="649"/>
      <c r="BY214" s="649"/>
      <c r="BZ214" s="649"/>
      <c r="CA214" s="649"/>
      <c r="CB214" s="649"/>
      <c r="CC214" s="649"/>
      <c r="CD214" s="649"/>
      <c r="CE214" s="649"/>
      <c r="CF214" s="649"/>
      <c r="CG214" s="649"/>
      <c r="CH214" s="649"/>
      <c r="CI214" s="649"/>
      <c r="CJ214" s="649"/>
      <c r="CK214" s="649"/>
      <c r="CL214" s="649"/>
      <c r="CM214" s="649"/>
      <c r="CN214" s="649"/>
      <c r="CO214" s="649"/>
      <c r="CP214" s="649"/>
      <c r="CQ214" s="649"/>
      <c r="CR214" s="649"/>
      <c r="CS214" s="649"/>
      <c r="CT214" s="649"/>
      <c r="CU214" s="649"/>
      <c r="CV214" s="649"/>
      <c r="CW214" s="649"/>
      <c r="CX214" s="649"/>
      <c r="CY214" s="649"/>
      <c r="CZ214" s="649"/>
      <c r="DA214" s="214"/>
    </row>
    <row r="215" spans="1:105" s="16" customFormat="1" ht="15" hidden="1" customHeight="1" x14ac:dyDescent="0.3">
      <c r="A215" s="630"/>
      <c r="B215" s="631"/>
      <c r="C215" s="631"/>
      <c r="D215" s="631"/>
      <c r="E215" s="631"/>
      <c r="F215" s="631"/>
      <c r="G215" s="632"/>
      <c r="H215" s="584"/>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5"/>
      <c r="AP215" s="585"/>
      <c r="AQ215" s="585"/>
      <c r="AR215" s="585"/>
      <c r="AS215" s="585"/>
      <c r="AT215" s="585"/>
      <c r="AU215" s="585"/>
      <c r="AV215" s="585"/>
      <c r="AW215" s="585"/>
      <c r="AX215" s="585"/>
      <c r="AY215" s="585"/>
      <c r="AZ215" s="585"/>
      <c r="BA215" s="585"/>
      <c r="BB215" s="586"/>
      <c r="BC215" s="544"/>
      <c r="BD215" s="545"/>
      <c r="BE215" s="545"/>
      <c r="BF215" s="545"/>
      <c r="BG215" s="545"/>
      <c r="BH215" s="545"/>
      <c r="BI215" s="545"/>
      <c r="BJ215" s="545"/>
      <c r="BK215" s="545"/>
      <c r="BL215" s="545"/>
      <c r="BM215" s="545"/>
      <c r="BN215" s="545"/>
      <c r="BO215" s="545"/>
      <c r="BP215" s="545"/>
      <c r="BQ215" s="545"/>
      <c r="BR215" s="546"/>
      <c r="BS215" s="544"/>
      <c r="BT215" s="545"/>
      <c r="BU215" s="545"/>
      <c r="BV215" s="545"/>
      <c r="BW215" s="545"/>
      <c r="BX215" s="545"/>
      <c r="BY215" s="545"/>
      <c r="BZ215" s="545"/>
      <c r="CA215" s="545"/>
      <c r="CB215" s="545"/>
      <c r="CC215" s="545"/>
      <c r="CD215" s="545"/>
      <c r="CE215" s="545"/>
      <c r="CF215" s="545"/>
      <c r="CG215" s="545"/>
      <c r="CH215" s="546"/>
      <c r="CI215" s="544"/>
      <c r="CJ215" s="545"/>
      <c r="CK215" s="545"/>
      <c r="CL215" s="545"/>
      <c r="CM215" s="545"/>
      <c r="CN215" s="545"/>
      <c r="CO215" s="545"/>
      <c r="CP215" s="545"/>
      <c r="CQ215" s="545"/>
      <c r="CR215" s="545"/>
      <c r="CS215" s="545"/>
      <c r="CT215" s="545"/>
      <c r="CU215" s="545"/>
      <c r="CV215" s="545"/>
      <c r="CW215" s="545"/>
      <c r="CX215" s="545"/>
      <c r="CY215" s="545"/>
      <c r="CZ215" s="546"/>
      <c r="DA215" s="214"/>
    </row>
    <row r="216" spans="1:105" s="16" customFormat="1" ht="15" hidden="1" customHeight="1" x14ac:dyDescent="0.3">
      <c r="A216" s="633" t="s">
        <v>292</v>
      </c>
      <c r="B216" s="634"/>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4"/>
      <c r="AY216" s="634"/>
      <c r="AZ216" s="634"/>
      <c r="BA216" s="634"/>
      <c r="BB216" s="635"/>
      <c r="BC216" s="544" t="s">
        <v>4</v>
      </c>
      <c r="BD216" s="545"/>
      <c r="BE216" s="545"/>
      <c r="BF216" s="545"/>
      <c r="BG216" s="545"/>
      <c r="BH216" s="545"/>
      <c r="BI216" s="545"/>
      <c r="BJ216" s="545"/>
      <c r="BK216" s="545"/>
      <c r="BL216" s="545"/>
      <c r="BM216" s="545"/>
      <c r="BN216" s="545"/>
      <c r="BO216" s="545"/>
      <c r="BP216" s="545"/>
      <c r="BQ216" s="545"/>
      <c r="BR216" s="546"/>
      <c r="BS216" s="544" t="s">
        <v>4</v>
      </c>
      <c r="BT216" s="545"/>
      <c r="BU216" s="545"/>
      <c r="BV216" s="545"/>
      <c r="BW216" s="545"/>
      <c r="BX216" s="545"/>
      <c r="BY216" s="545"/>
      <c r="BZ216" s="545"/>
      <c r="CA216" s="545"/>
      <c r="CB216" s="545"/>
      <c r="CC216" s="545"/>
      <c r="CD216" s="545"/>
      <c r="CE216" s="545"/>
      <c r="CF216" s="545"/>
      <c r="CG216" s="545"/>
      <c r="CH216" s="546"/>
      <c r="CI216" s="544"/>
      <c r="CJ216" s="545"/>
      <c r="CK216" s="545"/>
      <c r="CL216" s="545"/>
      <c r="CM216" s="545"/>
      <c r="CN216" s="545"/>
      <c r="CO216" s="545"/>
      <c r="CP216" s="545"/>
      <c r="CQ216" s="545"/>
      <c r="CR216" s="545"/>
      <c r="CS216" s="545"/>
      <c r="CT216" s="545"/>
      <c r="CU216" s="545"/>
      <c r="CV216" s="545"/>
      <c r="CW216" s="545"/>
      <c r="CX216" s="545"/>
      <c r="CY216" s="545"/>
      <c r="CZ216" s="546"/>
      <c r="DA216" s="214"/>
    </row>
    <row r="217" spans="1:105" s="16" customFormat="1" ht="15" customHeight="1" x14ac:dyDescent="0.3">
      <c r="A217" s="633" t="s">
        <v>56</v>
      </c>
      <c r="B217" s="634"/>
      <c r="C217" s="634"/>
      <c r="D217" s="63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4"/>
      <c r="AY217" s="634"/>
      <c r="AZ217" s="634"/>
      <c r="BA217" s="634"/>
      <c r="BB217" s="635"/>
      <c r="BC217" s="544" t="s">
        <v>4</v>
      </c>
      <c r="BD217" s="545"/>
      <c r="BE217" s="545"/>
      <c r="BF217" s="545"/>
      <c r="BG217" s="545"/>
      <c r="BH217" s="545"/>
      <c r="BI217" s="545"/>
      <c r="BJ217" s="545"/>
      <c r="BK217" s="545"/>
      <c r="BL217" s="545"/>
      <c r="BM217" s="545"/>
      <c r="BN217" s="545"/>
      <c r="BO217" s="545"/>
      <c r="BP217" s="545"/>
      <c r="BQ217" s="545"/>
      <c r="BR217" s="546"/>
      <c r="BS217" s="544" t="s">
        <v>4</v>
      </c>
      <c r="BT217" s="545"/>
      <c r="BU217" s="545"/>
      <c r="BV217" s="545"/>
      <c r="BW217" s="545"/>
      <c r="BX217" s="545"/>
      <c r="BY217" s="545"/>
      <c r="BZ217" s="545"/>
      <c r="CA217" s="545"/>
      <c r="CB217" s="545"/>
      <c r="CC217" s="545"/>
      <c r="CD217" s="545"/>
      <c r="CE217" s="545"/>
      <c r="CF217" s="545"/>
      <c r="CG217" s="545"/>
      <c r="CH217" s="546"/>
      <c r="CI217" s="636">
        <f>CI213</f>
        <v>63000</v>
      </c>
      <c r="CJ217" s="637"/>
      <c r="CK217" s="637"/>
      <c r="CL217" s="637"/>
      <c r="CM217" s="637"/>
      <c r="CN217" s="637"/>
      <c r="CO217" s="637"/>
      <c r="CP217" s="637"/>
      <c r="CQ217" s="637"/>
      <c r="CR217" s="637"/>
      <c r="CS217" s="637"/>
      <c r="CT217" s="637"/>
      <c r="CU217" s="637"/>
      <c r="CV217" s="637"/>
      <c r="CW217" s="637"/>
      <c r="CX217" s="637"/>
      <c r="CY217" s="637"/>
      <c r="CZ217" s="638"/>
      <c r="DA217" s="214"/>
    </row>
    <row r="218" spans="1:105" s="16" customFormat="1" ht="15" hidden="1" customHeight="1" x14ac:dyDescent="0.3">
      <c r="A218" s="221"/>
      <c r="B218" s="221"/>
      <c r="C218" s="221"/>
      <c r="D218" s="221"/>
      <c r="E218" s="221"/>
      <c r="F218" s="221"/>
      <c r="G218" s="221"/>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14"/>
    </row>
    <row r="219" spans="1:105" s="20" customFormat="1" hidden="1" x14ac:dyDescent="0.25">
      <c r="A219" s="594" t="s">
        <v>278</v>
      </c>
      <c r="B219" s="594"/>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594"/>
      <c r="AY219" s="594"/>
      <c r="AZ219" s="594"/>
      <c r="BA219" s="594"/>
      <c r="BB219" s="594"/>
      <c r="BC219" s="594"/>
      <c r="BD219" s="594"/>
      <c r="BE219" s="594"/>
      <c r="BF219" s="594"/>
      <c r="BG219" s="594"/>
      <c r="BH219" s="594"/>
      <c r="BI219" s="594"/>
      <c r="BJ219" s="594"/>
      <c r="BK219" s="594"/>
      <c r="BL219" s="594"/>
      <c r="BM219" s="594"/>
      <c r="BN219" s="594"/>
      <c r="BO219" s="594"/>
      <c r="BP219" s="594"/>
      <c r="BQ219" s="594"/>
      <c r="BR219" s="594"/>
      <c r="BS219" s="594"/>
      <c r="BT219" s="594"/>
      <c r="BU219" s="594"/>
      <c r="BV219" s="594"/>
      <c r="BW219" s="594"/>
      <c r="BX219" s="594"/>
      <c r="BY219" s="594"/>
      <c r="BZ219" s="594"/>
      <c r="CA219" s="594"/>
      <c r="CB219" s="594"/>
      <c r="CC219" s="594"/>
      <c r="CD219" s="594"/>
      <c r="CE219" s="594"/>
      <c r="CF219" s="594"/>
      <c r="CG219" s="594"/>
      <c r="CH219" s="594"/>
      <c r="CI219" s="594"/>
      <c r="CJ219" s="594"/>
      <c r="CK219" s="594"/>
      <c r="CL219" s="594"/>
      <c r="CM219" s="594"/>
      <c r="CN219" s="594"/>
      <c r="CO219" s="594"/>
      <c r="CP219" s="594"/>
      <c r="CQ219" s="594"/>
      <c r="CR219" s="594"/>
      <c r="CS219" s="594"/>
      <c r="CT219" s="594"/>
      <c r="CU219" s="594"/>
      <c r="CV219" s="594"/>
      <c r="CW219" s="594"/>
      <c r="CX219" s="594"/>
      <c r="CY219" s="594"/>
      <c r="CZ219" s="594"/>
    </row>
    <row r="220" spans="1:105" ht="12" customHeight="1" x14ac:dyDescent="0.25"/>
    <row r="221" spans="1:105" s="20" customFormat="1" ht="12.75" customHeight="1" x14ac:dyDescent="0.25">
      <c r="A221" s="594" t="s">
        <v>279</v>
      </c>
      <c r="B221" s="594"/>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594"/>
      <c r="CB221" s="594"/>
      <c r="CC221" s="594"/>
      <c r="CD221" s="594"/>
      <c r="CE221" s="594"/>
      <c r="CF221" s="594"/>
      <c r="CG221" s="594"/>
      <c r="CH221" s="594"/>
      <c r="CI221" s="594"/>
      <c r="CJ221" s="594"/>
      <c r="CK221" s="594"/>
      <c r="CL221" s="594"/>
      <c r="CM221" s="594"/>
      <c r="CN221" s="594"/>
      <c r="CO221" s="594"/>
      <c r="CP221" s="594"/>
      <c r="CQ221" s="594"/>
      <c r="CR221" s="594"/>
      <c r="CS221" s="594"/>
      <c r="CT221" s="594"/>
      <c r="CU221" s="594"/>
      <c r="CV221" s="594"/>
      <c r="CW221" s="594"/>
      <c r="CX221" s="594"/>
      <c r="CY221" s="594"/>
      <c r="CZ221" s="594"/>
    </row>
    <row r="222" spans="1:105" ht="9" customHeight="1" x14ac:dyDescent="0.25"/>
    <row r="223" spans="1:105" s="20" customFormat="1" x14ac:dyDescent="0.25">
      <c r="A223" s="20" t="s">
        <v>47</v>
      </c>
      <c r="W223" s="595" t="s">
        <v>574</v>
      </c>
      <c r="X223" s="595"/>
      <c r="Y223" s="595"/>
      <c r="Z223" s="595"/>
      <c r="AA223" s="595"/>
      <c r="AB223" s="595"/>
      <c r="AC223" s="595"/>
      <c r="AD223" s="595"/>
      <c r="AE223" s="595"/>
      <c r="AF223" s="595"/>
      <c r="AG223" s="595"/>
      <c r="AH223" s="595"/>
      <c r="AI223" s="595"/>
      <c r="AJ223" s="595"/>
      <c r="AK223" s="595"/>
      <c r="AL223" s="595"/>
      <c r="AM223" s="595"/>
      <c r="AN223" s="595"/>
      <c r="AO223" s="595"/>
      <c r="AP223" s="595"/>
      <c r="AQ223" s="595"/>
      <c r="AR223" s="595"/>
      <c r="AS223" s="595"/>
      <c r="AT223" s="595"/>
      <c r="AU223" s="595"/>
      <c r="AV223" s="595"/>
      <c r="AW223" s="595"/>
      <c r="AX223" s="595"/>
      <c r="AY223" s="595"/>
      <c r="AZ223" s="595"/>
      <c r="BA223" s="595"/>
      <c r="BB223" s="595"/>
      <c r="BC223" s="595"/>
      <c r="BD223" s="595"/>
      <c r="BE223" s="595"/>
      <c r="BF223" s="595"/>
      <c r="BG223" s="595"/>
      <c r="BH223" s="595"/>
      <c r="BI223" s="595"/>
      <c r="BJ223" s="595"/>
      <c r="BK223" s="595"/>
      <c r="BL223" s="595"/>
      <c r="BM223" s="595"/>
      <c r="BN223" s="595"/>
      <c r="BO223" s="595"/>
      <c r="BP223" s="595"/>
      <c r="BQ223" s="595"/>
      <c r="BR223" s="595"/>
      <c r="BS223" s="595"/>
      <c r="BT223" s="595"/>
      <c r="BU223" s="595"/>
      <c r="BV223" s="595"/>
      <c r="BW223" s="595"/>
      <c r="BX223" s="595"/>
      <c r="BY223" s="595"/>
      <c r="BZ223" s="595"/>
      <c r="CA223" s="595"/>
      <c r="CB223" s="595"/>
      <c r="CC223" s="595"/>
      <c r="CD223" s="595"/>
      <c r="CE223" s="595"/>
      <c r="CF223" s="595"/>
      <c r="CG223" s="595"/>
      <c r="CH223" s="595"/>
      <c r="CI223" s="595"/>
      <c r="CJ223" s="595"/>
      <c r="CK223" s="595"/>
      <c r="CL223" s="595"/>
      <c r="CM223" s="595"/>
      <c r="CN223" s="595"/>
      <c r="CO223" s="595"/>
      <c r="CP223" s="595"/>
      <c r="CQ223" s="595"/>
      <c r="CR223" s="595"/>
      <c r="CS223" s="595"/>
      <c r="CT223" s="595"/>
      <c r="CU223" s="595"/>
      <c r="CV223" s="595"/>
      <c r="CW223" s="595"/>
      <c r="CX223" s="595"/>
      <c r="CY223" s="595"/>
      <c r="CZ223" s="595"/>
      <c r="DA223" s="230">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75" t="s">
        <v>49</v>
      </c>
      <c r="B225" s="476"/>
      <c r="C225" s="476"/>
      <c r="D225" s="476"/>
      <c r="E225" s="476"/>
      <c r="F225" s="476"/>
      <c r="G225" s="477"/>
      <c r="H225" s="475" t="s">
        <v>0</v>
      </c>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c r="AK225" s="476"/>
      <c r="AL225" s="476"/>
      <c r="AM225" s="476"/>
      <c r="AN225" s="476"/>
      <c r="AO225" s="476"/>
      <c r="AP225" s="476"/>
      <c r="AQ225" s="476"/>
      <c r="AR225" s="476"/>
      <c r="AS225" s="476"/>
      <c r="AT225" s="476"/>
      <c r="AU225" s="476"/>
      <c r="AV225" s="476"/>
      <c r="AW225" s="476"/>
      <c r="AX225" s="476"/>
      <c r="AY225" s="476"/>
      <c r="AZ225" s="476"/>
      <c r="BA225" s="476"/>
      <c r="BB225" s="477"/>
      <c r="BC225" s="597" t="s">
        <v>79</v>
      </c>
      <c r="BD225" s="598"/>
      <c r="BE225" s="598"/>
      <c r="BF225" s="598"/>
      <c r="BG225" s="598"/>
      <c r="BH225" s="598"/>
      <c r="BI225" s="598"/>
      <c r="BJ225" s="598"/>
      <c r="BK225" s="598"/>
      <c r="BL225" s="598"/>
      <c r="BM225" s="598"/>
      <c r="BN225" s="598"/>
      <c r="BO225" s="598"/>
      <c r="BP225" s="598"/>
      <c r="BQ225" s="598"/>
      <c r="BR225" s="599"/>
      <c r="BS225" s="606" t="s">
        <v>80</v>
      </c>
      <c r="BT225" s="606"/>
      <c r="BU225" s="606"/>
      <c r="BV225" s="606"/>
      <c r="BW225" s="606"/>
      <c r="BX225" s="606"/>
      <c r="BY225" s="606"/>
      <c r="BZ225" s="606"/>
      <c r="CA225" s="606"/>
      <c r="CB225" s="606"/>
      <c r="CC225" s="606"/>
      <c r="CD225" s="606"/>
      <c r="CE225" s="606"/>
      <c r="CF225" s="606"/>
      <c r="CG225" s="606"/>
      <c r="CH225" s="606"/>
      <c r="CI225" s="606" t="s">
        <v>81</v>
      </c>
      <c r="CJ225" s="606"/>
      <c r="CK225" s="606"/>
      <c r="CL225" s="606"/>
      <c r="CM225" s="606"/>
      <c r="CN225" s="606"/>
      <c r="CO225" s="606"/>
      <c r="CP225" s="606"/>
      <c r="CQ225" s="606"/>
      <c r="CR225" s="606"/>
      <c r="CS225" s="606"/>
      <c r="CT225" s="606"/>
      <c r="CU225" s="606"/>
      <c r="CV225" s="606"/>
      <c r="CW225" s="606"/>
      <c r="CX225" s="606"/>
      <c r="CY225" s="606"/>
      <c r="CZ225" s="606"/>
      <c r="DA225" s="218"/>
    </row>
    <row r="226" spans="1:105" s="15" customFormat="1" ht="13.2" x14ac:dyDescent="0.3">
      <c r="A226" s="591">
        <v>1</v>
      </c>
      <c r="B226" s="591"/>
      <c r="C226" s="591"/>
      <c r="D226" s="591"/>
      <c r="E226" s="591"/>
      <c r="F226" s="591"/>
      <c r="G226" s="591"/>
      <c r="H226" s="591">
        <v>2</v>
      </c>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1"/>
      <c r="AL226" s="591"/>
      <c r="AM226" s="591"/>
      <c r="AN226" s="591"/>
      <c r="AO226" s="591"/>
      <c r="AP226" s="591"/>
      <c r="AQ226" s="591"/>
      <c r="AR226" s="591"/>
      <c r="AS226" s="591"/>
      <c r="AT226" s="591"/>
      <c r="AU226" s="591"/>
      <c r="AV226" s="591"/>
      <c r="AW226" s="591"/>
      <c r="AX226" s="591"/>
      <c r="AY226" s="591"/>
      <c r="AZ226" s="591"/>
      <c r="BA226" s="591"/>
      <c r="BB226" s="591"/>
      <c r="BC226" s="591">
        <v>3</v>
      </c>
      <c r="BD226" s="591"/>
      <c r="BE226" s="591"/>
      <c r="BF226" s="591"/>
      <c r="BG226" s="591"/>
      <c r="BH226" s="591"/>
      <c r="BI226" s="591"/>
      <c r="BJ226" s="591"/>
      <c r="BK226" s="591"/>
      <c r="BL226" s="591"/>
      <c r="BM226" s="591"/>
      <c r="BN226" s="591"/>
      <c r="BO226" s="591"/>
      <c r="BP226" s="591"/>
      <c r="BQ226" s="591"/>
      <c r="BR226" s="591"/>
      <c r="BS226" s="591">
        <v>4</v>
      </c>
      <c r="BT226" s="591"/>
      <c r="BU226" s="591"/>
      <c r="BV226" s="591"/>
      <c r="BW226" s="591"/>
      <c r="BX226" s="591"/>
      <c r="BY226" s="591"/>
      <c r="BZ226" s="591"/>
      <c r="CA226" s="591"/>
      <c r="CB226" s="591"/>
      <c r="CC226" s="591"/>
      <c r="CD226" s="591"/>
      <c r="CE226" s="591"/>
      <c r="CF226" s="591"/>
      <c r="CG226" s="591"/>
      <c r="CH226" s="591"/>
      <c r="CI226" s="591">
        <v>5</v>
      </c>
      <c r="CJ226" s="591"/>
      <c r="CK226" s="591"/>
      <c r="CL226" s="591"/>
      <c r="CM226" s="591"/>
      <c r="CN226" s="591"/>
      <c r="CO226" s="591"/>
      <c r="CP226" s="591"/>
      <c r="CQ226" s="591"/>
      <c r="CR226" s="591"/>
      <c r="CS226" s="591"/>
      <c r="CT226" s="591"/>
      <c r="CU226" s="591"/>
      <c r="CV226" s="591"/>
      <c r="CW226" s="591"/>
      <c r="CX226" s="591"/>
      <c r="CY226" s="591"/>
      <c r="CZ226" s="591"/>
      <c r="DA226" s="219"/>
    </row>
    <row r="227" spans="1:105" s="16" customFormat="1" ht="15" customHeight="1" x14ac:dyDescent="0.3">
      <c r="A227" s="648" t="s">
        <v>569</v>
      </c>
      <c r="B227" s="649"/>
      <c r="C227" s="649"/>
      <c r="D227" s="649"/>
      <c r="E227" s="649"/>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649"/>
      <c r="AY227" s="649"/>
      <c r="AZ227" s="649"/>
      <c r="BA227" s="649"/>
      <c r="BB227" s="649"/>
      <c r="BC227" s="649"/>
      <c r="BD227" s="649"/>
      <c r="BE227" s="649"/>
      <c r="BF227" s="649"/>
      <c r="BG227" s="649"/>
      <c r="BH227" s="649"/>
      <c r="BI227" s="649"/>
      <c r="BJ227" s="649"/>
      <c r="BK227" s="649"/>
      <c r="BL227" s="649"/>
      <c r="BM227" s="649"/>
      <c r="BN227" s="649"/>
      <c r="BO227" s="649"/>
      <c r="BP227" s="649"/>
      <c r="BQ227" s="649"/>
      <c r="BR227" s="649"/>
      <c r="BS227" s="649"/>
      <c r="BT227" s="649"/>
      <c r="BU227" s="649"/>
      <c r="BV227" s="649"/>
      <c r="BW227" s="649"/>
      <c r="BX227" s="649"/>
      <c r="BY227" s="649"/>
      <c r="BZ227" s="649"/>
      <c r="CA227" s="649"/>
      <c r="CB227" s="649"/>
      <c r="CC227" s="649"/>
      <c r="CD227" s="649"/>
      <c r="CE227" s="649"/>
      <c r="CF227" s="649"/>
      <c r="CG227" s="649"/>
      <c r="CH227" s="649"/>
      <c r="CI227" s="649"/>
      <c r="CJ227" s="649"/>
      <c r="CK227" s="649"/>
      <c r="CL227" s="649"/>
      <c r="CM227" s="649"/>
      <c r="CN227" s="649"/>
      <c r="CO227" s="649"/>
      <c r="CP227" s="649"/>
      <c r="CQ227" s="649"/>
      <c r="CR227" s="649"/>
      <c r="CS227" s="649"/>
      <c r="CT227" s="649"/>
      <c r="CU227" s="649"/>
      <c r="CV227" s="649"/>
      <c r="CW227" s="649"/>
      <c r="CX227" s="649"/>
      <c r="CY227" s="649"/>
      <c r="CZ227" s="649"/>
      <c r="DA227" s="214"/>
    </row>
    <row r="228" spans="1:105" s="16" customFormat="1" ht="15" customHeight="1" x14ac:dyDescent="0.3">
      <c r="A228" s="630" t="s">
        <v>441</v>
      </c>
      <c r="B228" s="631"/>
      <c r="C228" s="631"/>
      <c r="D228" s="631"/>
      <c r="E228" s="631"/>
      <c r="F228" s="631"/>
      <c r="G228" s="632"/>
      <c r="H228" s="584" t="s">
        <v>575</v>
      </c>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585"/>
      <c r="AP228" s="585"/>
      <c r="AQ228" s="585"/>
      <c r="AR228" s="585"/>
      <c r="AS228" s="585"/>
      <c r="AT228" s="585"/>
      <c r="AU228" s="585"/>
      <c r="AV228" s="585"/>
      <c r="AW228" s="585"/>
      <c r="AX228" s="585"/>
      <c r="AY228" s="585"/>
      <c r="AZ228" s="585"/>
      <c r="BA228" s="585"/>
      <c r="BB228" s="586"/>
      <c r="BC228" s="627">
        <v>9878990.9000000004</v>
      </c>
      <c r="BD228" s="628"/>
      <c r="BE228" s="628"/>
      <c r="BF228" s="628"/>
      <c r="BG228" s="628"/>
      <c r="BH228" s="628"/>
      <c r="BI228" s="628"/>
      <c r="BJ228" s="628"/>
      <c r="BK228" s="628"/>
      <c r="BL228" s="628"/>
      <c r="BM228" s="628"/>
      <c r="BN228" s="628"/>
      <c r="BO228" s="628"/>
      <c r="BP228" s="628"/>
      <c r="BQ228" s="628"/>
      <c r="BR228" s="629"/>
      <c r="BS228" s="627">
        <v>2.2000000000000002</v>
      </c>
      <c r="BT228" s="628"/>
      <c r="BU228" s="628"/>
      <c r="BV228" s="628"/>
      <c r="BW228" s="628"/>
      <c r="BX228" s="628"/>
      <c r="BY228" s="628"/>
      <c r="BZ228" s="628"/>
      <c r="CA228" s="628"/>
      <c r="CB228" s="628"/>
      <c r="CC228" s="628"/>
      <c r="CD228" s="628"/>
      <c r="CE228" s="628"/>
      <c r="CF228" s="628"/>
      <c r="CG228" s="628"/>
      <c r="CH228" s="629"/>
      <c r="CI228" s="627">
        <f>BC228*BS228/100</f>
        <v>217337.79980000004</v>
      </c>
      <c r="CJ228" s="628"/>
      <c r="CK228" s="628"/>
      <c r="CL228" s="628"/>
      <c r="CM228" s="628"/>
      <c r="CN228" s="628"/>
      <c r="CO228" s="628"/>
      <c r="CP228" s="628"/>
      <c r="CQ228" s="628"/>
      <c r="CR228" s="628"/>
      <c r="CS228" s="628"/>
      <c r="CT228" s="628"/>
      <c r="CU228" s="628"/>
      <c r="CV228" s="628"/>
      <c r="CW228" s="628"/>
      <c r="CX228" s="628"/>
      <c r="CY228" s="628"/>
      <c r="CZ228" s="629"/>
      <c r="DA228" s="214"/>
    </row>
    <row r="229" spans="1:105" s="16" customFormat="1" ht="15" customHeight="1" x14ac:dyDescent="0.3">
      <c r="A229" s="630" t="s">
        <v>444</v>
      </c>
      <c r="B229" s="631"/>
      <c r="C229" s="631"/>
      <c r="D229" s="631"/>
      <c r="E229" s="631"/>
      <c r="F229" s="631"/>
      <c r="G229" s="632"/>
      <c r="H229" s="584" t="s">
        <v>576</v>
      </c>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5"/>
      <c r="AL229" s="585"/>
      <c r="AM229" s="585"/>
      <c r="AN229" s="585"/>
      <c r="AO229" s="585"/>
      <c r="AP229" s="585"/>
      <c r="AQ229" s="585"/>
      <c r="AR229" s="585"/>
      <c r="AS229" s="585"/>
      <c r="AT229" s="585"/>
      <c r="AU229" s="585"/>
      <c r="AV229" s="585"/>
      <c r="AW229" s="585"/>
      <c r="AX229" s="585"/>
      <c r="AY229" s="585"/>
      <c r="AZ229" s="585"/>
      <c r="BA229" s="585"/>
      <c r="BB229" s="586"/>
      <c r="BC229" s="627">
        <v>6224933.3333200002</v>
      </c>
      <c r="BD229" s="628"/>
      <c r="BE229" s="628"/>
      <c r="BF229" s="628"/>
      <c r="BG229" s="628"/>
      <c r="BH229" s="628"/>
      <c r="BI229" s="628"/>
      <c r="BJ229" s="628"/>
      <c r="BK229" s="628"/>
      <c r="BL229" s="628"/>
      <c r="BM229" s="628"/>
      <c r="BN229" s="628"/>
      <c r="BO229" s="628"/>
      <c r="BP229" s="628"/>
      <c r="BQ229" s="628"/>
      <c r="BR229" s="629"/>
      <c r="BS229" s="627">
        <v>1.5</v>
      </c>
      <c r="BT229" s="628"/>
      <c r="BU229" s="628"/>
      <c r="BV229" s="628"/>
      <c r="BW229" s="628"/>
      <c r="BX229" s="628"/>
      <c r="BY229" s="628"/>
      <c r="BZ229" s="628"/>
      <c r="CA229" s="628"/>
      <c r="CB229" s="628"/>
      <c r="CC229" s="628"/>
      <c r="CD229" s="628"/>
      <c r="CE229" s="628"/>
      <c r="CF229" s="628"/>
      <c r="CG229" s="628"/>
      <c r="CH229" s="629"/>
      <c r="CI229" s="693">
        <f>ROUNDUP(BC229*BS229/100,0)</f>
        <v>93374</v>
      </c>
      <c r="CJ229" s="694"/>
      <c r="CK229" s="694"/>
      <c r="CL229" s="694"/>
      <c r="CM229" s="694"/>
      <c r="CN229" s="694"/>
      <c r="CO229" s="694"/>
      <c r="CP229" s="694"/>
      <c r="CQ229" s="694"/>
      <c r="CR229" s="694"/>
      <c r="CS229" s="694"/>
      <c r="CT229" s="694"/>
      <c r="CU229" s="694"/>
      <c r="CV229" s="694"/>
      <c r="CW229" s="694"/>
      <c r="CX229" s="694"/>
      <c r="CY229" s="694"/>
      <c r="CZ229" s="695"/>
      <c r="DA229" s="214"/>
    </row>
    <row r="230" spans="1:105" s="16" customFormat="1" ht="15" customHeight="1" x14ac:dyDescent="0.3">
      <c r="A230" s="633" t="s">
        <v>292</v>
      </c>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4"/>
      <c r="AY230" s="634"/>
      <c r="AZ230" s="634"/>
      <c r="BA230" s="634"/>
      <c r="BB230" s="635"/>
      <c r="BC230" s="544" t="s">
        <v>4</v>
      </c>
      <c r="BD230" s="545"/>
      <c r="BE230" s="545"/>
      <c r="BF230" s="545"/>
      <c r="BG230" s="545"/>
      <c r="BH230" s="545"/>
      <c r="BI230" s="545"/>
      <c r="BJ230" s="545"/>
      <c r="BK230" s="545"/>
      <c r="BL230" s="545"/>
      <c r="BM230" s="545"/>
      <c r="BN230" s="545"/>
      <c r="BO230" s="545"/>
      <c r="BP230" s="545"/>
      <c r="BQ230" s="545"/>
      <c r="BR230" s="546"/>
      <c r="BS230" s="544" t="s">
        <v>4</v>
      </c>
      <c r="BT230" s="545"/>
      <c r="BU230" s="545"/>
      <c r="BV230" s="545"/>
      <c r="BW230" s="545"/>
      <c r="BX230" s="545"/>
      <c r="BY230" s="545"/>
      <c r="BZ230" s="545"/>
      <c r="CA230" s="545"/>
      <c r="CB230" s="545"/>
      <c r="CC230" s="545"/>
      <c r="CD230" s="545"/>
      <c r="CE230" s="545"/>
      <c r="CF230" s="545"/>
      <c r="CG230" s="545"/>
      <c r="CH230" s="546"/>
      <c r="CI230" s="636">
        <f>SUM(CI228:CZ229)</f>
        <v>310711.79980000004</v>
      </c>
      <c r="CJ230" s="637"/>
      <c r="CK230" s="637"/>
      <c r="CL230" s="637"/>
      <c r="CM230" s="637"/>
      <c r="CN230" s="637"/>
      <c r="CO230" s="637"/>
      <c r="CP230" s="637"/>
      <c r="CQ230" s="637"/>
      <c r="CR230" s="637"/>
      <c r="CS230" s="637"/>
      <c r="CT230" s="637"/>
      <c r="CU230" s="637"/>
      <c r="CV230" s="637"/>
      <c r="CW230" s="637"/>
      <c r="CX230" s="637"/>
      <c r="CY230" s="637"/>
      <c r="CZ230" s="638"/>
      <c r="DA230" s="214"/>
    </row>
    <row r="231" spans="1:105" s="16" customFormat="1" ht="15" hidden="1" customHeight="1" x14ac:dyDescent="0.3">
      <c r="A231" s="648" t="s">
        <v>258</v>
      </c>
      <c r="B231" s="649"/>
      <c r="C231" s="649"/>
      <c r="D231" s="649"/>
      <c r="E231" s="649"/>
      <c r="F231" s="649"/>
      <c r="G231" s="649"/>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649"/>
      <c r="AT231" s="649"/>
      <c r="AU231" s="649"/>
      <c r="AV231" s="649"/>
      <c r="AW231" s="649"/>
      <c r="AX231" s="649"/>
      <c r="AY231" s="649"/>
      <c r="AZ231" s="649"/>
      <c r="BA231" s="649"/>
      <c r="BB231" s="649"/>
      <c r="BC231" s="649"/>
      <c r="BD231" s="649"/>
      <c r="BE231" s="649"/>
      <c r="BF231" s="649"/>
      <c r="BG231" s="649"/>
      <c r="BH231" s="649"/>
      <c r="BI231" s="649"/>
      <c r="BJ231" s="649"/>
      <c r="BK231" s="649"/>
      <c r="BL231" s="649"/>
      <c r="BM231" s="649"/>
      <c r="BN231" s="649"/>
      <c r="BO231" s="649"/>
      <c r="BP231" s="649"/>
      <c r="BQ231" s="649"/>
      <c r="BR231" s="649"/>
      <c r="BS231" s="649"/>
      <c r="BT231" s="649"/>
      <c r="BU231" s="649"/>
      <c r="BV231" s="649"/>
      <c r="BW231" s="649"/>
      <c r="BX231" s="649"/>
      <c r="BY231" s="649"/>
      <c r="BZ231" s="649"/>
      <c r="CA231" s="649"/>
      <c r="CB231" s="649"/>
      <c r="CC231" s="649"/>
      <c r="CD231" s="649"/>
      <c r="CE231" s="649"/>
      <c r="CF231" s="649"/>
      <c r="CG231" s="649"/>
      <c r="CH231" s="649"/>
      <c r="CI231" s="649"/>
      <c r="CJ231" s="649"/>
      <c r="CK231" s="649"/>
      <c r="CL231" s="649"/>
      <c r="CM231" s="649"/>
      <c r="CN231" s="649"/>
      <c r="CO231" s="649"/>
      <c r="CP231" s="649"/>
      <c r="CQ231" s="649"/>
      <c r="CR231" s="649"/>
      <c r="CS231" s="649"/>
      <c r="CT231" s="649"/>
      <c r="CU231" s="649"/>
      <c r="CV231" s="649"/>
      <c r="CW231" s="649"/>
      <c r="CX231" s="649"/>
      <c r="CY231" s="649"/>
      <c r="CZ231" s="649"/>
      <c r="DA231" s="214"/>
    </row>
    <row r="232" spans="1:105" s="16" customFormat="1" ht="15" hidden="1" customHeight="1" x14ac:dyDescent="0.3">
      <c r="A232" s="630"/>
      <c r="B232" s="631"/>
      <c r="C232" s="631"/>
      <c r="D232" s="631"/>
      <c r="E232" s="631"/>
      <c r="F232" s="631"/>
      <c r="G232" s="632"/>
      <c r="H232" s="584"/>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585"/>
      <c r="AP232" s="585"/>
      <c r="AQ232" s="585"/>
      <c r="AR232" s="585"/>
      <c r="AS232" s="585"/>
      <c r="AT232" s="585"/>
      <c r="AU232" s="585"/>
      <c r="AV232" s="585"/>
      <c r="AW232" s="585"/>
      <c r="AX232" s="585"/>
      <c r="AY232" s="585"/>
      <c r="AZ232" s="585"/>
      <c r="BA232" s="585"/>
      <c r="BB232" s="586"/>
      <c r="BC232" s="544"/>
      <c r="BD232" s="545"/>
      <c r="BE232" s="545"/>
      <c r="BF232" s="545"/>
      <c r="BG232" s="545"/>
      <c r="BH232" s="545"/>
      <c r="BI232" s="545"/>
      <c r="BJ232" s="545"/>
      <c r="BK232" s="545"/>
      <c r="BL232" s="545"/>
      <c r="BM232" s="545"/>
      <c r="BN232" s="545"/>
      <c r="BO232" s="545"/>
      <c r="BP232" s="545"/>
      <c r="BQ232" s="545"/>
      <c r="BR232" s="546"/>
      <c r="BS232" s="544"/>
      <c r="BT232" s="545"/>
      <c r="BU232" s="545"/>
      <c r="BV232" s="545"/>
      <c r="BW232" s="545"/>
      <c r="BX232" s="545"/>
      <c r="BY232" s="545"/>
      <c r="BZ232" s="545"/>
      <c r="CA232" s="545"/>
      <c r="CB232" s="545"/>
      <c r="CC232" s="545"/>
      <c r="CD232" s="545"/>
      <c r="CE232" s="545"/>
      <c r="CF232" s="545"/>
      <c r="CG232" s="545"/>
      <c r="CH232" s="546"/>
      <c r="CI232" s="544"/>
      <c r="CJ232" s="545"/>
      <c r="CK232" s="545"/>
      <c r="CL232" s="545"/>
      <c r="CM232" s="545"/>
      <c r="CN232" s="545"/>
      <c r="CO232" s="545"/>
      <c r="CP232" s="545"/>
      <c r="CQ232" s="545"/>
      <c r="CR232" s="545"/>
      <c r="CS232" s="545"/>
      <c r="CT232" s="545"/>
      <c r="CU232" s="545"/>
      <c r="CV232" s="545"/>
      <c r="CW232" s="545"/>
      <c r="CX232" s="545"/>
      <c r="CY232" s="545"/>
      <c r="CZ232" s="546"/>
      <c r="DA232" s="214"/>
    </row>
    <row r="233" spans="1:105" s="16" customFormat="1" ht="15" hidden="1" customHeight="1" x14ac:dyDescent="0.3">
      <c r="A233" s="633" t="s">
        <v>292</v>
      </c>
      <c r="B233" s="634"/>
      <c r="C233" s="634"/>
      <c r="D233" s="63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c r="AA233" s="634"/>
      <c r="AB233" s="634"/>
      <c r="AC233" s="634"/>
      <c r="AD233" s="634"/>
      <c r="AE233" s="634"/>
      <c r="AF233" s="634"/>
      <c r="AG233" s="634"/>
      <c r="AH233" s="634"/>
      <c r="AI233" s="634"/>
      <c r="AJ233" s="634"/>
      <c r="AK233" s="634"/>
      <c r="AL233" s="634"/>
      <c r="AM233" s="634"/>
      <c r="AN233" s="634"/>
      <c r="AO233" s="634"/>
      <c r="AP233" s="634"/>
      <c r="AQ233" s="634"/>
      <c r="AR233" s="634"/>
      <c r="AS233" s="634"/>
      <c r="AT233" s="634"/>
      <c r="AU233" s="634"/>
      <c r="AV233" s="634"/>
      <c r="AW233" s="634"/>
      <c r="AX233" s="634"/>
      <c r="AY233" s="634"/>
      <c r="AZ233" s="634"/>
      <c r="BA233" s="634"/>
      <c r="BB233" s="635"/>
      <c r="BC233" s="544" t="s">
        <v>4</v>
      </c>
      <c r="BD233" s="545"/>
      <c r="BE233" s="545"/>
      <c r="BF233" s="545"/>
      <c r="BG233" s="545"/>
      <c r="BH233" s="545"/>
      <c r="BI233" s="545"/>
      <c r="BJ233" s="545"/>
      <c r="BK233" s="545"/>
      <c r="BL233" s="545"/>
      <c r="BM233" s="545"/>
      <c r="BN233" s="545"/>
      <c r="BO233" s="545"/>
      <c r="BP233" s="545"/>
      <c r="BQ233" s="545"/>
      <c r="BR233" s="546"/>
      <c r="BS233" s="544" t="s">
        <v>4</v>
      </c>
      <c r="BT233" s="545"/>
      <c r="BU233" s="545"/>
      <c r="BV233" s="545"/>
      <c r="BW233" s="545"/>
      <c r="BX233" s="545"/>
      <c r="BY233" s="545"/>
      <c r="BZ233" s="545"/>
      <c r="CA233" s="545"/>
      <c r="CB233" s="545"/>
      <c r="CC233" s="545"/>
      <c r="CD233" s="545"/>
      <c r="CE233" s="545"/>
      <c r="CF233" s="545"/>
      <c r="CG233" s="545"/>
      <c r="CH233" s="546"/>
      <c r="CI233" s="544"/>
      <c r="CJ233" s="545"/>
      <c r="CK233" s="545"/>
      <c r="CL233" s="545"/>
      <c r="CM233" s="545"/>
      <c r="CN233" s="545"/>
      <c r="CO233" s="545"/>
      <c r="CP233" s="545"/>
      <c r="CQ233" s="545"/>
      <c r="CR233" s="545"/>
      <c r="CS233" s="545"/>
      <c r="CT233" s="545"/>
      <c r="CU233" s="545"/>
      <c r="CV233" s="545"/>
      <c r="CW233" s="545"/>
      <c r="CX233" s="545"/>
      <c r="CY233" s="545"/>
      <c r="CZ233" s="546"/>
      <c r="DA233" s="214"/>
    </row>
    <row r="234" spans="1:105" s="16" customFormat="1" ht="15" customHeight="1" x14ac:dyDescent="0.3">
      <c r="A234" s="553" t="s">
        <v>56</v>
      </c>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4"/>
      <c r="AY234" s="554"/>
      <c r="AZ234" s="554"/>
      <c r="BA234" s="554"/>
      <c r="BB234" s="555"/>
      <c r="BC234" s="582" t="s">
        <v>4</v>
      </c>
      <c r="BD234" s="582"/>
      <c r="BE234" s="582"/>
      <c r="BF234" s="582"/>
      <c r="BG234" s="582"/>
      <c r="BH234" s="582"/>
      <c r="BI234" s="582"/>
      <c r="BJ234" s="582"/>
      <c r="BK234" s="582"/>
      <c r="BL234" s="582"/>
      <c r="BM234" s="582"/>
      <c r="BN234" s="582"/>
      <c r="BO234" s="582"/>
      <c r="BP234" s="582"/>
      <c r="BQ234" s="582"/>
      <c r="BR234" s="582"/>
      <c r="BS234" s="582" t="s">
        <v>4</v>
      </c>
      <c r="BT234" s="582"/>
      <c r="BU234" s="582"/>
      <c r="BV234" s="582"/>
      <c r="BW234" s="582"/>
      <c r="BX234" s="582"/>
      <c r="BY234" s="582"/>
      <c r="BZ234" s="582"/>
      <c r="CA234" s="582"/>
      <c r="CB234" s="582"/>
      <c r="CC234" s="582"/>
      <c r="CD234" s="582"/>
      <c r="CE234" s="582"/>
      <c r="CF234" s="582"/>
      <c r="CG234" s="582"/>
      <c r="CH234" s="582"/>
      <c r="CI234" s="611">
        <f>CI230</f>
        <v>310711.79980000004</v>
      </c>
      <c r="CJ234" s="611"/>
      <c r="CK234" s="611"/>
      <c r="CL234" s="611"/>
      <c r="CM234" s="611"/>
      <c r="CN234" s="611"/>
      <c r="CO234" s="611"/>
      <c r="CP234" s="611"/>
      <c r="CQ234" s="611"/>
      <c r="CR234" s="611"/>
      <c r="CS234" s="611"/>
      <c r="CT234" s="611"/>
      <c r="CU234" s="611"/>
      <c r="CV234" s="611"/>
      <c r="CW234" s="611"/>
      <c r="CX234" s="611"/>
      <c r="CY234" s="611"/>
      <c r="CZ234" s="611"/>
      <c r="DA234" s="220"/>
    </row>
    <row r="235" spans="1:105" s="16" customFormat="1" ht="15" customHeight="1" x14ac:dyDescent="0.3">
      <c r="A235" s="221"/>
      <c r="B235" s="221"/>
      <c r="C235" s="221"/>
      <c r="D235" s="221"/>
      <c r="E235" s="221"/>
      <c r="F235" s="221"/>
      <c r="G235" s="221"/>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14"/>
    </row>
    <row r="236" spans="1:105" s="20" customFormat="1" ht="29.25" customHeight="1" x14ac:dyDescent="0.25">
      <c r="A236" s="524" t="s">
        <v>280</v>
      </c>
      <c r="B236" s="524"/>
      <c r="C236" s="524"/>
      <c r="D236" s="524"/>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4"/>
      <c r="AY236" s="524"/>
      <c r="AZ236" s="524"/>
      <c r="BA236" s="524"/>
      <c r="BB236" s="524"/>
      <c r="BC236" s="524"/>
      <c r="BD236" s="524"/>
      <c r="BE236" s="524"/>
      <c r="BF236" s="524"/>
      <c r="BG236" s="524"/>
      <c r="BH236" s="524"/>
      <c r="BI236" s="524"/>
      <c r="BJ236" s="524"/>
      <c r="BK236" s="524"/>
      <c r="BL236" s="524"/>
      <c r="BM236" s="524"/>
      <c r="BN236" s="524"/>
      <c r="BO236" s="524"/>
      <c r="BP236" s="524"/>
      <c r="BQ236" s="524"/>
      <c r="BR236" s="524"/>
      <c r="BS236" s="524"/>
      <c r="BT236" s="524"/>
      <c r="BU236" s="524"/>
      <c r="BV236" s="524"/>
      <c r="BW236" s="524"/>
      <c r="BX236" s="524"/>
      <c r="BY236" s="524"/>
      <c r="BZ236" s="524"/>
      <c r="CA236" s="524"/>
      <c r="CB236" s="524"/>
      <c r="CC236" s="524"/>
      <c r="CD236" s="524"/>
      <c r="CE236" s="524"/>
      <c r="CF236" s="524"/>
      <c r="CG236" s="524"/>
      <c r="CH236" s="524"/>
      <c r="CI236" s="524"/>
      <c r="CJ236" s="524"/>
      <c r="CK236" s="524"/>
      <c r="CL236" s="524"/>
      <c r="CM236" s="524"/>
      <c r="CN236" s="524"/>
      <c r="CO236" s="524"/>
      <c r="CP236" s="524"/>
      <c r="CQ236" s="524"/>
      <c r="CR236" s="524"/>
      <c r="CS236" s="524"/>
      <c r="CT236" s="524"/>
      <c r="CU236" s="524"/>
      <c r="CV236" s="524"/>
      <c r="CW236" s="524"/>
      <c r="CX236" s="524"/>
      <c r="CY236" s="524"/>
      <c r="CZ236" s="524"/>
    </row>
    <row r="237" spans="1:105" ht="6" customHeight="1" x14ac:dyDescent="0.25"/>
    <row r="238" spans="1:105" s="20" customFormat="1" x14ac:dyDescent="0.25">
      <c r="A238" s="20" t="s">
        <v>47</v>
      </c>
      <c r="W238" s="595" t="s">
        <v>577</v>
      </c>
      <c r="X238" s="595"/>
      <c r="Y238" s="595"/>
      <c r="Z238" s="595"/>
      <c r="AA238" s="595"/>
      <c r="AB238" s="595"/>
      <c r="AC238" s="595"/>
      <c r="AD238" s="595"/>
      <c r="AE238" s="595"/>
      <c r="AF238" s="595"/>
      <c r="AG238" s="595"/>
      <c r="AH238" s="595"/>
      <c r="AI238" s="595"/>
      <c r="AJ238" s="595"/>
      <c r="AK238" s="595"/>
      <c r="AL238" s="595"/>
      <c r="AM238" s="595"/>
      <c r="AN238" s="595"/>
      <c r="AO238" s="595"/>
      <c r="AP238" s="595"/>
      <c r="AQ238" s="595"/>
      <c r="AR238" s="595"/>
      <c r="AS238" s="595"/>
      <c r="AT238" s="595"/>
      <c r="AU238" s="595"/>
      <c r="AV238" s="595"/>
      <c r="AW238" s="595"/>
      <c r="AX238" s="595"/>
      <c r="AY238" s="595"/>
      <c r="AZ238" s="595"/>
      <c r="BA238" s="595"/>
      <c r="BB238" s="595"/>
      <c r="BC238" s="595"/>
      <c r="BD238" s="595"/>
      <c r="BE238" s="595"/>
      <c r="BF238" s="595"/>
      <c r="BG238" s="595"/>
      <c r="BH238" s="595"/>
      <c r="BI238" s="595"/>
      <c r="BJ238" s="595"/>
      <c r="BK238" s="595"/>
      <c r="BL238" s="595"/>
      <c r="BM238" s="595"/>
      <c r="BN238" s="595"/>
      <c r="BO238" s="595"/>
      <c r="BP238" s="595"/>
      <c r="BQ238" s="595"/>
      <c r="BR238" s="595"/>
      <c r="BS238" s="595"/>
      <c r="BT238" s="595"/>
      <c r="BU238" s="595"/>
      <c r="BV238" s="595"/>
      <c r="BW238" s="595"/>
      <c r="BX238" s="595"/>
      <c r="BY238" s="595"/>
      <c r="BZ238" s="595"/>
      <c r="CA238" s="595"/>
      <c r="CB238" s="595"/>
      <c r="CC238" s="595"/>
      <c r="CD238" s="595"/>
      <c r="CE238" s="595"/>
      <c r="CF238" s="595"/>
      <c r="CG238" s="595"/>
      <c r="CH238" s="595"/>
      <c r="CI238" s="595"/>
      <c r="CJ238" s="595"/>
      <c r="CK238" s="595"/>
      <c r="CL238" s="595"/>
      <c r="CM238" s="595"/>
      <c r="CN238" s="595"/>
      <c r="CO238" s="595"/>
      <c r="CP238" s="595"/>
      <c r="CQ238" s="595"/>
      <c r="CR238" s="595"/>
      <c r="CS238" s="595"/>
      <c r="CT238" s="595"/>
      <c r="CU238" s="595"/>
      <c r="CV238" s="595"/>
      <c r="CW238" s="595"/>
      <c r="CX238" s="595"/>
      <c r="CY238" s="595"/>
      <c r="CZ238" s="595"/>
      <c r="DA238" s="230">
        <v>290</v>
      </c>
    </row>
    <row r="239" spans="1:105" ht="10.5" customHeight="1" x14ac:dyDescent="0.25"/>
    <row r="240" spans="1:105" s="18" customFormat="1" ht="63.75" customHeight="1" x14ac:dyDescent="0.3">
      <c r="A240" s="475" t="s">
        <v>49</v>
      </c>
      <c r="B240" s="476"/>
      <c r="C240" s="476"/>
      <c r="D240" s="476"/>
      <c r="E240" s="476"/>
      <c r="F240" s="476"/>
      <c r="G240" s="477"/>
      <c r="H240" s="475" t="s">
        <v>0</v>
      </c>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6"/>
      <c r="AY240" s="476"/>
      <c r="AZ240" s="476"/>
      <c r="BA240" s="476"/>
      <c r="BB240" s="477"/>
      <c r="BC240" s="597" t="s">
        <v>79</v>
      </c>
      <c r="BD240" s="598"/>
      <c r="BE240" s="598"/>
      <c r="BF240" s="598"/>
      <c r="BG240" s="598"/>
      <c r="BH240" s="598"/>
      <c r="BI240" s="598"/>
      <c r="BJ240" s="598"/>
      <c r="BK240" s="598"/>
      <c r="BL240" s="598"/>
      <c r="BM240" s="598"/>
      <c r="BN240" s="598"/>
      <c r="BO240" s="598"/>
      <c r="BP240" s="598"/>
      <c r="BQ240" s="598"/>
      <c r="BR240" s="599"/>
      <c r="BS240" s="606" t="s">
        <v>80</v>
      </c>
      <c r="BT240" s="606"/>
      <c r="BU240" s="606"/>
      <c r="BV240" s="606"/>
      <c r="BW240" s="606"/>
      <c r="BX240" s="606"/>
      <c r="BY240" s="606"/>
      <c r="BZ240" s="606"/>
      <c r="CA240" s="606"/>
      <c r="CB240" s="606"/>
      <c r="CC240" s="606"/>
      <c r="CD240" s="606"/>
      <c r="CE240" s="606"/>
      <c r="CF240" s="606"/>
      <c r="CG240" s="606"/>
      <c r="CH240" s="606"/>
      <c r="CI240" s="606" t="s">
        <v>81</v>
      </c>
      <c r="CJ240" s="606"/>
      <c r="CK240" s="606"/>
      <c r="CL240" s="606"/>
      <c r="CM240" s="606"/>
      <c r="CN240" s="606"/>
      <c r="CO240" s="606"/>
      <c r="CP240" s="606"/>
      <c r="CQ240" s="606"/>
      <c r="CR240" s="606"/>
      <c r="CS240" s="606"/>
      <c r="CT240" s="606"/>
      <c r="CU240" s="606"/>
      <c r="CV240" s="606"/>
      <c r="CW240" s="606"/>
      <c r="CX240" s="606"/>
      <c r="CY240" s="606"/>
      <c r="CZ240" s="606"/>
      <c r="DA240" s="218"/>
    </row>
    <row r="241" spans="1:105" s="15" customFormat="1" ht="13.2" x14ac:dyDescent="0.3">
      <c r="A241" s="591">
        <v>1</v>
      </c>
      <c r="B241" s="591"/>
      <c r="C241" s="591"/>
      <c r="D241" s="591"/>
      <c r="E241" s="591"/>
      <c r="F241" s="591"/>
      <c r="G241" s="591"/>
      <c r="H241" s="591">
        <v>2</v>
      </c>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1"/>
      <c r="AL241" s="591"/>
      <c r="AM241" s="591"/>
      <c r="AN241" s="591"/>
      <c r="AO241" s="591"/>
      <c r="AP241" s="591"/>
      <c r="AQ241" s="591"/>
      <c r="AR241" s="591"/>
      <c r="AS241" s="591"/>
      <c r="AT241" s="591"/>
      <c r="AU241" s="591"/>
      <c r="AV241" s="591"/>
      <c r="AW241" s="591"/>
      <c r="AX241" s="591"/>
      <c r="AY241" s="591"/>
      <c r="AZ241" s="591"/>
      <c r="BA241" s="591"/>
      <c r="BB241" s="591"/>
      <c r="BC241" s="591">
        <v>3</v>
      </c>
      <c r="BD241" s="591"/>
      <c r="BE241" s="591"/>
      <c r="BF241" s="591"/>
      <c r="BG241" s="591"/>
      <c r="BH241" s="591"/>
      <c r="BI241" s="591"/>
      <c r="BJ241" s="591"/>
      <c r="BK241" s="591"/>
      <c r="BL241" s="591"/>
      <c r="BM241" s="591"/>
      <c r="BN241" s="591"/>
      <c r="BO241" s="591"/>
      <c r="BP241" s="591"/>
      <c r="BQ241" s="591"/>
      <c r="BR241" s="591"/>
      <c r="BS241" s="591">
        <v>4</v>
      </c>
      <c r="BT241" s="591"/>
      <c r="BU241" s="591"/>
      <c r="BV241" s="591"/>
      <c r="BW241" s="591"/>
      <c r="BX241" s="591"/>
      <c r="BY241" s="591"/>
      <c r="BZ241" s="591"/>
      <c r="CA241" s="591"/>
      <c r="CB241" s="591"/>
      <c r="CC241" s="591"/>
      <c r="CD241" s="591"/>
      <c r="CE241" s="591"/>
      <c r="CF241" s="591"/>
      <c r="CG241" s="591"/>
      <c r="CH241" s="591"/>
      <c r="CI241" s="591">
        <v>5</v>
      </c>
      <c r="CJ241" s="591"/>
      <c r="CK241" s="591"/>
      <c r="CL241" s="591"/>
      <c r="CM241" s="591"/>
      <c r="CN241" s="591"/>
      <c r="CO241" s="591"/>
      <c r="CP241" s="591"/>
      <c r="CQ241" s="591"/>
      <c r="CR241" s="591"/>
      <c r="CS241" s="591"/>
      <c r="CT241" s="591"/>
      <c r="CU241" s="591"/>
      <c r="CV241" s="591"/>
      <c r="CW241" s="591"/>
      <c r="CX241" s="591"/>
      <c r="CY241" s="591"/>
      <c r="CZ241" s="591"/>
      <c r="DA241" s="219"/>
    </row>
    <row r="242" spans="1:105" s="16" customFormat="1" ht="15" customHeight="1" x14ac:dyDescent="0.3">
      <c r="A242" s="648" t="s">
        <v>569</v>
      </c>
      <c r="B242" s="649"/>
      <c r="C242" s="649"/>
      <c r="D242" s="649"/>
      <c r="E242" s="649"/>
      <c r="F242" s="649"/>
      <c r="G242" s="649"/>
      <c r="H242" s="649"/>
      <c r="I242" s="649"/>
      <c r="J242" s="649"/>
      <c r="K242" s="649"/>
      <c r="L242" s="649"/>
      <c r="M242" s="649"/>
      <c r="N242" s="649"/>
      <c r="O242" s="649"/>
      <c r="P242" s="649"/>
      <c r="Q242" s="649"/>
      <c r="R242" s="649"/>
      <c r="S242" s="649"/>
      <c r="T242" s="649"/>
      <c r="U242" s="649"/>
      <c r="V242" s="649"/>
      <c r="W242" s="649"/>
      <c r="X242" s="649"/>
      <c r="Y242" s="649"/>
      <c r="Z242" s="649"/>
      <c r="AA242" s="649"/>
      <c r="AB242" s="649"/>
      <c r="AC242" s="649"/>
      <c r="AD242" s="649"/>
      <c r="AE242" s="649"/>
      <c r="AF242" s="649"/>
      <c r="AG242" s="649"/>
      <c r="AH242" s="649"/>
      <c r="AI242" s="649"/>
      <c r="AJ242" s="649"/>
      <c r="AK242" s="649"/>
      <c r="AL242" s="649"/>
      <c r="AM242" s="649"/>
      <c r="AN242" s="649"/>
      <c r="AO242" s="649"/>
      <c r="AP242" s="649"/>
      <c r="AQ242" s="649"/>
      <c r="AR242" s="649"/>
      <c r="AS242" s="649"/>
      <c r="AT242" s="649"/>
      <c r="AU242" s="649"/>
      <c r="AV242" s="649"/>
      <c r="AW242" s="649"/>
      <c r="AX242" s="649"/>
      <c r="AY242" s="649"/>
      <c r="AZ242" s="649"/>
      <c r="BA242" s="649"/>
      <c r="BB242" s="649"/>
      <c r="BC242" s="649"/>
      <c r="BD242" s="649"/>
      <c r="BE242" s="649"/>
      <c r="BF242" s="649"/>
      <c r="BG242" s="649"/>
      <c r="BH242" s="649"/>
      <c r="BI242" s="649"/>
      <c r="BJ242" s="649"/>
      <c r="BK242" s="649"/>
      <c r="BL242" s="649"/>
      <c r="BM242" s="649"/>
      <c r="BN242" s="649"/>
      <c r="BO242" s="649"/>
      <c r="BP242" s="649"/>
      <c r="BQ242" s="649"/>
      <c r="BR242" s="649"/>
      <c r="BS242" s="649"/>
      <c r="BT242" s="649"/>
      <c r="BU242" s="649"/>
      <c r="BV242" s="649"/>
      <c r="BW242" s="649"/>
      <c r="BX242" s="649"/>
      <c r="BY242" s="649"/>
      <c r="BZ242" s="649"/>
      <c r="CA242" s="649"/>
      <c r="CB242" s="649"/>
      <c r="CC242" s="649"/>
      <c r="CD242" s="649"/>
      <c r="CE242" s="649"/>
      <c r="CF242" s="649"/>
      <c r="CG242" s="649"/>
      <c r="CH242" s="649"/>
      <c r="CI242" s="649"/>
      <c r="CJ242" s="649"/>
      <c r="CK242" s="649"/>
      <c r="CL242" s="649"/>
      <c r="CM242" s="649"/>
      <c r="CN242" s="649"/>
      <c r="CO242" s="649"/>
      <c r="CP242" s="649"/>
      <c r="CQ242" s="649"/>
      <c r="CR242" s="649"/>
      <c r="CS242" s="649"/>
      <c r="CT242" s="649"/>
      <c r="CU242" s="649"/>
      <c r="CV242" s="649"/>
      <c r="CW242" s="649"/>
      <c r="CX242" s="649"/>
      <c r="CY242" s="649"/>
      <c r="CZ242" s="649"/>
      <c r="DA242" s="214"/>
    </row>
    <row r="243" spans="1:105" s="16" customFormat="1" ht="15" hidden="1" customHeight="1" x14ac:dyDescent="0.3">
      <c r="A243" s="630" t="s">
        <v>441</v>
      </c>
      <c r="B243" s="631"/>
      <c r="C243" s="631"/>
      <c r="D243" s="631"/>
      <c r="E243" s="631"/>
      <c r="F243" s="631"/>
      <c r="G243" s="632"/>
      <c r="H243" s="584" t="s">
        <v>578</v>
      </c>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5"/>
      <c r="AL243" s="585"/>
      <c r="AM243" s="585"/>
      <c r="AN243" s="585"/>
      <c r="AO243" s="585"/>
      <c r="AP243" s="585"/>
      <c r="AQ243" s="585"/>
      <c r="AR243" s="585"/>
      <c r="AS243" s="585"/>
      <c r="AT243" s="585"/>
      <c r="AU243" s="585"/>
      <c r="AV243" s="585"/>
      <c r="AW243" s="585"/>
      <c r="AX243" s="585"/>
      <c r="AY243" s="585"/>
      <c r="AZ243" s="585"/>
      <c r="BA243" s="585"/>
      <c r="BB243" s="586"/>
      <c r="BC243" s="544"/>
      <c r="BD243" s="545"/>
      <c r="BE243" s="545"/>
      <c r="BF243" s="545"/>
      <c r="BG243" s="545"/>
      <c r="BH243" s="545"/>
      <c r="BI243" s="545"/>
      <c r="BJ243" s="545"/>
      <c r="BK243" s="545"/>
      <c r="BL243" s="545"/>
      <c r="BM243" s="545"/>
      <c r="BN243" s="545"/>
      <c r="BO243" s="545"/>
      <c r="BP243" s="545"/>
      <c r="BQ243" s="545"/>
      <c r="BR243" s="546"/>
      <c r="BS243" s="544"/>
      <c r="BT243" s="545"/>
      <c r="BU243" s="545"/>
      <c r="BV243" s="545"/>
      <c r="BW243" s="545"/>
      <c r="BX243" s="545"/>
      <c r="BY243" s="545"/>
      <c r="BZ243" s="545"/>
      <c r="CA243" s="545"/>
      <c r="CB243" s="545"/>
      <c r="CC243" s="545"/>
      <c r="CD243" s="545"/>
      <c r="CE243" s="545"/>
      <c r="CF243" s="545"/>
      <c r="CG243" s="545"/>
      <c r="CH243" s="546"/>
      <c r="CI243" s="627"/>
      <c r="CJ243" s="628"/>
      <c r="CK243" s="628"/>
      <c r="CL243" s="628"/>
      <c r="CM243" s="628"/>
      <c r="CN243" s="628"/>
      <c r="CO243" s="628"/>
      <c r="CP243" s="628"/>
      <c r="CQ243" s="628"/>
      <c r="CR243" s="628"/>
      <c r="CS243" s="628"/>
      <c r="CT243" s="628"/>
      <c r="CU243" s="628"/>
      <c r="CV243" s="628"/>
      <c r="CW243" s="628"/>
      <c r="CX243" s="628"/>
      <c r="CY243" s="628"/>
      <c r="CZ243" s="629"/>
      <c r="DA243" s="214"/>
    </row>
    <row r="244" spans="1:105" s="16" customFormat="1" ht="15" hidden="1" customHeight="1" x14ac:dyDescent="0.3">
      <c r="A244" s="630" t="s">
        <v>444</v>
      </c>
      <c r="B244" s="631"/>
      <c r="C244" s="631"/>
      <c r="D244" s="631"/>
      <c r="E244" s="631"/>
      <c r="F244" s="631"/>
      <c r="G244" s="632"/>
      <c r="H244" s="584" t="s">
        <v>579</v>
      </c>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5"/>
      <c r="AL244" s="585"/>
      <c r="AM244" s="585"/>
      <c r="AN244" s="585"/>
      <c r="AO244" s="585"/>
      <c r="AP244" s="585"/>
      <c r="AQ244" s="585"/>
      <c r="AR244" s="585"/>
      <c r="AS244" s="585"/>
      <c r="AT244" s="585"/>
      <c r="AU244" s="585"/>
      <c r="AV244" s="585"/>
      <c r="AW244" s="585"/>
      <c r="AX244" s="585"/>
      <c r="AY244" s="585"/>
      <c r="AZ244" s="585"/>
      <c r="BA244" s="585"/>
      <c r="BB244" s="586"/>
      <c r="BC244" s="544"/>
      <c r="BD244" s="545"/>
      <c r="BE244" s="545"/>
      <c r="BF244" s="545"/>
      <c r="BG244" s="545"/>
      <c r="BH244" s="545"/>
      <c r="BI244" s="545"/>
      <c r="BJ244" s="545"/>
      <c r="BK244" s="545"/>
      <c r="BL244" s="545"/>
      <c r="BM244" s="545"/>
      <c r="BN244" s="545"/>
      <c r="BO244" s="545"/>
      <c r="BP244" s="545"/>
      <c r="BQ244" s="545"/>
      <c r="BR244" s="546"/>
      <c r="BS244" s="544"/>
      <c r="BT244" s="545"/>
      <c r="BU244" s="545"/>
      <c r="BV244" s="545"/>
      <c r="BW244" s="545"/>
      <c r="BX244" s="545"/>
      <c r="BY244" s="545"/>
      <c r="BZ244" s="545"/>
      <c r="CA244" s="545"/>
      <c r="CB244" s="545"/>
      <c r="CC244" s="545"/>
      <c r="CD244" s="545"/>
      <c r="CE244" s="545"/>
      <c r="CF244" s="545"/>
      <c r="CG244" s="545"/>
      <c r="CH244" s="546"/>
      <c r="CI244" s="627"/>
      <c r="CJ244" s="628"/>
      <c r="CK244" s="628"/>
      <c r="CL244" s="628"/>
      <c r="CM244" s="628"/>
      <c r="CN244" s="628"/>
      <c r="CO244" s="628"/>
      <c r="CP244" s="628"/>
      <c r="CQ244" s="628"/>
      <c r="CR244" s="628"/>
      <c r="CS244" s="628"/>
      <c r="CT244" s="628"/>
      <c r="CU244" s="628"/>
      <c r="CV244" s="628"/>
      <c r="CW244" s="628"/>
      <c r="CX244" s="628"/>
      <c r="CY244" s="628"/>
      <c r="CZ244" s="629"/>
      <c r="DA244" s="214"/>
    </row>
    <row r="245" spans="1:105" s="16" customFormat="1" ht="15" customHeight="1" x14ac:dyDescent="0.3">
      <c r="A245" s="630" t="s">
        <v>580</v>
      </c>
      <c r="B245" s="631"/>
      <c r="C245" s="631"/>
      <c r="D245" s="631"/>
      <c r="E245" s="631"/>
      <c r="F245" s="631"/>
      <c r="G245" s="632"/>
      <c r="H245" s="584" t="s">
        <v>581</v>
      </c>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5"/>
      <c r="AL245" s="585"/>
      <c r="AM245" s="585"/>
      <c r="AN245" s="585"/>
      <c r="AO245" s="585"/>
      <c r="AP245" s="585"/>
      <c r="AQ245" s="585"/>
      <c r="AR245" s="585"/>
      <c r="AS245" s="585"/>
      <c r="AT245" s="585"/>
      <c r="AU245" s="585"/>
      <c r="AV245" s="585"/>
      <c r="AW245" s="585"/>
      <c r="AX245" s="585"/>
      <c r="AY245" s="585"/>
      <c r="AZ245" s="585"/>
      <c r="BA245" s="585"/>
      <c r="BB245" s="586"/>
      <c r="BC245" s="544">
        <v>107</v>
      </c>
      <c r="BD245" s="545"/>
      <c r="BE245" s="545"/>
      <c r="BF245" s="545"/>
      <c r="BG245" s="545"/>
      <c r="BH245" s="545"/>
      <c r="BI245" s="545"/>
      <c r="BJ245" s="545"/>
      <c r="BK245" s="545"/>
      <c r="BL245" s="545"/>
      <c r="BM245" s="545"/>
      <c r="BN245" s="545"/>
      <c r="BO245" s="545"/>
      <c r="BP245" s="545"/>
      <c r="BQ245" s="545"/>
      <c r="BR245" s="546"/>
      <c r="BS245" s="544">
        <v>22</v>
      </c>
      <c r="BT245" s="545"/>
      <c r="BU245" s="545"/>
      <c r="BV245" s="545"/>
      <c r="BW245" s="545"/>
      <c r="BX245" s="545"/>
      <c r="BY245" s="545"/>
      <c r="BZ245" s="545"/>
      <c r="CA245" s="545"/>
      <c r="CB245" s="545"/>
      <c r="CC245" s="545"/>
      <c r="CD245" s="545"/>
      <c r="CE245" s="545"/>
      <c r="CF245" s="545"/>
      <c r="CG245" s="545"/>
      <c r="CH245" s="546"/>
      <c r="CI245" s="627">
        <f>BC245*BS245</f>
        <v>2354</v>
      </c>
      <c r="CJ245" s="628"/>
      <c r="CK245" s="628"/>
      <c r="CL245" s="628"/>
      <c r="CM245" s="628"/>
      <c r="CN245" s="628"/>
      <c r="CO245" s="628"/>
      <c r="CP245" s="628"/>
      <c r="CQ245" s="628"/>
      <c r="CR245" s="628"/>
      <c r="CS245" s="628"/>
      <c r="CT245" s="628"/>
      <c r="CU245" s="628"/>
      <c r="CV245" s="628"/>
      <c r="CW245" s="628"/>
      <c r="CX245" s="628"/>
      <c r="CY245" s="628"/>
      <c r="CZ245" s="629"/>
      <c r="DA245" s="214"/>
    </row>
    <row r="246" spans="1:105" s="16" customFormat="1" ht="15" hidden="1" customHeight="1" x14ac:dyDescent="0.3">
      <c r="A246" s="630" t="s">
        <v>444</v>
      </c>
      <c r="B246" s="631"/>
      <c r="C246" s="631"/>
      <c r="D246" s="631"/>
      <c r="E246" s="631"/>
      <c r="F246" s="631"/>
      <c r="G246" s="632"/>
      <c r="H246" s="584" t="s">
        <v>582</v>
      </c>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5"/>
      <c r="AL246" s="585"/>
      <c r="AM246" s="585"/>
      <c r="AN246" s="585"/>
      <c r="AO246" s="585"/>
      <c r="AP246" s="585"/>
      <c r="AQ246" s="585"/>
      <c r="AR246" s="585"/>
      <c r="AS246" s="585"/>
      <c r="AT246" s="585"/>
      <c r="AU246" s="585"/>
      <c r="AV246" s="585"/>
      <c r="AW246" s="585"/>
      <c r="AX246" s="585"/>
      <c r="AY246" s="585"/>
      <c r="AZ246" s="585"/>
      <c r="BA246" s="585"/>
      <c r="BB246" s="586"/>
      <c r="BC246" s="544"/>
      <c r="BD246" s="545"/>
      <c r="BE246" s="545"/>
      <c r="BF246" s="545"/>
      <c r="BG246" s="545"/>
      <c r="BH246" s="545"/>
      <c r="BI246" s="545"/>
      <c r="BJ246" s="545"/>
      <c r="BK246" s="545"/>
      <c r="BL246" s="545"/>
      <c r="BM246" s="545"/>
      <c r="BN246" s="545"/>
      <c r="BO246" s="545"/>
      <c r="BP246" s="545"/>
      <c r="BQ246" s="545"/>
      <c r="BR246" s="546"/>
      <c r="BS246" s="544">
        <v>32</v>
      </c>
      <c r="BT246" s="545"/>
      <c r="BU246" s="545"/>
      <c r="BV246" s="545"/>
      <c r="BW246" s="545"/>
      <c r="BX246" s="545"/>
      <c r="BY246" s="545"/>
      <c r="BZ246" s="545"/>
      <c r="CA246" s="545"/>
      <c r="CB246" s="545"/>
      <c r="CC246" s="545"/>
      <c r="CD246" s="545"/>
      <c r="CE246" s="545"/>
      <c r="CF246" s="545"/>
      <c r="CG246" s="545"/>
      <c r="CH246" s="546"/>
      <c r="CI246" s="627">
        <f t="shared" ref="CI246:CI248" si="1">BC246*BS246</f>
        <v>0</v>
      </c>
      <c r="CJ246" s="628"/>
      <c r="CK246" s="628"/>
      <c r="CL246" s="628"/>
      <c r="CM246" s="628"/>
      <c r="CN246" s="628"/>
      <c r="CO246" s="628"/>
      <c r="CP246" s="628"/>
      <c r="CQ246" s="628"/>
      <c r="CR246" s="628"/>
      <c r="CS246" s="628"/>
      <c r="CT246" s="628"/>
      <c r="CU246" s="628"/>
      <c r="CV246" s="628"/>
      <c r="CW246" s="628"/>
      <c r="CX246" s="628"/>
      <c r="CY246" s="628"/>
      <c r="CZ246" s="629"/>
      <c r="DA246" s="214"/>
    </row>
    <row r="247" spans="1:105" s="16" customFormat="1" ht="15" customHeight="1" x14ac:dyDescent="0.3">
      <c r="A247" s="630" t="s">
        <v>71</v>
      </c>
      <c r="B247" s="631"/>
      <c r="C247" s="631"/>
      <c r="D247" s="631"/>
      <c r="E247" s="631"/>
      <c r="F247" s="631"/>
      <c r="G247" s="632"/>
      <c r="H247" s="584" t="s">
        <v>583</v>
      </c>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5"/>
      <c r="AL247" s="585"/>
      <c r="AM247" s="585"/>
      <c r="AN247" s="585"/>
      <c r="AO247" s="585"/>
      <c r="AP247" s="585"/>
      <c r="AQ247" s="585"/>
      <c r="AR247" s="585"/>
      <c r="AS247" s="585"/>
      <c r="AT247" s="585"/>
      <c r="AU247" s="585"/>
      <c r="AV247" s="585"/>
      <c r="AW247" s="585"/>
      <c r="AX247" s="585"/>
      <c r="AY247" s="585"/>
      <c r="AZ247" s="585"/>
      <c r="BA247" s="585"/>
      <c r="BB247" s="586"/>
      <c r="BC247" s="544">
        <v>150</v>
      </c>
      <c r="BD247" s="545"/>
      <c r="BE247" s="545"/>
      <c r="BF247" s="545"/>
      <c r="BG247" s="545"/>
      <c r="BH247" s="545"/>
      <c r="BI247" s="545"/>
      <c r="BJ247" s="545"/>
      <c r="BK247" s="545"/>
      <c r="BL247" s="545"/>
      <c r="BM247" s="545"/>
      <c r="BN247" s="545"/>
      <c r="BO247" s="545"/>
      <c r="BP247" s="545"/>
      <c r="BQ247" s="545"/>
      <c r="BR247" s="546"/>
      <c r="BS247" s="544">
        <v>22</v>
      </c>
      <c r="BT247" s="545"/>
      <c r="BU247" s="545"/>
      <c r="BV247" s="545"/>
      <c r="BW247" s="545"/>
      <c r="BX247" s="545"/>
      <c r="BY247" s="545"/>
      <c r="BZ247" s="545"/>
      <c r="CA247" s="545"/>
      <c r="CB247" s="545"/>
      <c r="CC247" s="545"/>
      <c r="CD247" s="545"/>
      <c r="CE247" s="545"/>
      <c r="CF247" s="545"/>
      <c r="CG247" s="545"/>
      <c r="CH247" s="546"/>
      <c r="CI247" s="627">
        <f t="shared" si="1"/>
        <v>3300</v>
      </c>
      <c r="CJ247" s="628"/>
      <c r="CK247" s="628"/>
      <c r="CL247" s="628"/>
      <c r="CM247" s="628"/>
      <c r="CN247" s="628"/>
      <c r="CO247" s="628"/>
      <c r="CP247" s="628"/>
      <c r="CQ247" s="628"/>
      <c r="CR247" s="628"/>
      <c r="CS247" s="628"/>
      <c r="CT247" s="628"/>
      <c r="CU247" s="628"/>
      <c r="CV247" s="628"/>
      <c r="CW247" s="628"/>
      <c r="CX247" s="628"/>
      <c r="CY247" s="628"/>
      <c r="CZ247" s="629"/>
      <c r="DA247" s="214"/>
    </row>
    <row r="248" spans="1:105" s="16" customFormat="1" ht="15" customHeight="1" x14ac:dyDescent="0.3">
      <c r="A248" s="630" t="s">
        <v>462</v>
      </c>
      <c r="B248" s="631"/>
      <c r="C248" s="631"/>
      <c r="D248" s="631"/>
      <c r="E248" s="631"/>
      <c r="F248" s="631"/>
      <c r="G248" s="632"/>
      <c r="H248" s="584" t="s">
        <v>911</v>
      </c>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5"/>
      <c r="AL248" s="585"/>
      <c r="AM248" s="585"/>
      <c r="AN248" s="585"/>
      <c r="AO248" s="585"/>
      <c r="AP248" s="585"/>
      <c r="AQ248" s="585"/>
      <c r="AR248" s="585"/>
      <c r="AS248" s="585"/>
      <c r="AT248" s="585"/>
      <c r="AU248" s="585"/>
      <c r="AV248" s="585"/>
      <c r="AW248" s="585"/>
      <c r="AX248" s="585"/>
      <c r="AY248" s="585"/>
      <c r="AZ248" s="585"/>
      <c r="BA248" s="585"/>
      <c r="BB248" s="586"/>
      <c r="BC248" s="544">
        <v>106.1</v>
      </c>
      <c r="BD248" s="545"/>
      <c r="BE248" s="545"/>
      <c r="BF248" s="545"/>
      <c r="BG248" s="545"/>
      <c r="BH248" s="545"/>
      <c r="BI248" s="545"/>
      <c r="BJ248" s="545"/>
      <c r="BK248" s="545"/>
      <c r="BL248" s="545"/>
      <c r="BM248" s="545"/>
      <c r="BN248" s="545"/>
      <c r="BO248" s="545"/>
      <c r="BP248" s="545"/>
      <c r="BQ248" s="545"/>
      <c r="BR248" s="546"/>
      <c r="BS248" s="544">
        <v>22</v>
      </c>
      <c r="BT248" s="545"/>
      <c r="BU248" s="545"/>
      <c r="BV248" s="545"/>
      <c r="BW248" s="545"/>
      <c r="BX248" s="545"/>
      <c r="BY248" s="545"/>
      <c r="BZ248" s="545"/>
      <c r="CA248" s="545"/>
      <c r="CB248" s="545"/>
      <c r="CC248" s="545"/>
      <c r="CD248" s="545"/>
      <c r="CE248" s="545"/>
      <c r="CF248" s="545"/>
      <c r="CG248" s="545"/>
      <c r="CH248" s="546"/>
      <c r="CI248" s="627">
        <f t="shared" si="1"/>
        <v>2334.1999999999998</v>
      </c>
      <c r="CJ248" s="628"/>
      <c r="CK248" s="628"/>
      <c r="CL248" s="628"/>
      <c r="CM248" s="628"/>
      <c r="CN248" s="628"/>
      <c r="CO248" s="628"/>
      <c r="CP248" s="628"/>
      <c r="CQ248" s="628"/>
      <c r="CR248" s="628"/>
      <c r="CS248" s="628"/>
      <c r="CT248" s="628"/>
      <c r="CU248" s="628"/>
      <c r="CV248" s="628"/>
      <c r="CW248" s="628"/>
      <c r="CX248" s="628"/>
      <c r="CY248" s="628"/>
      <c r="CZ248" s="629"/>
      <c r="DA248" s="214"/>
    </row>
    <row r="249" spans="1:105" s="16" customFormat="1" ht="15" hidden="1" customHeight="1" x14ac:dyDescent="0.3">
      <c r="A249" s="659" t="s">
        <v>642</v>
      </c>
      <c r="B249" s="659"/>
      <c r="C249" s="659"/>
      <c r="D249" s="659"/>
      <c r="E249" s="659"/>
      <c r="F249" s="659"/>
      <c r="G249" s="659"/>
      <c r="H249" s="584" t="s">
        <v>845</v>
      </c>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5"/>
      <c r="AL249" s="585"/>
      <c r="AM249" s="585"/>
      <c r="AN249" s="585"/>
      <c r="AO249" s="585"/>
      <c r="AP249" s="585"/>
      <c r="AQ249" s="585"/>
      <c r="AR249" s="585"/>
      <c r="AS249" s="585"/>
      <c r="AT249" s="585"/>
      <c r="AU249" s="585"/>
      <c r="AV249" s="585"/>
      <c r="AW249" s="585"/>
      <c r="AX249" s="585"/>
      <c r="AY249" s="585"/>
      <c r="AZ249" s="585"/>
      <c r="BA249" s="585"/>
      <c r="BB249" s="586"/>
      <c r="BC249" s="544">
        <v>0</v>
      </c>
      <c r="BD249" s="545"/>
      <c r="BE249" s="545"/>
      <c r="BF249" s="545"/>
      <c r="BG249" s="545"/>
      <c r="BH249" s="545"/>
      <c r="BI249" s="545"/>
      <c r="BJ249" s="545"/>
      <c r="BK249" s="545"/>
      <c r="BL249" s="545"/>
      <c r="BM249" s="545"/>
      <c r="BN249" s="545"/>
      <c r="BO249" s="545"/>
      <c r="BP249" s="545"/>
      <c r="BQ249" s="545"/>
      <c r="BR249" s="546"/>
      <c r="BS249" s="544">
        <v>3.79</v>
      </c>
      <c r="BT249" s="545"/>
      <c r="BU249" s="545"/>
      <c r="BV249" s="545"/>
      <c r="BW249" s="545"/>
      <c r="BX249" s="545"/>
      <c r="BY249" s="545"/>
      <c r="BZ249" s="545"/>
      <c r="CA249" s="545"/>
      <c r="CB249" s="545"/>
      <c r="CC249" s="545"/>
      <c r="CD249" s="545"/>
      <c r="CE249" s="545"/>
      <c r="CF249" s="545"/>
      <c r="CG249" s="545"/>
      <c r="CH249" s="546"/>
      <c r="CI249" s="693">
        <f>BC249*BS249</f>
        <v>0</v>
      </c>
      <c r="CJ249" s="694"/>
      <c r="CK249" s="694"/>
      <c r="CL249" s="694"/>
      <c r="CM249" s="694"/>
      <c r="CN249" s="694"/>
      <c r="CO249" s="694"/>
      <c r="CP249" s="694"/>
      <c r="CQ249" s="694"/>
      <c r="CR249" s="694"/>
      <c r="CS249" s="694"/>
      <c r="CT249" s="694"/>
      <c r="CU249" s="694"/>
      <c r="CV249" s="694"/>
      <c r="CW249" s="694"/>
      <c r="CX249" s="694"/>
      <c r="CY249" s="694"/>
      <c r="CZ249" s="695"/>
      <c r="DA249" s="214"/>
    </row>
    <row r="250" spans="1:105" s="16" customFormat="1" ht="15" customHeight="1" x14ac:dyDescent="0.3">
      <c r="A250" s="633" t="s">
        <v>292</v>
      </c>
      <c r="B250" s="634"/>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4"/>
      <c r="AY250" s="634"/>
      <c r="AZ250" s="634"/>
      <c r="BA250" s="634"/>
      <c r="BB250" s="635"/>
      <c r="BC250" s="544" t="s">
        <v>4</v>
      </c>
      <c r="BD250" s="545"/>
      <c r="BE250" s="545"/>
      <c r="BF250" s="545"/>
      <c r="BG250" s="545"/>
      <c r="BH250" s="545"/>
      <c r="BI250" s="545"/>
      <c r="BJ250" s="545"/>
      <c r="BK250" s="545"/>
      <c r="BL250" s="545"/>
      <c r="BM250" s="545"/>
      <c r="BN250" s="545"/>
      <c r="BO250" s="545"/>
      <c r="BP250" s="545"/>
      <c r="BQ250" s="545"/>
      <c r="BR250" s="546"/>
      <c r="BS250" s="544" t="s">
        <v>4</v>
      </c>
      <c r="BT250" s="545"/>
      <c r="BU250" s="545"/>
      <c r="BV250" s="545"/>
      <c r="BW250" s="545"/>
      <c r="BX250" s="545"/>
      <c r="BY250" s="545"/>
      <c r="BZ250" s="545"/>
      <c r="CA250" s="545"/>
      <c r="CB250" s="545"/>
      <c r="CC250" s="545"/>
      <c r="CD250" s="545"/>
      <c r="CE250" s="545"/>
      <c r="CF250" s="545"/>
      <c r="CG250" s="545"/>
      <c r="CH250" s="546"/>
      <c r="CI250" s="636">
        <f>SUM(CI243:CZ249)</f>
        <v>7988.2</v>
      </c>
      <c r="CJ250" s="654"/>
      <c r="CK250" s="654"/>
      <c r="CL250" s="654"/>
      <c r="CM250" s="654"/>
      <c r="CN250" s="654"/>
      <c r="CO250" s="654"/>
      <c r="CP250" s="654"/>
      <c r="CQ250" s="654"/>
      <c r="CR250" s="654"/>
      <c r="CS250" s="654"/>
      <c r="CT250" s="654"/>
      <c r="CU250" s="654"/>
      <c r="CV250" s="654"/>
      <c r="CW250" s="654"/>
      <c r="CX250" s="654"/>
      <c r="CY250" s="654"/>
      <c r="CZ250" s="655"/>
      <c r="DA250" s="214"/>
    </row>
    <row r="251" spans="1:105" s="16" customFormat="1" ht="15" hidden="1" customHeight="1" x14ac:dyDescent="0.3">
      <c r="A251" s="648" t="s">
        <v>584</v>
      </c>
      <c r="B251" s="649"/>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9"/>
      <c r="AL251" s="649"/>
      <c r="AM251" s="649"/>
      <c r="AN251" s="649"/>
      <c r="AO251" s="649"/>
      <c r="AP251" s="649"/>
      <c r="AQ251" s="649"/>
      <c r="AR251" s="649"/>
      <c r="AS251" s="649"/>
      <c r="AT251" s="649"/>
      <c r="AU251" s="649"/>
      <c r="AV251" s="649"/>
      <c r="AW251" s="649"/>
      <c r="AX251" s="649"/>
      <c r="AY251" s="649"/>
      <c r="AZ251" s="649"/>
      <c r="BA251" s="649"/>
      <c r="BB251" s="649"/>
      <c r="BC251" s="649"/>
      <c r="BD251" s="649"/>
      <c r="BE251" s="649"/>
      <c r="BF251" s="649"/>
      <c r="BG251" s="649"/>
      <c r="BH251" s="649"/>
      <c r="BI251" s="649"/>
      <c r="BJ251" s="649"/>
      <c r="BK251" s="649"/>
      <c r="BL251" s="649"/>
      <c r="BM251" s="649"/>
      <c r="BN251" s="649"/>
      <c r="BO251" s="649"/>
      <c r="BP251" s="649"/>
      <c r="BQ251" s="649"/>
      <c r="BR251" s="649"/>
      <c r="BS251" s="649"/>
      <c r="BT251" s="649"/>
      <c r="BU251" s="649"/>
      <c r="BV251" s="649"/>
      <c r="BW251" s="649"/>
      <c r="BX251" s="649"/>
      <c r="BY251" s="649"/>
      <c r="BZ251" s="649"/>
      <c r="CA251" s="649"/>
      <c r="CB251" s="649"/>
      <c r="CC251" s="649"/>
      <c r="CD251" s="649"/>
      <c r="CE251" s="649"/>
      <c r="CF251" s="649"/>
      <c r="CG251" s="649"/>
      <c r="CH251" s="649"/>
      <c r="CI251" s="649"/>
      <c r="CJ251" s="649"/>
      <c r="CK251" s="649"/>
      <c r="CL251" s="649"/>
      <c r="CM251" s="649"/>
      <c r="CN251" s="649"/>
      <c r="CO251" s="649"/>
      <c r="CP251" s="649"/>
      <c r="CQ251" s="649"/>
      <c r="CR251" s="649"/>
      <c r="CS251" s="649"/>
      <c r="CT251" s="649"/>
      <c r="CU251" s="649"/>
      <c r="CV251" s="649"/>
      <c r="CW251" s="649"/>
      <c r="CX251" s="649"/>
      <c r="CY251" s="649"/>
      <c r="CZ251" s="649"/>
      <c r="DA251" s="214"/>
    </row>
    <row r="252" spans="1:105" s="16" customFormat="1" ht="15" hidden="1" customHeight="1" x14ac:dyDescent="0.3">
      <c r="A252" s="630" t="s">
        <v>580</v>
      </c>
      <c r="B252" s="631"/>
      <c r="C252" s="631"/>
      <c r="D252" s="631"/>
      <c r="E252" s="631"/>
      <c r="F252" s="631"/>
      <c r="G252" s="632"/>
      <c r="H252" s="584" t="s">
        <v>845</v>
      </c>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5"/>
      <c r="AL252" s="585"/>
      <c r="AM252" s="585"/>
      <c r="AN252" s="585"/>
      <c r="AO252" s="585"/>
      <c r="AP252" s="585"/>
      <c r="AQ252" s="585"/>
      <c r="AR252" s="585"/>
      <c r="AS252" s="585"/>
      <c r="AT252" s="585"/>
      <c r="AU252" s="585"/>
      <c r="AV252" s="585"/>
      <c r="AW252" s="585"/>
      <c r="AX252" s="585"/>
      <c r="AY252" s="585"/>
      <c r="AZ252" s="585"/>
      <c r="BA252" s="585"/>
      <c r="BB252" s="586"/>
      <c r="BC252" s="544"/>
      <c r="BD252" s="545"/>
      <c r="BE252" s="545"/>
      <c r="BF252" s="545"/>
      <c r="BG252" s="545"/>
      <c r="BH252" s="545"/>
      <c r="BI252" s="545"/>
      <c r="BJ252" s="545"/>
      <c r="BK252" s="545"/>
      <c r="BL252" s="545"/>
      <c r="BM252" s="545"/>
      <c r="BN252" s="545"/>
      <c r="BO252" s="545"/>
      <c r="BP252" s="545"/>
      <c r="BQ252" s="545"/>
      <c r="BR252" s="546"/>
      <c r="BS252" s="639"/>
      <c r="BT252" s="640"/>
      <c r="BU252" s="640"/>
      <c r="BV252" s="640"/>
      <c r="BW252" s="640"/>
      <c r="BX252" s="640"/>
      <c r="BY252" s="640"/>
      <c r="BZ252" s="640"/>
      <c r="CA252" s="640"/>
      <c r="CB252" s="640"/>
      <c r="CC252" s="640"/>
      <c r="CD252" s="640"/>
      <c r="CE252" s="640"/>
      <c r="CF252" s="640"/>
      <c r="CG252" s="640"/>
      <c r="CH252" s="641"/>
      <c r="CI252" s="627">
        <f>BC252*BS252</f>
        <v>0</v>
      </c>
      <c r="CJ252" s="628"/>
      <c r="CK252" s="628"/>
      <c r="CL252" s="628"/>
      <c r="CM252" s="628"/>
      <c r="CN252" s="628"/>
      <c r="CO252" s="628"/>
      <c r="CP252" s="628"/>
      <c r="CQ252" s="628"/>
      <c r="CR252" s="628"/>
      <c r="CS252" s="628"/>
      <c r="CT252" s="628"/>
      <c r="CU252" s="628"/>
      <c r="CV252" s="628"/>
      <c r="CW252" s="628"/>
      <c r="CX252" s="628"/>
      <c r="CY252" s="628"/>
      <c r="CZ252" s="629"/>
      <c r="DA252" s="214"/>
    </row>
    <row r="253" spans="1:105" s="16" customFormat="1" ht="15" hidden="1" customHeight="1" x14ac:dyDescent="0.3">
      <c r="A253" s="630" t="s">
        <v>444</v>
      </c>
      <c r="B253" s="631"/>
      <c r="C253" s="631"/>
      <c r="D253" s="631"/>
      <c r="E253" s="631"/>
      <c r="F253" s="631"/>
      <c r="G253" s="632"/>
      <c r="H253" s="584" t="s">
        <v>890</v>
      </c>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585"/>
      <c r="AY253" s="585"/>
      <c r="AZ253" s="585"/>
      <c r="BA253" s="585"/>
      <c r="BB253" s="586"/>
      <c r="BC253" s="544"/>
      <c r="BD253" s="545"/>
      <c r="BE253" s="545"/>
      <c r="BF253" s="545"/>
      <c r="BG253" s="545"/>
      <c r="BH253" s="545"/>
      <c r="BI253" s="545"/>
      <c r="BJ253" s="545"/>
      <c r="BK253" s="545"/>
      <c r="BL253" s="545"/>
      <c r="BM253" s="545"/>
      <c r="BN253" s="545"/>
      <c r="BO253" s="545"/>
      <c r="BP253" s="545"/>
      <c r="BQ253" s="545"/>
      <c r="BR253" s="546"/>
      <c r="BS253" s="639"/>
      <c r="BT253" s="640"/>
      <c r="BU253" s="640"/>
      <c r="BV253" s="640"/>
      <c r="BW253" s="640"/>
      <c r="BX253" s="640"/>
      <c r="BY253" s="640"/>
      <c r="BZ253" s="640"/>
      <c r="CA253" s="640"/>
      <c r="CB253" s="640"/>
      <c r="CC253" s="640"/>
      <c r="CD253" s="640"/>
      <c r="CE253" s="640"/>
      <c r="CF253" s="640"/>
      <c r="CG253" s="640"/>
      <c r="CH253" s="641"/>
      <c r="CI253" s="627">
        <f>BC253*BS253</f>
        <v>0</v>
      </c>
      <c r="CJ253" s="628"/>
      <c r="CK253" s="628"/>
      <c r="CL253" s="628"/>
      <c r="CM253" s="628"/>
      <c r="CN253" s="628"/>
      <c r="CO253" s="628"/>
      <c r="CP253" s="628"/>
      <c r="CQ253" s="628"/>
      <c r="CR253" s="628"/>
      <c r="CS253" s="628"/>
      <c r="CT253" s="628"/>
      <c r="CU253" s="628"/>
      <c r="CV253" s="628"/>
      <c r="CW253" s="628"/>
      <c r="CX253" s="628"/>
      <c r="CY253" s="628"/>
      <c r="CZ253" s="629"/>
      <c r="DA253" s="214"/>
    </row>
    <row r="254" spans="1:105" s="16" customFormat="1" ht="15" hidden="1" customHeight="1" x14ac:dyDescent="0.3">
      <c r="A254" s="633" t="s">
        <v>292</v>
      </c>
      <c r="B254" s="634"/>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4"/>
      <c r="AL254" s="634"/>
      <c r="AM254" s="634"/>
      <c r="AN254" s="634"/>
      <c r="AO254" s="634"/>
      <c r="AP254" s="634"/>
      <c r="AQ254" s="634"/>
      <c r="AR254" s="634"/>
      <c r="AS254" s="634"/>
      <c r="AT254" s="634"/>
      <c r="AU254" s="634"/>
      <c r="AV254" s="634"/>
      <c r="AW254" s="634"/>
      <c r="AX254" s="634"/>
      <c r="AY254" s="634"/>
      <c r="AZ254" s="634"/>
      <c r="BA254" s="634"/>
      <c r="BB254" s="635"/>
      <c r="BC254" s="544" t="s">
        <v>4</v>
      </c>
      <c r="BD254" s="545"/>
      <c r="BE254" s="545"/>
      <c r="BF254" s="545"/>
      <c r="BG254" s="545"/>
      <c r="BH254" s="545"/>
      <c r="BI254" s="545"/>
      <c r="BJ254" s="545"/>
      <c r="BK254" s="545"/>
      <c r="BL254" s="545"/>
      <c r="BM254" s="545"/>
      <c r="BN254" s="545"/>
      <c r="BO254" s="545"/>
      <c r="BP254" s="545"/>
      <c r="BQ254" s="545"/>
      <c r="BR254" s="546"/>
      <c r="BS254" s="544" t="s">
        <v>4</v>
      </c>
      <c r="BT254" s="545"/>
      <c r="BU254" s="545"/>
      <c r="BV254" s="545"/>
      <c r="BW254" s="545"/>
      <c r="BX254" s="545"/>
      <c r="BY254" s="545"/>
      <c r="BZ254" s="545"/>
      <c r="CA254" s="545"/>
      <c r="CB254" s="545"/>
      <c r="CC254" s="545"/>
      <c r="CD254" s="545"/>
      <c r="CE254" s="545"/>
      <c r="CF254" s="545"/>
      <c r="CG254" s="545"/>
      <c r="CH254" s="546"/>
      <c r="CI254" s="636">
        <f>SUM(CI252:CZ253)</f>
        <v>0</v>
      </c>
      <c r="CJ254" s="654"/>
      <c r="CK254" s="654"/>
      <c r="CL254" s="654"/>
      <c r="CM254" s="654"/>
      <c r="CN254" s="654"/>
      <c r="CO254" s="654"/>
      <c r="CP254" s="654"/>
      <c r="CQ254" s="654"/>
      <c r="CR254" s="654"/>
      <c r="CS254" s="654"/>
      <c r="CT254" s="654"/>
      <c r="CU254" s="654"/>
      <c r="CV254" s="654"/>
      <c r="CW254" s="654"/>
      <c r="CX254" s="654"/>
      <c r="CY254" s="654"/>
      <c r="CZ254" s="655"/>
      <c r="DA254" s="214"/>
    </row>
    <row r="255" spans="1:105" s="16" customFormat="1" ht="15" customHeight="1" x14ac:dyDescent="0.3">
      <c r="A255" s="553" t="s">
        <v>56</v>
      </c>
      <c r="B255" s="554"/>
      <c r="C255" s="554"/>
      <c r="D255" s="554"/>
      <c r="E255" s="554"/>
      <c r="F255" s="554"/>
      <c r="G255" s="554"/>
      <c r="H255" s="554"/>
      <c r="I255" s="554"/>
      <c r="J255" s="554"/>
      <c r="K255" s="554"/>
      <c r="L255" s="554"/>
      <c r="M255" s="554"/>
      <c r="N255" s="554"/>
      <c r="O255" s="554"/>
      <c r="P255" s="554"/>
      <c r="Q255" s="554"/>
      <c r="R255" s="554"/>
      <c r="S255" s="554"/>
      <c r="T255" s="554"/>
      <c r="U255" s="554"/>
      <c r="V255" s="554"/>
      <c r="W255" s="554"/>
      <c r="X255" s="554"/>
      <c r="Y255" s="554"/>
      <c r="Z255" s="554"/>
      <c r="AA255" s="554"/>
      <c r="AB255" s="554"/>
      <c r="AC255" s="554"/>
      <c r="AD255" s="554"/>
      <c r="AE255" s="554"/>
      <c r="AF255" s="554"/>
      <c r="AG255" s="554"/>
      <c r="AH255" s="554"/>
      <c r="AI255" s="554"/>
      <c r="AJ255" s="554"/>
      <c r="AK255" s="554"/>
      <c r="AL255" s="554"/>
      <c r="AM255" s="554"/>
      <c r="AN255" s="554"/>
      <c r="AO255" s="554"/>
      <c r="AP255" s="554"/>
      <c r="AQ255" s="554"/>
      <c r="AR255" s="554"/>
      <c r="AS255" s="554"/>
      <c r="AT255" s="554"/>
      <c r="AU255" s="554"/>
      <c r="AV255" s="554"/>
      <c r="AW255" s="554"/>
      <c r="AX255" s="554"/>
      <c r="AY255" s="554"/>
      <c r="AZ255" s="554"/>
      <c r="BA255" s="554"/>
      <c r="BB255" s="555"/>
      <c r="BC255" s="582" t="s">
        <v>4</v>
      </c>
      <c r="BD255" s="582"/>
      <c r="BE255" s="582"/>
      <c r="BF255" s="582"/>
      <c r="BG255" s="582"/>
      <c r="BH255" s="582"/>
      <c r="BI255" s="582"/>
      <c r="BJ255" s="582"/>
      <c r="BK255" s="582"/>
      <c r="BL255" s="582"/>
      <c r="BM255" s="582"/>
      <c r="BN255" s="582"/>
      <c r="BO255" s="582"/>
      <c r="BP255" s="582"/>
      <c r="BQ255" s="582"/>
      <c r="BR255" s="582"/>
      <c r="BS255" s="582" t="s">
        <v>4</v>
      </c>
      <c r="BT255" s="582"/>
      <c r="BU255" s="582"/>
      <c r="BV255" s="582"/>
      <c r="BW255" s="582"/>
      <c r="BX255" s="582"/>
      <c r="BY255" s="582"/>
      <c r="BZ255" s="582"/>
      <c r="CA255" s="582"/>
      <c r="CB255" s="582"/>
      <c r="CC255" s="582"/>
      <c r="CD255" s="582"/>
      <c r="CE255" s="582"/>
      <c r="CF255" s="582"/>
      <c r="CG255" s="582"/>
      <c r="CH255" s="582"/>
      <c r="CI255" s="611">
        <f>CI250+CI254</f>
        <v>7988.2</v>
      </c>
      <c r="CJ255" s="560"/>
      <c r="CK255" s="560"/>
      <c r="CL255" s="560"/>
      <c r="CM255" s="560"/>
      <c r="CN255" s="560"/>
      <c r="CO255" s="560"/>
      <c r="CP255" s="560"/>
      <c r="CQ255" s="560"/>
      <c r="CR255" s="560"/>
      <c r="CS255" s="560"/>
      <c r="CT255" s="560"/>
      <c r="CU255" s="560"/>
      <c r="CV255" s="560"/>
      <c r="CW255" s="560"/>
      <c r="CX255" s="560"/>
      <c r="CY255" s="560"/>
      <c r="CZ255" s="560"/>
      <c r="DA255" s="220"/>
    </row>
    <row r="256" spans="1:105" s="16" customFormat="1" ht="15" customHeight="1" x14ac:dyDescent="0.3">
      <c r="A256" s="221"/>
      <c r="B256" s="221"/>
      <c r="C256" s="221"/>
      <c r="D256" s="221"/>
      <c r="E256" s="221"/>
      <c r="F256" s="221"/>
      <c r="G256" s="221"/>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14"/>
    </row>
    <row r="257" spans="1:105" s="20" customFormat="1" ht="29.25" customHeight="1" x14ac:dyDescent="0.25">
      <c r="A257" s="524" t="s">
        <v>281</v>
      </c>
      <c r="B257" s="524"/>
      <c r="C257" s="524"/>
      <c r="D257" s="524"/>
      <c r="E257" s="524"/>
      <c r="F257" s="524"/>
      <c r="G257" s="524"/>
      <c r="H257" s="524"/>
      <c r="I257" s="524"/>
      <c r="J257" s="524"/>
      <c r="K257" s="524"/>
      <c r="L257" s="524"/>
      <c r="M257" s="524"/>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4"/>
      <c r="AJ257" s="524"/>
      <c r="AK257" s="524"/>
      <c r="AL257" s="524"/>
      <c r="AM257" s="524"/>
      <c r="AN257" s="524"/>
      <c r="AO257" s="524"/>
      <c r="AP257" s="524"/>
      <c r="AQ257" s="524"/>
      <c r="AR257" s="524"/>
      <c r="AS257" s="524"/>
      <c r="AT257" s="524"/>
      <c r="AU257" s="524"/>
      <c r="AV257" s="524"/>
      <c r="AW257" s="524"/>
      <c r="AX257" s="524"/>
      <c r="AY257" s="524"/>
      <c r="AZ257" s="524"/>
      <c r="BA257" s="524"/>
      <c r="BB257" s="524"/>
      <c r="BC257" s="524"/>
      <c r="BD257" s="524"/>
      <c r="BE257" s="524"/>
      <c r="BF257" s="524"/>
      <c r="BG257" s="524"/>
      <c r="BH257" s="524"/>
      <c r="BI257" s="524"/>
      <c r="BJ257" s="524"/>
      <c r="BK257" s="524"/>
      <c r="BL257" s="524"/>
      <c r="BM257" s="524"/>
      <c r="BN257" s="524"/>
      <c r="BO257" s="524"/>
      <c r="BP257" s="524"/>
      <c r="BQ257" s="524"/>
      <c r="BR257" s="524"/>
      <c r="BS257" s="524"/>
      <c r="BT257" s="524"/>
      <c r="BU257" s="524"/>
      <c r="BV257" s="524"/>
      <c r="BW257" s="524"/>
      <c r="BX257" s="524"/>
      <c r="BY257" s="524"/>
      <c r="BZ257" s="524"/>
      <c r="CA257" s="524"/>
      <c r="CB257" s="524"/>
      <c r="CC257" s="524"/>
      <c r="CD257" s="524"/>
      <c r="CE257" s="524"/>
      <c r="CF257" s="524"/>
      <c r="CG257" s="524"/>
      <c r="CH257" s="524"/>
      <c r="CI257" s="524"/>
      <c r="CJ257" s="524"/>
      <c r="CK257" s="524"/>
      <c r="CL257" s="524"/>
      <c r="CM257" s="524"/>
      <c r="CN257" s="524"/>
      <c r="CO257" s="524"/>
      <c r="CP257" s="524"/>
      <c r="CQ257" s="524"/>
      <c r="CR257" s="524"/>
      <c r="CS257" s="524"/>
      <c r="CT257" s="524"/>
      <c r="CU257" s="524"/>
      <c r="CV257" s="524"/>
      <c r="CW257" s="524"/>
      <c r="CX257" s="524"/>
      <c r="CY257" s="524"/>
      <c r="CZ257" s="524"/>
    </row>
    <row r="258" spans="1:105" ht="11.25" customHeight="1" x14ac:dyDescent="0.25"/>
    <row r="259" spans="1:105" s="20" customFormat="1" x14ac:dyDescent="0.25">
      <c r="A259" s="20" t="s">
        <v>47</v>
      </c>
      <c r="W259" s="595" t="s">
        <v>585</v>
      </c>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5"/>
      <c r="AS259" s="595"/>
      <c r="AT259" s="595"/>
      <c r="AU259" s="595"/>
      <c r="AV259" s="595"/>
      <c r="AW259" s="595"/>
      <c r="AX259" s="595"/>
      <c r="AY259" s="595"/>
      <c r="AZ259" s="595"/>
      <c r="BA259" s="595"/>
      <c r="BB259" s="595"/>
      <c r="BC259" s="595"/>
      <c r="BD259" s="595"/>
      <c r="BE259" s="595"/>
      <c r="BF259" s="595"/>
      <c r="BG259" s="595"/>
      <c r="BH259" s="595"/>
      <c r="BI259" s="595"/>
      <c r="BJ259" s="595"/>
      <c r="BK259" s="595"/>
      <c r="BL259" s="595"/>
      <c r="BM259" s="595"/>
      <c r="BN259" s="595"/>
      <c r="BO259" s="595"/>
      <c r="BP259" s="595"/>
      <c r="BQ259" s="595"/>
      <c r="BR259" s="595"/>
      <c r="BS259" s="595"/>
      <c r="BT259" s="595"/>
      <c r="BU259" s="595"/>
      <c r="BV259" s="595"/>
      <c r="BW259" s="595"/>
      <c r="BX259" s="595"/>
      <c r="BY259" s="595"/>
      <c r="BZ259" s="595"/>
      <c r="CA259" s="595"/>
      <c r="CB259" s="595"/>
      <c r="CC259" s="595"/>
      <c r="CD259" s="595"/>
      <c r="CE259" s="595"/>
      <c r="CF259" s="595"/>
      <c r="CG259" s="595"/>
      <c r="CH259" s="595"/>
      <c r="CI259" s="595"/>
      <c r="CJ259" s="595"/>
      <c r="CK259" s="595"/>
      <c r="CL259" s="595"/>
      <c r="CM259" s="595"/>
      <c r="CN259" s="595"/>
      <c r="CO259" s="595"/>
      <c r="CP259" s="595"/>
      <c r="CQ259" s="595"/>
      <c r="CR259" s="595"/>
      <c r="CS259" s="595"/>
      <c r="CT259" s="595"/>
      <c r="CU259" s="595"/>
      <c r="CV259" s="595"/>
      <c r="CW259" s="595"/>
      <c r="CX259" s="595"/>
      <c r="CY259" s="595"/>
      <c r="CZ259" s="595"/>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75" t="s">
        <v>49</v>
      </c>
      <c r="B261" s="476"/>
      <c r="C261" s="476"/>
      <c r="D261" s="476"/>
      <c r="E261" s="476"/>
      <c r="F261" s="476"/>
      <c r="G261" s="477"/>
      <c r="H261" s="475" t="s">
        <v>0</v>
      </c>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c r="AK261" s="476"/>
      <c r="AL261" s="476"/>
      <c r="AM261" s="476"/>
      <c r="AN261" s="476"/>
      <c r="AO261" s="476"/>
      <c r="AP261" s="476"/>
      <c r="AQ261" s="476"/>
      <c r="AR261" s="476"/>
      <c r="AS261" s="476"/>
      <c r="AT261" s="476"/>
      <c r="AU261" s="476"/>
      <c r="AV261" s="476"/>
      <c r="AW261" s="476"/>
      <c r="AX261" s="476"/>
      <c r="AY261" s="476"/>
      <c r="AZ261" s="476"/>
      <c r="BA261" s="476"/>
      <c r="BB261" s="477"/>
      <c r="BC261" s="597" t="s">
        <v>79</v>
      </c>
      <c r="BD261" s="598"/>
      <c r="BE261" s="598"/>
      <c r="BF261" s="598"/>
      <c r="BG261" s="598"/>
      <c r="BH261" s="598"/>
      <c r="BI261" s="598"/>
      <c r="BJ261" s="598"/>
      <c r="BK261" s="598"/>
      <c r="BL261" s="598"/>
      <c r="BM261" s="598"/>
      <c r="BN261" s="598"/>
      <c r="BO261" s="598"/>
      <c r="BP261" s="598"/>
      <c r="BQ261" s="598"/>
      <c r="BR261" s="599"/>
      <c r="BS261" s="606" t="s">
        <v>80</v>
      </c>
      <c r="BT261" s="606"/>
      <c r="BU261" s="606"/>
      <c r="BV261" s="606"/>
      <c r="BW261" s="606"/>
      <c r="BX261" s="606"/>
      <c r="BY261" s="606"/>
      <c r="BZ261" s="606"/>
      <c r="CA261" s="606"/>
      <c r="CB261" s="606"/>
      <c r="CC261" s="606"/>
      <c r="CD261" s="606"/>
      <c r="CE261" s="606"/>
      <c r="CF261" s="606"/>
      <c r="CG261" s="606"/>
      <c r="CH261" s="606"/>
      <c r="CI261" s="606" t="s">
        <v>81</v>
      </c>
      <c r="CJ261" s="606"/>
      <c r="CK261" s="606"/>
      <c r="CL261" s="606"/>
      <c r="CM261" s="606"/>
      <c r="CN261" s="606"/>
      <c r="CO261" s="606"/>
      <c r="CP261" s="606"/>
      <c r="CQ261" s="606"/>
      <c r="CR261" s="606"/>
      <c r="CS261" s="606"/>
      <c r="CT261" s="606"/>
      <c r="CU261" s="606"/>
      <c r="CV261" s="606"/>
      <c r="CW261" s="606"/>
      <c r="CX261" s="606"/>
      <c r="CY261" s="606"/>
      <c r="CZ261" s="606"/>
      <c r="DA261" s="218"/>
    </row>
    <row r="262" spans="1:105" s="15" customFormat="1" ht="13.2" x14ac:dyDescent="0.3">
      <c r="A262" s="591">
        <v>1</v>
      </c>
      <c r="B262" s="591"/>
      <c r="C262" s="591"/>
      <c r="D262" s="591"/>
      <c r="E262" s="591"/>
      <c r="F262" s="591"/>
      <c r="G262" s="591"/>
      <c r="H262" s="591">
        <v>2</v>
      </c>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1"/>
      <c r="AL262" s="591"/>
      <c r="AM262" s="591"/>
      <c r="AN262" s="591"/>
      <c r="AO262" s="591"/>
      <c r="AP262" s="591"/>
      <c r="AQ262" s="591"/>
      <c r="AR262" s="591"/>
      <c r="AS262" s="591"/>
      <c r="AT262" s="591"/>
      <c r="AU262" s="591"/>
      <c r="AV262" s="591"/>
      <c r="AW262" s="591"/>
      <c r="AX262" s="591"/>
      <c r="AY262" s="591"/>
      <c r="AZ262" s="591"/>
      <c r="BA262" s="591"/>
      <c r="BB262" s="591"/>
      <c r="BC262" s="591">
        <v>3</v>
      </c>
      <c r="BD262" s="591"/>
      <c r="BE262" s="591"/>
      <c r="BF262" s="591"/>
      <c r="BG262" s="591"/>
      <c r="BH262" s="591"/>
      <c r="BI262" s="591"/>
      <c r="BJ262" s="591"/>
      <c r="BK262" s="591"/>
      <c r="BL262" s="591"/>
      <c r="BM262" s="591"/>
      <c r="BN262" s="591"/>
      <c r="BO262" s="591"/>
      <c r="BP262" s="591"/>
      <c r="BQ262" s="591"/>
      <c r="BR262" s="591"/>
      <c r="BS262" s="591">
        <v>4</v>
      </c>
      <c r="BT262" s="591"/>
      <c r="BU262" s="591"/>
      <c r="BV262" s="591"/>
      <c r="BW262" s="591"/>
      <c r="BX262" s="591"/>
      <c r="BY262" s="591"/>
      <c r="BZ262" s="591"/>
      <c r="CA262" s="591"/>
      <c r="CB262" s="591"/>
      <c r="CC262" s="591"/>
      <c r="CD262" s="591"/>
      <c r="CE262" s="591"/>
      <c r="CF262" s="591"/>
      <c r="CG262" s="591"/>
      <c r="CH262" s="591"/>
      <c r="CI262" s="591">
        <v>5</v>
      </c>
      <c r="CJ262" s="591"/>
      <c r="CK262" s="591"/>
      <c r="CL262" s="591"/>
      <c r="CM262" s="591"/>
      <c r="CN262" s="591"/>
      <c r="CO262" s="591"/>
      <c r="CP262" s="591"/>
      <c r="CQ262" s="591"/>
      <c r="CR262" s="591"/>
      <c r="CS262" s="591"/>
      <c r="CT262" s="591"/>
      <c r="CU262" s="591"/>
      <c r="CV262" s="591"/>
      <c r="CW262" s="591"/>
      <c r="CX262" s="591"/>
      <c r="CY262" s="591"/>
      <c r="CZ262" s="591"/>
      <c r="DA262" s="219"/>
    </row>
    <row r="263" spans="1:105" s="16" customFormat="1" ht="15" customHeight="1" x14ac:dyDescent="0.3">
      <c r="A263" s="648" t="s">
        <v>584</v>
      </c>
      <c r="B263" s="649"/>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9"/>
      <c r="AL263" s="649"/>
      <c r="AM263" s="649"/>
      <c r="AN263" s="649"/>
      <c r="AO263" s="649"/>
      <c r="AP263" s="649"/>
      <c r="AQ263" s="649"/>
      <c r="AR263" s="649"/>
      <c r="AS263" s="649"/>
      <c r="AT263" s="649"/>
      <c r="AU263" s="649"/>
      <c r="AV263" s="649"/>
      <c r="AW263" s="649"/>
      <c r="AX263" s="649"/>
      <c r="AY263" s="649"/>
      <c r="AZ263" s="649"/>
      <c r="BA263" s="649"/>
      <c r="BB263" s="649"/>
      <c r="BC263" s="649"/>
      <c r="BD263" s="649"/>
      <c r="BE263" s="649"/>
      <c r="BF263" s="649"/>
      <c r="BG263" s="649"/>
      <c r="BH263" s="649"/>
      <c r="BI263" s="649"/>
      <c r="BJ263" s="649"/>
      <c r="BK263" s="649"/>
      <c r="BL263" s="649"/>
      <c r="BM263" s="649"/>
      <c r="BN263" s="649"/>
      <c r="BO263" s="649"/>
      <c r="BP263" s="649"/>
      <c r="BQ263" s="649"/>
      <c r="BR263" s="649"/>
      <c r="BS263" s="649"/>
      <c r="BT263" s="649"/>
      <c r="BU263" s="649"/>
      <c r="BV263" s="649"/>
      <c r="BW263" s="649"/>
      <c r="BX263" s="649"/>
      <c r="BY263" s="649"/>
      <c r="BZ263" s="649"/>
      <c r="CA263" s="649"/>
      <c r="CB263" s="649"/>
      <c r="CC263" s="649"/>
      <c r="CD263" s="649"/>
      <c r="CE263" s="649"/>
      <c r="CF263" s="649"/>
      <c r="CG263" s="649"/>
      <c r="CH263" s="649"/>
      <c r="CI263" s="649"/>
      <c r="CJ263" s="649"/>
      <c r="CK263" s="649"/>
      <c r="CL263" s="649"/>
      <c r="CM263" s="649"/>
      <c r="CN263" s="649"/>
      <c r="CO263" s="649"/>
      <c r="CP263" s="649"/>
      <c r="CQ263" s="649"/>
      <c r="CR263" s="649"/>
      <c r="CS263" s="649"/>
      <c r="CT263" s="649"/>
      <c r="CU263" s="649"/>
      <c r="CV263" s="649"/>
      <c r="CW263" s="649"/>
      <c r="CX263" s="649"/>
      <c r="CY263" s="649"/>
      <c r="CZ263" s="649"/>
      <c r="DA263" s="214"/>
    </row>
    <row r="264" spans="1:105" s="16" customFormat="1" ht="15" customHeight="1" x14ac:dyDescent="0.3">
      <c r="A264" s="630" t="s">
        <v>441</v>
      </c>
      <c r="B264" s="631"/>
      <c r="C264" s="631"/>
      <c r="D264" s="631"/>
      <c r="E264" s="631"/>
      <c r="F264" s="631"/>
      <c r="G264" s="632"/>
      <c r="H264" s="584" t="s">
        <v>586</v>
      </c>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5"/>
      <c r="AL264" s="585"/>
      <c r="AM264" s="585"/>
      <c r="AN264" s="585"/>
      <c r="AO264" s="585"/>
      <c r="AP264" s="585"/>
      <c r="AQ264" s="585"/>
      <c r="AR264" s="585"/>
      <c r="AS264" s="585"/>
      <c r="AT264" s="585"/>
      <c r="AU264" s="585"/>
      <c r="AV264" s="585"/>
      <c r="AW264" s="585"/>
      <c r="AX264" s="585"/>
      <c r="AY264" s="585"/>
      <c r="AZ264" s="585"/>
      <c r="BA264" s="585"/>
      <c r="BB264" s="586"/>
      <c r="BC264" s="544">
        <v>1</v>
      </c>
      <c r="BD264" s="545"/>
      <c r="BE264" s="545"/>
      <c r="BF264" s="545"/>
      <c r="BG264" s="545"/>
      <c r="BH264" s="545"/>
      <c r="BI264" s="545"/>
      <c r="BJ264" s="545"/>
      <c r="BK264" s="545"/>
      <c r="BL264" s="545"/>
      <c r="BM264" s="545"/>
      <c r="BN264" s="545"/>
      <c r="BO264" s="545"/>
      <c r="BP264" s="545"/>
      <c r="BQ264" s="545"/>
      <c r="BR264" s="546"/>
      <c r="BS264" s="639">
        <v>5000</v>
      </c>
      <c r="BT264" s="640"/>
      <c r="BU264" s="640"/>
      <c r="BV264" s="640"/>
      <c r="BW264" s="640"/>
      <c r="BX264" s="640"/>
      <c r="BY264" s="640"/>
      <c r="BZ264" s="640"/>
      <c r="CA264" s="640"/>
      <c r="CB264" s="640"/>
      <c r="CC264" s="640"/>
      <c r="CD264" s="640"/>
      <c r="CE264" s="640"/>
      <c r="CF264" s="640"/>
      <c r="CG264" s="640"/>
      <c r="CH264" s="641"/>
      <c r="CI264" s="627">
        <f>BC264*BS264</f>
        <v>5000</v>
      </c>
      <c r="CJ264" s="628"/>
      <c r="CK264" s="628"/>
      <c r="CL264" s="628"/>
      <c r="CM264" s="628"/>
      <c r="CN264" s="628"/>
      <c r="CO264" s="628"/>
      <c r="CP264" s="628"/>
      <c r="CQ264" s="628"/>
      <c r="CR264" s="628"/>
      <c r="CS264" s="628"/>
      <c r="CT264" s="628"/>
      <c r="CU264" s="628"/>
      <c r="CV264" s="628"/>
      <c r="CW264" s="628"/>
      <c r="CX264" s="628"/>
      <c r="CY264" s="628"/>
      <c r="CZ264" s="629"/>
      <c r="DA264" s="214"/>
    </row>
    <row r="265" spans="1:105" s="16" customFormat="1" ht="15" customHeight="1" x14ac:dyDescent="0.3">
      <c r="A265" s="633" t="s">
        <v>292</v>
      </c>
      <c r="B265" s="634"/>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4"/>
      <c r="AL265" s="634"/>
      <c r="AM265" s="634"/>
      <c r="AN265" s="634"/>
      <c r="AO265" s="634"/>
      <c r="AP265" s="634"/>
      <c r="AQ265" s="634"/>
      <c r="AR265" s="634"/>
      <c r="AS265" s="634"/>
      <c r="AT265" s="634"/>
      <c r="AU265" s="634"/>
      <c r="AV265" s="634"/>
      <c r="AW265" s="634"/>
      <c r="AX265" s="634"/>
      <c r="AY265" s="634"/>
      <c r="AZ265" s="634"/>
      <c r="BA265" s="634"/>
      <c r="BB265" s="635"/>
      <c r="BC265" s="544" t="s">
        <v>4</v>
      </c>
      <c r="BD265" s="545"/>
      <c r="BE265" s="545"/>
      <c r="BF265" s="545"/>
      <c r="BG265" s="545"/>
      <c r="BH265" s="545"/>
      <c r="BI265" s="545"/>
      <c r="BJ265" s="545"/>
      <c r="BK265" s="545"/>
      <c r="BL265" s="545"/>
      <c r="BM265" s="545"/>
      <c r="BN265" s="545"/>
      <c r="BO265" s="545"/>
      <c r="BP265" s="545"/>
      <c r="BQ265" s="545"/>
      <c r="BR265" s="546"/>
      <c r="BS265" s="544" t="s">
        <v>4</v>
      </c>
      <c r="BT265" s="545"/>
      <c r="BU265" s="545"/>
      <c r="BV265" s="545"/>
      <c r="BW265" s="545"/>
      <c r="BX265" s="545"/>
      <c r="BY265" s="545"/>
      <c r="BZ265" s="545"/>
      <c r="CA265" s="545"/>
      <c r="CB265" s="545"/>
      <c r="CC265" s="545"/>
      <c r="CD265" s="545"/>
      <c r="CE265" s="545"/>
      <c r="CF265" s="545"/>
      <c r="CG265" s="545"/>
      <c r="CH265" s="546"/>
      <c r="CI265" s="636">
        <f>CI264</f>
        <v>5000</v>
      </c>
      <c r="CJ265" s="654"/>
      <c r="CK265" s="654"/>
      <c r="CL265" s="654"/>
      <c r="CM265" s="654"/>
      <c r="CN265" s="654"/>
      <c r="CO265" s="654"/>
      <c r="CP265" s="654"/>
      <c r="CQ265" s="654"/>
      <c r="CR265" s="654"/>
      <c r="CS265" s="654"/>
      <c r="CT265" s="654"/>
      <c r="CU265" s="654"/>
      <c r="CV265" s="654"/>
      <c r="CW265" s="654"/>
      <c r="CX265" s="654"/>
      <c r="CY265" s="654"/>
      <c r="CZ265" s="655"/>
      <c r="DA265" s="214"/>
    </row>
    <row r="266" spans="1:105" s="16" customFormat="1" ht="15" hidden="1" customHeight="1" x14ac:dyDescent="0.3">
      <c r="A266" s="648" t="s">
        <v>258</v>
      </c>
      <c r="B266" s="649"/>
      <c r="C266" s="649"/>
      <c r="D266" s="649"/>
      <c r="E266" s="649"/>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49"/>
      <c r="AC266" s="649"/>
      <c r="AD266" s="649"/>
      <c r="AE266" s="649"/>
      <c r="AF266" s="649"/>
      <c r="AG266" s="649"/>
      <c r="AH266" s="649"/>
      <c r="AI266" s="649"/>
      <c r="AJ266" s="649"/>
      <c r="AK266" s="649"/>
      <c r="AL266" s="649"/>
      <c r="AM266" s="649"/>
      <c r="AN266" s="649"/>
      <c r="AO266" s="649"/>
      <c r="AP266" s="649"/>
      <c r="AQ266" s="649"/>
      <c r="AR266" s="649"/>
      <c r="AS266" s="649"/>
      <c r="AT266" s="649"/>
      <c r="AU266" s="649"/>
      <c r="AV266" s="649"/>
      <c r="AW266" s="649"/>
      <c r="AX266" s="649"/>
      <c r="AY266" s="649"/>
      <c r="AZ266" s="649"/>
      <c r="BA266" s="649"/>
      <c r="BB266" s="649"/>
      <c r="BC266" s="649"/>
      <c r="BD266" s="649"/>
      <c r="BE266" s="649"/>
      <c r="BF266" s="649"/>
      <c r="BG266" s="649"/>
      <c r="BH266" s="649"/>
      <c r="BI266" s="649"/>
      <c r="BJ266" s="649"/>
      <c r="BK266" s="649"/>
      <c r="BL266" s="649"/>
      <c r="BM266" s="649"/>
      <c r="BN266" s="649"/>
      <c r="BO266" s="649"/>
      <c r="BP266" s="649"/>
      <c r="BQ266" s="649"/>
      <c r="BR266" s="649"/>
      <c r="BS266" s="649"/>
      <c r="BT266" s="649"/>
      <c r="BU266" s="649"/>
      <c r="BV266" s="649"/>
      <c r="BW266" s="649"/>
      <c r="BX266" s="649"/>
      <c r="BY266" s="649"/>
      <c r="BZ266" s="649"/>
      <c r="CA266" s="649"/>
      <c r="CB266" s="649"/>
      <c r="CC266" s="649"/>
      <c r="CD266" s="649"/>
      <c r="CE266" s="649"/>
      <c r="CF266" s="649"/>
      <c r="CG266" s="649"/>
      <c r="CH266" s="649"/>
      <c r="CI266" s="649"/>
      <c r="CJ266" s="649"/>
      <c r="CK266" s="649"/>
      <c r="CL266" s="649"/>
      <c r="CM266" s="649"/>
      <c r="CN266" s="649"/>
      <c r="CO266" s="649"/>
      <c r="CP266" s="649"/>
      <c r="CQ266" s="649"/>
      <c r="CR266" s="649"/>
      <c r="CS266" s="649"/>
      <c r="CT266" s="649"/>
      <c r="CU266" s="649"/>
      <c r="CV266" s="649"/>
      <c r="CW266" s="649"/>
      <c r="CX266" s="649"/>
      <c r="CY266" s="649"/>
      <c r="CZ266" s="649"/>
      <c r="DA266" s="214"/>
    </row>
    <row r="267" spans="1:105" s="16" customFormat="1" ht="15" hidden="1" customHeight="1" x14ac:dyDescent="0.3">
      <c r="A267" s="630"/>
      <c r="B267" s="631"/>
      <c r="C267" s="631"/>
      <c r="D267" s="631"/>
      <c r="E267" s="631"/>
      <c r="F267" s="631"/>
      <c r="G267" s="632"/>
      <c r="H267" s="584"/>
      <c r="I267" s="585"/>
      <c r="J267" s="585"/>
      <c r="K267" s="585"/>
      <c r="L267" s="585"/>
      <c r="M267" s="585"/>
      <c r="N267" s="585"/>
      <c r="O267" s="585"/>
      <c r="P267" s="585"/>
      <c r="Q267" s="585"/>
      <c r="R267" s="585"/>
      <c r="S267" s="585"/>
      <c r="T267" s="585"/>
      <c r="U267" s="585"/>
      <c r="V267" s="585"/>
      <c r="W267" s="585"/>
      <c r="X267" s="585"/>
      <c r="Y267" s="585"/>
      <c r="Z267" s="585"/>
      <c r="AA267" s="585"/>
      <c r="AB267" s="585"/>
      <c r="AC267" s="585"/>
      <c r="AD267" s="585"/>
      <c r="AE267" s="585"/>
      <c r="AF267" s="585"/>
      <c r="AG267" s="585"/>
      <c r="AH267" s="585"/>
      <c r="AI267" s="585"/>
      <c r="AJ267" s="585"/>
      <c r="AK267" s="585"/>
      <c r="AL267" s="585"/>
      <c r="AM267" s="585"/>
      <c r="AN267" s="585"/>
      <c r="AO267" s="585"/>
      <c r="AP267" s="585"/>
      <c r="AQ267" s="585"/>
      <c r="AR267" s="585"/>
      <c r="AS267" s="585"/>
      <c r="AT267" s="585"/>
      <c r="AU267" s="585"/>
      <c r="AV267" s="585"/>
      <c r="AW267" s="585"/>
      <c r="AX267" s="585"/>
      <c r="AY267" s="585"/>
      <c r="AZ267" s="585"/>
      <c r="BA267" s="585"/>
      <c r="BB267" s="586"/>
      <c r="BC267" s="544"/>
      <c r="BD267" s="545"/>
      <c r="BE267" s="545"/>
      <c r="BF267" s="545"/>
      <c r="BG267" s="545"/>
      <c r="BH267" s="545"/>
      <c r="BI267" s="545"/>
      <c r="BJ267" s="545"/>
      <c r="BK267" s="545"/>
      <c r="BL267" s="545"/>
      <c r="BM267" s="545"/>
      <c r="BN267" s="545"/>
      <c r="BO267" s="545"/>
      <c r="BP267" s="545"/>
      <c r="BQ267" s="545"/>
      <c r="BR267" s="546"/>
      <c r="BS267" s="544"/>
      <c r="BT267" s="545"/>
      <c r="BU267" s="545"/>
      <c r="BV267" s="545"/>
      <c r="BW267" s="545"/>
      <c r="BX267" s="545"/>
      <c r="BY267" s="545"/>
      <c r="BZ267" s="545"/>
      <c r="CA267" s="545"/>
      <c r="CB267" s="545"/>
      <c r="CC267" s="545"/>
      <c r="CD267" s="545"/>
      <c r="CE267" s="545"/>
      <c r="CF267" s="545"/>
      <c r="CG267" s="545"/>
      <c r="CH267" s="546"/>
      <c r="CI267" s="544"/>
      <c r="CJ267" s="545"/>
      <c r="CK267" s="545"/>
      <c r="CL267" s="545"/>
      <c r="CM267" s="545"/>
      <c r="CN267" s="545"/>
      <c r="CO267" s="545"/>
      <c r="CP267" s="545"/>
      <c r="CQ267" s="545"/>
      <c r="CR267" s="545"/>
      <c r="CS267" s="545"/>
      <c r="CT267" s="545"/>
      <c r="CU267" s="545"/>
      <c r="CV267" s="545"/>
      <c r="CW267" s="545"/>
      <c r="CX267" s="545"/>
      <c r="CY267" s="545"/>
      <c r="CZ267" s="546"/>
      <c r="DA267" s="214"/>
    </row>
    <row r="268" spans="1:105" s="16" customFormat="1" ht="15" hidden="1" customHeight="1" x14ac:dyDescent="0.3">
      <c r="A268" s="633" t="s">
        <v>292</v>
      </c>
      <c r="B268" s="634"/>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5"/>
      <c r="BC268" s="544" t="s">
        <v>4</v>
      </c>
      <c r="BD268" s="545"/>
      <c r="BE268" s="545"/>
      <c r="BF268" s="545"/>
      <c r="BG268" s="545"/>
      <c r="BH268" s="545"/>
      <c r="BI268" s="545"/>
      <c r="BJ268" s="545"/>
      <c r="BK268" s="545"/>
      <c r="BL268" s="545"/>
      <c r="BM268" s="545"/>
      <c r="BN268" s="545"/>
      <c r="BO268" s="545"/>
      <c r="BP268" s="545"/>
      <c r="BQ268" s="545"/>
      <c r="BR268" s="546"/>
      <c r="BS268" s="544" t="s">
        <v>4</v>
      </c>
      <c r="BT268" s="545"/>
      <c r="BU268" s="545"/>
      <c r="BV268" s="545"/>
      <c r="BW268" s="545"/>
      <c r="BX268" s="545"/>
      <c r="BY268" s="545"/>
      <c r="BZ268" s="545"/>
      <c r="CA268" s="545"/>
      <c r="CB268" s="545"/>
      <c r="CC268" s="545"/>
      <c r="CD268" s="545"/>
      <c r="CE268" s="545"/>
      <c r="CF268" s="545"/>
      <c r="CG268" s="545"/>
      <c r="CH268" s="546"/>
      <c r="CI268" s="544"/>
      <c r="CJ268" s="545"/>
      <c r="CK268" s="545"/>
      <c r="CL268" s="545"/>
      <c r="CM268" s="545"/>
      <c r="CN268" s="545"/>
      <c r="CO268" s="545"/>
      <c r="CP268" s="545"/>
      <c r="CQ268" s="545"/>
      <c r="CR268" s="545"/>
      <c r="CS268" s="545"/>
      <c r="CT268" s="545"/>
      <c r="CU268" s="545"/>
      <c r="CV268" s="545"/>
      <c r="CW268" s="545"/>
      <c r="CX268" s="545"/>
      <c r="CY268" s="545"/>
      <c r="CZ268" s="546"/>
      <c r="DA268" s="214"/>
    </row>
    <row r="269" spans="1:105" s="16" customFormat="1" ht="15" customHeight="1" x14ac:dyDescent="0.3">
      <c r="A269" s="553" t="s">
        <v>56</v>
      </c>
      <c r="B269" s="554"/>
      <c r="C269" s="554"/>
      <c r="D269" s="554"/>
      <c r="E269" s="554"/>
      <c r="F269" s="554"/>
      <c r="G269" s="554"/>
      <c r="H269" s="554"/>
      <c r="I269" s="554"/>
      <c r="J269" s="554"/>
      <c r="K269" s="554"/>
      <c r="L269" s="554"/>
      <c r="M269" s="554"/>
      <c r="N269" s="554"/>
      <c r="O269" s="554"/>
      <c r="P269" s="554"/>
      <c r="Q269" s="554"/>
      <c r="R269" s="554"/>
      <c r="S269" s="554"/>
      <c r="T269" s="554"/>
      <c r="U269" s="554"/>
      <c r="V269" s="554"/>
      <c r="W269" s="554"/>
      <c r="X269" s="554"/>
      <c r="Y269" s="554"/>
      <c r="Z269" s="554"/>
      <c r="AA269" s="554"/>
      <c r="AB269" s="554"/>
      <c r="AC269" s="554"/>
      <c r="AD269" s="554"/>
      <c r="AE269" s="554"/>
      <c r="AF269" s="554"/>
      <c r="AG269" s="554"/>
      <c r="AH269" s="554"/>
      <c r="AI269" s="554"/>
      <c r="AJ269" s="554"/>
      <c r="AK269" s="554"/>
      <c r="AL269" s="554"/>
      <c r="AM269" s="554"/>
      <c r="AN269" s="554"/>
      <c r="AO269" s="554"/>
      <c r="AP269" s="554"/>
      <c r="AQ269" s="554"/>
      <c r="AR269" s="554"/>
      <c r="AS269" s="554"/>
      <c r="AT269" s="554"/>
      <c r="AU269" s="554"/>
      <c r="AV269" s="554"/>
      <c r="AW269" s="554"/>
      <c r="AX269" s="554"/>
      <c r="AY269" s="554"/>
      <c r="AZ269" s="554"/>
      <c r="BA269" s="554"/>
      <c r="BB269" s="555"/>
      <c r="BC269" s="582" t="s">
        <v>4</v>
      </c>
      <c r="BD269" s="582"/>
      <c r="BE269" s="582"/>
      <c r="BF269" s="582"/>
      <c r="BG269" s="582"/>
      <c r="BH269" s="582"/>
      <c r="BI269" s="582"/>
      <c r="BJ269" s="582"/>
      <c r="BK269" s="582"/>
      <c r="BL269" s="582"/>
      <c r="BM269" s="582"/>
      <c r="BN269" s="582"/>
      <c r="BO269" s="582"/>
      <c r="BP269" s="582"/>
      <c r="BQ269" s="582"/>
      <c r="BR269" s="582"/>
      <c r="BS269" s="582" t="s">
        <v>4</v>
      </c>
      <c r="BT269" s="582"/>
      <c r="BU269" s="582"/>
      <c r="BV269" s="582"/>
      <c r="BW269" s="582"/>
      <c r="BX269" s="582"/>
      <c r="BY269" s="582"/>
      <c r="BZ269" s="582"/>
      <c r="CA269" s="582"/>
      <c r="CB269" s="582"/>
      <c r="CC269" s="582"/>
      <c r="CD269" s="582"/>
      <c r="CE269" s="582"/>
      <c r="CF269" s="582"/>
      <c r="CG269" s="582"/>
      <c r="CH269" s="582"/>
      <c r="CI269" s="611">
        <f>CI265</f>
        <v>5000</v>
      </c>
      <c r="CJ269" s="560"/>
      <c r="CK269" s="560"/>
      <c r="CL269" s="560"/>
      <c r="CM269" s="560"/>
      <c r="CN269" s="560"/>
      <c r="CO269" s="560"/>
      <c r="CP269" s="560"/>
      <c r="CQ269" s="560"/>
      <c r="CR269" s="560"/>
      <c r="CS269" s="560"/>
      <c r="CT269" s="560"/>
      <c r="CU269" s="560"/>
      <c r="CV269" s="560"/>
      <c r="CW269" s="560"/>
      <c r="CX269" s="560"/>
      <c r="CY269" s="560"/>
      <c r="CZ269" s="560"/>
      <c r="DA269" s="220"/>
    </row>
    <row r="270" spans="1:105" s="16" customFormat="1" ht="15" customHeight="1" x14ac:dyDescent="0.3">
      <c r="A270" s="221"/>
      <c r="B270" s="221"/>
      <c r="C270" s="221"/>
      <c r="D270" s="221"/>
      <c r="E270" s="221"/>
      <c r="F270" s="221"/>
      <c r="G270" s="221"/>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14"/>
    </row>
    <row r="271" spans="1:105" s="20" customFormat="1" hidden="1" x14ac:dyDescent="0.25">
      <c r="A271" s="594" t="s">
        <v>282</v>
      </c>
      <c r="B271" s="594"/>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4"/>
      <c r="AL271" s="594"/>
      <c r="AM271" s="594"/>
      <c r="AN271" s="594"/>
      <c r="AO271" s="594"/>
      <c r="AP271" s="594"/>
      <c r="AQ271" s="594"/>
      <c r="AR271" s="594"/>
      <c r="AS271" s="594"/>
      <c r="AT271" s="594"/>
      <c r="AU271" s="594"/>
      <c r="AV271" s="594"/>
      <c r="AW271" s="594"/>
      <c r="AX271" s="594"/>
      <c r="AY271" s="594"/>
      <c r="AZ271" s="594"/>
      <c r="BA271" s="594"/>
      <c r="BB271" s="594"/>
      <c r="BC271" s="594"/>
      <c r="BD271" s="594"/>
      <c r="BE271" s="594"/>
      <c r="BF271" s="594"/>
      <c r="BG271" s="594"/>
      <c r="BH271" s="594"/>
      <c r="BI271" s="594"/>
      <c r="BJ271" s="594"/>
      <c r="BK271" s="594"/>
      <c r="BL271" s="594"/>
      <c r="BM271" s="594"/>
      <c r="BN271" s="594"/>
      <c r="BO271" s="594"/>
      <c r="BP271" s="594"/>
      <c r="BQ271" s="594"/>
      <c r="BR271" s="594"/>
      <c r="BS271" s="594"/>
      <c r="BT271" s="594"/>
      <c r="BU271" s="594"/>
      <c r="BV271" s="594"/>
      <c r="BW271" s="594"/>
      <c r="BX271" s="594"/>
      <c r="BY271" s="594"/>
      <c r="BZ271" s="594"/>
      <c r="CA271" s="594"/>
      <c r="CB271" s="594"/>
      <c r="CC271" s="594"/>
      <c r="CD271" s="594"/>
      <c r="CE271" s="594"/>
      <c r="CF271" s="594"/>
      <c r="CG271" s="594"/>
      <c r="CH271" s="594"/>
      <c r="CI271" s="594"/>
      <c r="CJ271" s="594"/>
      <c r="CK271" s="594"/>
      <c r="CL271" s="594"/>
      <c r="CM271" s="594"/>
      <c r="CN271" s="594"/>
      <c r="CO271" s="594"/>
      <c r="CP271" s="594"/>
      <c r="CQ271" s="594"/>
      <c r="CR271" s="594"/>
      <c r="CS271" s="594"/>
      <c r="CT271" s="594"/>
      <c r="CU271" s="594"/>
      <c r="CV271" s="594"/>
      <c r="CW271" s="594"/>
      <c r="CX271" s="594"/>
      <c r="CY271" s="594"/>
      <c r="CZ271" s="594"/>
    </row>
    <row r="272" spans="1:105" ht="6" hidden="1" customHeight="1" x14ac:dyDescent="0.25"/>
    <row r="273" spans="1:105" s="20" customFormat="1" hidden="1" x14ac:dyDescent="0.25">
      <c r="A273" s="20" t="s">
        <v>47</v>
      </c>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95"/>
      <c r="AS273" s="595"/>
      <c r="AT273" s="595"/>
      <c r="AU273" s="595"/>
      <c r="AV273" s="595"/>
      <c r="AW273" s="595"/>
      <c r="AX273" s="595"/>
      <c r="AY273" s="595"/>
      <c r="AZ273" s="595"/>
      <c r="BA273" s="595"/>
      <c r="BB273" s="595"/>
      <c r="BC273" s="595"/>
      <c r="BD273" s="595"/>
      <c r="BE273" s="595"/>
      <c r="BF273" s="595"/>
      <c r="BG273" s="595"/>
      <c r="BH273" s="595"/>
      <c r="BI273" s="595"/>
      <c r="BJ273" s="595"/>
      <c r="BK273" s="595"/>
      <c r="BL273" s="595"/>
      <c r="BM273" s="595"/>
      <c r="BN273" s="595"/>
      <c r="BO273" s="595"/>
      <c r="BP273" s="595"/>
      <c r="BQ273" s="595"/>
      <c r="BR273" s="595"/>
      <c r="BS273" s="595"/>
      <c r="BT273" s="595"/>
      <c r="BU273" s="595"/>
      <c r="BV273" s="595"/>
      <c r="BW273" s="595"/>
      <c r="BX273" s="595"/>
      <c r="BY273" s="595"/>
      <c r="BZ273" s="595"/>
      <c r="CA273" s="595"/>
      <c r="CB273" s="595"/>
      <c r="CC273" s="595"/>
      <c r="CD273" s="595"/>
      <c r="CE273" s="595"/>
      <c r="CF273" s="595"/>
      <c r="CG273" s="595"/>
      <c r="CH273" s="595"/>
      <c r="CI273" s="595"/>
      <c r="CJ273" s="595"/>
      <c r="CK273" s="595"/>
      <c r="CL273" s="595"/>
      <c r="CM273" s="595"/>
      <c r="CN273" s="595"/>
      <c r="CO273" s="595"/>
      <c r="CP273" s="595"/>
      <c r="CQ273" s="595"/>
      <c r="CR273" s="595"/>
      <c r="CS273" s="595"/>
      <c r="CT273" s="595"/>
      <c r="CU273" s="595"/>
      <c r="CV273" s="595"/>
      <c r="CW273" s="595"/>
      <c r="CX273" s="595"/>
      <c r="CY273" s="595"/>
      <c r="CZ273" s="595"/>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75" t="s">
        <v>49</v>
      </c>
      <c r="B275" s="476"/>
      <c r="C275" s="476"/>
      <c r="D275" s="476"/>
      <c r="E275" s="476"/>
      <c r="F275" s="476"/>
      <c r="G275" s="477"/>
      <c r="H275" s="475" t="s">
        <v>0</v>
      </c>
      <c r="I275" s="476"/>
      <c r="J275" s="476"/>
      <c r="K275" s="476"/>
      <c r="L275" s="476"/>
      <c r="M275" s="476"/>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7"/>
      <c r="BC275" s="606" t="s">
        <v>75</v>
      </c>
      <c r="BD275" s="606"/>
      <c r="BE275" s="606"/>
      <c r="BF275" s="606"/>
      <c r="BG275" s="606"/>
      <c r="BH275" s="606"/>
      <c r="BI275" s="606"/>
      <c r="BJ275" s="606"/>
      <c r="BK275" s="606"/>
      <c r="BL275" s="606"/>
      <c r="BM275" s="606"/>
      <c r="BN275" s="606"/>
      <c r="BO275" s="606"/>
      <c r="BP275" s="606"/>
      <c r="BQ275" s="606"/>
      <c r="BR275" s="606"/>
      <c r="BS275" s="606" t="s">
        <v>76</v>
      </c>
      <c r="BT275" s="606"/>
      <c r="BU275" s="606"/>
      <c r="BV275" s="606"/>
      <c r="BW275" s="606"/>
      <c r="BX275" s="606"/>
      <c r="BY275" s="606"/>
      <c r="BZ275" s="606"/>
      <c r="CA275" s="606"/>
      <c r="CB275" s="606"/>
      <c r="CC275" s="606"/>
      <c r="CD275" s="606"/>
      <c r="CE275" s="606"/>
      <c r="CF275" s="606"/>
      <c r="CG275" s="606"/>
      <c r="CH275" s="606"/>
      <c r="CI275" s="606" t="s">
        <v>77</v>
      </c>
      <c r="CJ275" s="606"/>
      <c r="CK275" s="606"/>
      <c r="CL275" s="606"/>
      <c r="CM275" s="606"/>
      <c r="CN275" s="606"/>
      <c r="CO275" s="606"/>
      <c r="CP275" s="606"/>
      <c r="CQ275" s="606"/>
      <c r="CR275" s="606"/>
      <c r="CS275" s="606"/>
      <c r="CT275" s="606"/>
      <c r="CU275" s="606"/>
      <c r="CV275" s="606"/>
      <c r="CW275" s="606"/>
      <c r="CX275" s="606"/>
      <c r="CY275" s="606"/>
      <c r="CZ275" s="606"/>
      <c r="DA275" s="218"/>
    </row>
    <row r="276" spans="1:105" s="15" customFormat="1" ht="13.2" hidden="1" x14ac:dyDescent="0.3">
      <c r="A276" s="591">
        <v>1</v>
      </c>
      <c r="B276" s="591"/>
      <c r="C276" s="591"/>
      <c r="D276" s="591"/>
      <c r="E276" s="591"/>
      <c r="F276" s="591"/>
      <c r="G276" s="591"/>
      <c r="H276" s="591">
        <v>2</v>
      </c>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1"/>
      <c r="AL276" s="591"/>
      <c r="AM276" s="591"/>
      <c r="AN276" s="591"/>
      <c r="AO276" s="591"/>
      <c r="AP276" s="591"/>
      <c r="AQ276" s="591"/>
      <c r="AR276" s="591"/>
      <c r="AS276" s="591"/>
      <c r="AT276" s="591"/>
      <c r="AU276" s="591"/>
      <c r="AV276" s="591"/>
      <c r="AW276" s="591"/>
      <c r="AX276" s="591"/>
      <c r="AY276" s="591"/>
      <c r="AZ276" s="591"/>
      <c r="BA276" s="591"/>
      <c r="BB276" s="591"/>
      <c r="BC276" s="591">
        <v>3</v>
      </c>
      <c r="BD276" s="591"/>
      <c r="BE276" s="591"/>
      <c r="BF276" s="591"/>
      <c r="BG276" s="591"/>
      <c r="BH276" s="591"/>
      <c r="BI276" s="591"/>
      <c r="BJ276" s="591"/>
      <c r="BK276" s="591"/>
      <c r="BL276" s="591"/>
      <c r="BM276" s="591"/>
      <c r="BN276" s="591"/>
      <c r="BO276" s="591"/>
      <c r="BP276" s="591"/>
      <c r="BQ276" s="591"/>
      <c r="BR276" s="591"/>
      <c r="BS276" s="591">
        <v>4</v>
      </c>
      <c r="BT276" s="591"/>
      <c r="BU276" s="591"/>
      <c r="BV276" s="591"/>
      <c r="BW276" s="591"/>
      <c r="BX276" s="591"/>
      <c r="BY276" s="591"/>
      <c r="BZ276" s="591"/>
      <c r="CA276" s="591"/>
      <c r="CB276" s="591"/>
      <c r="CC276" s="591"/>
      <c r="CD276" s="591"/>
      <c r="CE276" s="591"/>
      <c r="CF276" s="591"/>
      <c r="CG276" s="591"/>
      <c r="CH276" s="591"/>
      <c r="CI276" s="591">
        <v>5</v>
      </c>
      <c r="CJ276" s="591"/>
      <c r="CK276" s="591"/>
      <c r="CL276" s="591"/>
      <c r="CM276" s="591"/>
      <c r="CN276" s="591"/>
      <c r="CO276" s="591"/>
      <c r="CP276" s="591"/>
      <c r="CQ276" s="591"/>
      <c r="CR276" s="591"/>
      <c r="CS276" s="591"/>
      <c r="CT276" s="591"/>
      <c r="CU276" s="591"/>
      <c r="CV276" s="591"/>
      <c r="CW276" s="591"/>
      <c r="CX276" s="591"/>
      <c r="CY276" s="591"/>
      <c r="CZ276" s="591"/>
      <c r="DA276" s="219"/>
    </row>
    <row r="277" spans="1:105" s="16" customFormat="1" ht="15" hidden="1" customHeight="1" x14ac:dyDescent="0.3">
      <c r="A277" s="648" t="s">
        <v>258</v>
      </c>
      <c r="B277" s="649"/>
      <c r="C277" s="649"/>
      <c r="D277" s="649"/>
      <c r="E277" s="649"/>
      <c r="F277" s="649"/>
      <c r="G277" s="649"/>
      <c r="H277" s="649"/>
      <c r="I277" s="649"/>
      <c r="J277" s="649"/>
      <c r="K277" s="649"/>
      <c r="L277" s="649"/>
      <c r="M277" s="649"/>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649"/>
      <c r="AL277" s="649"/>
      <c r="AM277" s="649"/>
      <c r="AN277" s="649"/>
      <c r="AO277" s="649"/>
      <c r="AP277" s="649"/>
      <c r="AQ277" s="649"/>
      <c r="AR277" s="649"/>
      <c r="AS277" s="649"/>
      <c r="AT277" s="649"/>
      <c r="AU277" s="649"/>
      <c r="AV277" s="649"/>
      <c r="AW277" s="649"/>
      <c r="AX277" s="649"/>
      <c r="AY277" s="649"/>
      <c r="AZ277" s="649"/>
      <c r="BA277" s="649"/>
      <c r="BB277" s="649"/>
      <c r="BC277" s="649"/>
      <c r="BD277" s="649"/>
      <c r="BE277" s="649"/>
      <c r="BF277" s="649"/>
      <c r="BG277" s="649"/>
      <c r="BH277" s="649"/>
      <c r="BI277" s="649"/>
      <c r="BJ277" s="649"/>
      <c r="BK277" s="649"/>
      <c r="BL277" s="649"/>
      <c r="BM277" s="649"/>
      <c r="BN277" s="649"/>
      <c r="BO277" s="649"/>
      <c r="BP277" s="649"/>
      <c r="BQ277" s="649"/>
      <c r="BR277" s="649"/>
      <c r="BS277" s="649"/>
      <c r="BT277" s="649"/>
      <c r="BU277" s="649"/>
      <c r="BV277" s="649"/>
      <c r="BW277" s="649"/>
      <c r="BX277" s="649"/>
      <c r="BY277" s="649"/>
      <c r="BZ277" s="649"/>
      <c r="CA277" s="649"/>
      <c r="CB277" s="649"/>
      <c r="CC277" s="649"/>
      <c r="CD277" s="649"/>
      <c r="CE277" s="649"/>
      <c r="CF277" s="649"/>
      <c r="CG277" s="649"/>
      <c r="CH277" s="649"/>
      <c r="CI277" s="649"/>
      <c r="CJ277" s="649"/>
      <c r="CK277" s="649"/>
      <c r="CL277" s="649"/>
      <c r="CM277" s="649"/>
      <c r="CN277" s="649"/>
      <c r="CO277" s="649"/>
      <c r="CP277" s="649"/>
      <c r="CQ277" s="649"/>
      <c r="CR277" s="649"/>
      <c r="CS277" s="649"/>
      <c r="CT277" s="649"/>
      <c r="CU277" s="649"/>
      <c r="CV277" s="649"/>
      <c r="CW277" s="649"/>
      <c r="CX277" s="649"/>
      <c r="CY277" s="649"/>
      <c r="CZ277" s="649"/>
      <c r="DA277" s="214"/>
    </row>
    <row r="278" spans="1:105" s="16" customFormat="1" ht="15" hidden="1" customHeight="1" x14ac:dyDescent="0.3">
      <c r="A278" s="630"/>
      <c r="B278" s="631"/>
      <c r="C278" s="631"/>
      <c r="D278" s="631"/>
      <c r="E278" s="631"/>
      <c r="F278" s="631"/>
      <c r="G278" s="632"/>
      <c r="H278" s="584"/>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5"/>
      <c r="AL278" s="585"/>
      <c r="AM278" s="585"/>
      <c r="AN278" s="585"/>
      <c r="AO278" s="585"/>
      <c r="AP278" s="585"/>
      <c r="AQ278" s="585"/>
      <c r="AR278" s="585"/>
      <c r="AS278" s="585"/>
      <c r="AT278" s="585"/>
      <c r="AU278" s="585"/>
      <c r="AV278" s="585"/>
      <c r="AW278" s="585"/>
      <c r="AX278" s="585"/>
      <c r="AY278" s="585"/>
      <c r="AZ278" s="585"/>
      <c r="BA278" s="585"/>
      <c r="BB278" s="586"/>
      <c r="BC278" s="544"/>
      <c r="BD278" s="545"/>
      <c r="BE278" s="545"/>
      <c r="BF278" s="545"/>
      <c r="BG278" s="545"/>
      <c r="BH278" s="545"/>
      <c r="BI278" s="545"/>
      <c r="BJ278" s="545"/>
      <c r="BK278" s="545"/>
      <c r="BL278" s="545"/>
      <c r="BM278" s="545"/>
      <c r="BN278" s="545"/>
      <c r="BO278" s="545"/>
      <c r="BP278" s="545"/>
      <c r="BQ278" s="545"/>
      <c r="BR278" s="546"/>
      <c r="BS278" s="544"/>
      <c r="BT278" s="545"/>
      <c r="BU278" s="545"/>
      <c r="BV278" s="545"/>
      <c r="BW278" s="545"/>
      <c r="BX278" s="545"/>
      <c r="BY278" s="545"/>
      <c r="BZ278" s="545"/>
      <c r="CA278" s="545"/>
      <c r="CB278" s="545"/>
      <c r="CC278" s="545"/>
      <c r="CD278" s="545"/>
      <c r="CE278" s="545"/>
      <c r="CF278" s="545"/>
      <c r="CG278" s="545"/>
      <c r="CH278" s="546"/>
      <c r="CI278" s="544"/>
      <c r="CJ278" s="545"/>
      <c r="CK278" s="545"/>
      <c r="CL278" s="545"/>
      <c r="CM278" s="545"/>
      <c r="CN278" s="545"/>
      <c r="CO278" s="545"/>
      <c r="CP278" s="545"/>
      <c r="CQ278" s="545"/>
      <c r="CR278" s="545"/>
      <c r="CS278" s="545"/>
      <c r="CT278" s="545"/>
      <c r="CU278" s="545"/>
      <c r="CV278" s="545"/>
      <c r="CW278" s="545"/>
      <c r="CX278" s="545"/>
      <c r="CY278" s="545"/>
      <c r="CZ278" s="546"/>
      <c r="DA278" s="214"/>
    </row>
    <row r="279" spans="1:105" s="16" customFormat="1" ht="15" hidden="1" customHeight="1" x14ac:dyDescent="0.3">
      <c r="A279" s="633" t="s">
        <v>292</v>
      </c>
      <c r="B279" s="634"/>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34"/>
      <c r="AL279" s="634"/>
      <c r="AM279" s="634"/>
      <c r="AN279" s="634"/>
      <c r="AO279" s="634"/>
      <c r="AP279" s="634"/>
      <c r="AQ279" s="634"/>
      <c r="AR279" s="634"/>
      <c r="AS279" s="634"/>
      <c r="AT279" s="634"/>
      <c r="AU279" s="634"/>
      <c r="AV279" s="634"/>
      <c r="AW279" s="634"/>
      <c r="AX279" s="634"/>
      <c r="AY279" s="634"/>
      <c r="AZ279" s="634"/>
      <c r="BA279" s="634"/>
      <c r="BB279" s="635"/>
      <c r="BC279" s="544" t="s">
        <v>4</v>
      </c>
      <c r="BD279" s="545"/>
      <c r="BE279" s="545"/>
      <c r="BF279" s="545"/>
      <c r="BG279" s="545"/>
      <c r="BH279" s="545"/>
      <c r="BI279" s="545"/>
      <c r="BJ279" s="545"/>
      <c r="BK279" s="545"/>
      <c r="BL279" s="545"/>
      <c r="BM279" s="545"/>
      <c r="BN279" s="545"/>
      <c r="BO279" s="545"/>
      <c r="BP279" s="545"/>
      <c r="BQ279" s="545"/>
      <c r="BR279" s="546"/>
      <c r="BS279" s="544" t="s">
        <v>4</v>
      </c>
      <c r="BT279" s="545"/>
      <c r="BU279" s="545"/>
      <c r="BV279" s="545"/>
      <c r="BW279" s="545"/>
      <c r="BX279" s="545"/>
      <c r="BY279" s="545"/>
      <c r="BZ279" s="545"/>
      <c r="CA279" s="545"/>
      <c r="CB279" s="545"/>
      <c r="CC279" s="545"/>
      <c r="CD279" s="545"/>
      <c r="CE279" s="545"/>
      <c r="CF279" s="545"/>
      <c r="CG279" s="545"/>
      <c r="CH279" s="546"/>
      <c r="CI279" s="544"/>
      <c r="CJ279" s="545"/>
      <c r="CK279" s="545"/>
      <c r="CL279" s="545"/>
      <c r="CM279" s="545"/>
      <c r="CN279" s="545"/>
      <c r="CO279" s="545"/>
      <c r="CP279" s="545"/>
      <c r="CQ279" s="545"/>
      <c r="CR279" s="545"/>
      <c r="CS279" s="545"/>
      <c r="CT279" s="545"/>
      <c r="CU279" s="545"/>
      <c r="CV279" s="545"/>
      <c r="CW279" s="545"/>
      <c r="CX279" s="545"/>
      <c r="CY279" s="545"/>
      <c r="CZ279" s="546"/>
      <c r="DA279" s="214"/>
    </row>
    <row r="280" spans="1:105" s="16" customFormat="1" ht="15" hidden="1" customHeight="1" x14ac:dyDescent="0.3">
      <c r="A280" s="648" t="s">
        <v>258</v>
      </c>
      <c r="B280" s="649"/>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649"/>
      <c r="AM280" s="649"/>
      <c r="AN280" s="649"/>
      <c r="AO280" s="649"/>
      <c r="AP280" s="649"/>
      <c r="AQ280" s="649"/>
      <c r="AR280" s="649"/>
      <c r="AS280" s="649"/>
      <c r="AT280" s="649"/>
      <c r="AU280" s="649"/>
      <c r="AV280" s="649"/>
      <c r="AW280" s="649"/>
      <c r="AX280" s="649"/>
      <c r="AY280" s="649"/>
      <c r="AZ280" s="649"/>
      <c r="BA280" s="649"/>
      <c r="BB280" s="649"/>
      <c r="BC280" s="649"/>
      <c r="BD280" s="649"/>
      <c r="BE280" s="649"/>
      <c r="BF280" s="649"/>
      <c r="BG280" s="649"/>
      <c r="BH280" s="649"/>
      <c r="BI280" s="649"/>
      <c r="BJ280" s="649"/>
      <c r="BK280" s="649"/>
      <c r="BL280" s="649"/>
      <c r="BM280" s="649"/>
      <c r="BN280" s="649"/>
      <c r="BO280" s="649"/>
      <c r="BP280" s="649"/>
      <c r="BQ280" s="649"/>
      <c r="BR280" s="649"/>
      <c r="BS280" s="649"/>
      <c r="BT280" s="649"/>
      <c r="BU280" s="649"/>
      <c r="BV280" s="649"/>
      <c r="BW280" s="649"/>
      <c r="BX280" s="649"/>
      <c r="BY280" s="649"/>
      <c r="BZ280" s="649"/>
      <c r="CA280" s="649"/>
      <c r="CB280" s="649"/>
      <c r="CC280" s="649"/>
      <c r="CD280" s="649"/>
      <c r="CE280" s="649"/>
      <c r="CF280" s="649"/>
      <c r="CG280" s="649"/>
      <c r="CH280" s="649"/>
      <c r="CI280" s="649"/>
      <c r="CJ280" s="649"/>
      <c r="CK280" s="649"/>
      <c r="CL280" s="649"/>
      <c r="CM280" s="649"/>
      <c r="CN280" s="649"/>
      <c r="CO280" s="649"/>
      <c r="CP280" s="649"/>
      <c r="CQ280" s="649"/>
      <c r="CR280" s="649"/>
      <c r="CS280" s="649"/>
      <c r="CT280" s="649"/>
      <c r="CU280" s="649"/>
      <c r="CV280" s="649"/>
      <c r="CW280" s="649"/>
      <c r="CX280" s="649"/>
      <c r="CY280" s="649"/>
      <c r="CZ280" s="649"/>
      <c r="DA280" s="214"/>
    </row>
    <row r="281" spans="1:105" s="16" customFormat="1" ht="15" hidden="1" customHeight="1" x14ac:dyDescent="0.3">
      <c r="A281" s="630"/>
      <c r="B281" s="631"/>
      <c r="C281" s="631"/>
      <c r="D281" s="631"/>
      <c r="E281" s="631"/>
      <c r="F281" s="631"/>
      <c r="G281" s="632"/>
      <c r="H281" s="584"/>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5"/>
      <c r="AL281" s="585"/>
      <c r="AM281" s="585"/>
      <c r="AN281" s="585"/>
      <c r="AO281" s="585"/>
      <c r="AP281" s="585"/>
      <c r="AQ281" s="585"/>
      <c r="AR281" s="585"/>
      <c r="AS281" s="585"/>
      <c r="AT281" s="585"/>
      <c r="AU281" s="585"/>
      <c r="AV281" s="585"/>
      <c r="AW281" s="585"/>
      <c r="AX281" s="585"/>
      <c r="AY281" s="585"/>
      <c r="AZ281" s="585"/>
      <c r="BA281" s="585"/>
      <c r="BB281" s="586"/>
      <c r="BC281" s="544"/>
      <c r="BD281" s="545"/>
      <c r="BE281" s="545"/>
      <c r="BF281" s="545"/>
      <c r="BG281" s="545"/>
      <c r="BH281" s="545"/>
      <c r="BI281" s="545"/>
      <c r="BJ281" s="545"/>
      <c r="BK281" s="545"/>
      <c r="BL281" s="545"/>
      <c r="BM281" s="545"/>
      <c r="BN281" s="545"/>
      <c r="BO281" s="545"/>
      <c r="BP281" s="545"/>
      <c r="BQ281" s="545"/>
      <c r="BR281" s="546"/>
      <c r="BS281" s="544"/>
      <c r="BT281" s="545"/>
      <c r="BU281" s="545"/>
      <c r="BV281" s="545"/>
      <c r="BW281" s="545"/>
      <c r="BX281" s="545"/>
      <c r="BY281" s="545"/>
      <c r="BZ281" s="545"/>
      <c r="CA281" s="545"/>
      <c r="CB281" s="545"/>
      <c r="CC281" s="545"/>
      <c r="CD281" s="545"/>
      <c r="CE281" s="545"/>
      <c r="CF281" s="545"/>
      <c r="CG281" s="545"/>
      <c r="CH281" s="546"/>
      <c r="CI281" s="544"/>
      <c r="CJ281" s="545"/>
      <c r="CK281" s="545"/>
      <c r="CL281" s="545"/>
      <c r="CM281" s="545"/>
      <c r="CN281" s="545"/>
      <c r="CO281" s="545"/>
      <c r="CP281" s="545"/>
      <c r="CQ281" s="545"/>
      <c r="CR281" s="545"/>
      <c r="CS281" s="545"/>
      <c r="CT281" s="545"/>
      <c r="CU281" s="545"/>
      <c r="CV281" s="545"/>
      <c r="CW281" s="545"/>
      <c r="CX281" s="545"/>
      <c r="CY281" s="545"/>
      <c r="CZ281" s="546"/>
      <c r="DA281" s="214"/>
    </row>
    <row r="282" spans="1:105" s="16" customFormat="1" ht="15" hidden="1" customHeight="1" x14ac:dyDescent="0.3">
      <c r="A282" s="633" t="s">
        <v>292</v>
      </c>
      <c r="B282" s="634"/>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4"/>
      <c r="AL282" s="634"/>
      <c r="AM282" s="634"/>
      <c r="AN282" s="634"/>
      <c r="AO282" s="634"/>
      <c r="AP282" s="634"/>
      <c r="AQ282" s="634"/>
      <c r="AR282" s="634"/>
      <c r="AS282" s="634"/>
      <c r="AT282" s="634"/>
      <c r="AU282" s="634"/>
      <c r="AV282" s="634"/>
      <c r="AW282" s="634"/>
      <c r="AX282" s="634"/>
      <c r="AY282" s="634"/>
      <c r="AZ282" s="634"/>
      <c r="BA282" s="634"/>
      <c r="BB282" s="635"/>
      <c r="BC282" s="544" t="s">
        <v>4</v>
      </c>
      <c r="BD282" s="545"/>
      <c r="BE282" s="545"/>
      <c r="BF282" s="545"/>
      <c r="BG282" s="545"/>
      <c r="BH282" s="545"/>
      <c r="BI282" s="545"/>
      <c r="BJ282" s="545"/>
      <c r="BK282" s="545"/>
      <c r="BL282" s="545"/>
      <c r="BM282" s="545"/>
      <c r="BN282" s="545"/>
      <c r="BO282" s="545"/>
      <c r="BP282" s="545"/>
      <c r="BQ282" s="545"/>
      <c r="BR282" s="546"/>
      <c r="BS282" s="544" t="s">
        <v>4</v>
      </c>
      <c r="BT282" s="545"/>
      <c r="BU282" s="545"/>
      <c r="BV282" s="545"/>
      <c r="BW282" s="545"/>
      <c r="BX282" s="545"/>
      <c r="BY282" s="545"/>
      <c r="BZ282" s="545"/>
      <c r="CA282" s="545"/>
      <c r="CB282" s="545"/>
      <c r="CC282" s="545"/>
      <c r="CD282" s="545"/>
      <c r="CE282" s="545"/>
      <c r="CF282" s="545"/>
      <c r="CG282" s="545"/>
      <c r="CH282" s="546"/>
      <c r="CI282" s="544"/>
      <c r="CJ282" s="545"/>
      <c r="CK282" s="545"/>
      <c r="CL282" s="545"/>
      <c r="CM282" s="545"/>
      <c r="CN282" s="545"/>
      <c r="CO282" s="545"/>
      <c r="CP282" s="545"/>
      <c r="CQ282" s="545"/>
      <c r="CR282" s="545"/>
      <c r="CS282" s="545"/>
      <c r="CT282" s="545"/>
      <c r="CU282" s="545"/>
      <c r="CV282" s="545"/>
      <c r="CW282" s="545"/>
      <c r="CX282" s="545"/>
      <c r="CY282" s="545"/>
      <c r="CZ282" s="546"/>
      <c r="DA282" s="214"/>
    </row>
    <row r="283" spans="1:105" s="16" customFormat="1" ht="15" hidden="1" customHeight="1" x14ac:dyDescent="0.3">
      <c r="A283" s="553" t="s">
        <v>56</v>
      </c>
      <c r="B283" s="554"/>
      <c r="C283" s="554"/>
      <c r="D283" s="554"/>
      <c r="E283" s="554"/>
      <c r="F283" s="554"/>
      <c r="G283" s="554"/>
      <c r="H283" s="554"/>
      <c r="I283" s="554"/>
      <c r="J283" s="554"/>
      <c r="K283" s="554"/>
      <c r="L283" s="554"/>
      <c r="M283" s="554"/>
      <c r="N283" s="554"/>
      <c r="O283" s="554"/>
      <c r="P283" s="554"/>
      <c r="Q283" s="554"/>
      <c r="R283" s="554"/>
      <c r="S283" s="554"/>
      <c r="T283" s="554"/>
      <c r="U283" s="554"/>
      <c r="V283" s="554"/>
      <c r="W283" s="554"/>
      <c r="X283" s="554"/>
      <c r="Y283" s="554"/>
      <c r="Z283" s="554"/>
      <c r="AA283" s="554"/>
      <c r="AB283" s="554"/>
      <c r="AC283" s="554"/>
      <c r="AD283" s="554"/>
      <c r="AE283" s="554"/>
      <c r="AF283" s="554"/>
      <c r="AG283" s="554"/>
      <c r="AH283" s="554"/>
      <c r="AI283" s="554"/>
      <c r="AJ283" s="554"/>
      <c r="AK283" s="554"/>
      <c r="AL283" s="554"/>
      <c r="AM283" s="554"/>
      <c r="AN283" s="554"/>
      <c r="AO283" s="554"/>
      <c r="AP283" s="554"/>
      <c r="AQ283" s="554"/>
      <c r="AR283" s="554"/>
      <c r="AS283" s="554"/>
      <c r="AT283" s="554"/>
      <c r="AU283" s="554"/>
      <c r="AV283" s="554"/>
      <c r="AW283" s="554"/>
      <c r="AX283" s="554"/>
      <c r="AY283" s="554"/>
      <c r="AZ283" s="554"/>
      <c r="BA283" s="554"/>
      <c r="BB283" s="555"/>
      <c r="BC283" s="582" t="s">
        <v>4</v>
      </c>
      <c r="BD283" s="582"/>
      <c r="BE283" s="582"/>
      <c r="BF283" s="582"/>
      <c r="BG283" s="582"/>
      <c r="BH283" s="582"/>
      <c r="BI283" s="582"/>
      <c r="BJ283" s="582"/>
      <c r="BK283" s="582"/>
      <c r="BL283" s="582"/>
      <c r="BM283" s="582"/>
      <c r="BN283" s="582"/>
      <c r="BO283" s="582"/>
      <c r="BP283" s="582"/>
      <c r="BQ283" s="582"/>
      <c r="BR283" s="582"/>
      <c r="BS283" s="582" t="s">
        <v>4</v>
      </c>
      <c r="BT283" s="582"/>
      <c r="BU283" s="582"/>
      <c r="BV283" s="582"/>
      <c r="BW283" s="582"/>
      <c r="BX283" s="582"/>
      <c r="BY283" s="582"/>
      <c r="BZ283" s="582"/>
      <c r="CA283" s="582"/>
      <c r="CB283" s="582"/>
      <c r="CC283" s="582"/>
      <c r="CD283" s="582"/>
      <c r="CE283" s="582"/>
      <c r="CF283" s="582"/>
      <c r="CG283" s="582"/>
      <c r="CH283" s="582"/>
      <c r="CI283" s="582"/>
      <c r="CJ283" s="582"/>
      <c r="CK283" s="582"/>
      <c r="CL283" s="582"/>
      <c r="CM283" s="582"/>
      <c r="CN283" s="582"/>
      <c r="CO283" s="582"/>
      <c r="CP283" s="582"/>
      <c r="CQ283" s="582"/>
      <c r="CR283" s="582"/>
      <c r="CS283" s="582"/>
      <c r="CT283" s="582"/>
      <c r="CU283" s="582"/>
      <c r="CV283" s="582"/>
      <c r="CW283" s="582"/>
      <c r="CX283" s="582"/>
      <c r="CY283" s="582"/>
      <c r="CZ283" s="582"/>
      <c r="DA283" s="214"/>
    </row>
    <row r="284" spans="1:105" s="16" customFormat="1" ht="15" hidden="1" customHeight="1" x14ac:dyDescent="0.3">
      <c r="A284" s="221"/>
      <c r="B284" s="221"/>
      <c r="C284" s="221"/>
      <c r="D284" s="221"/>
      <c r="E284" s="221"/>
      <c r="F284" s="221"/>
      <c r="G284" s="221"/>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14"/>
    </row>
    <row r="285" spans="1:105" s="20" customFormat="1" ht="27" hidden="1" customHeight="1" x14ac:dyDescent="0.25">
      <c r="A285" s="524" t="s">
        <v>283</v>
      </c>
      <c r="B285" s="524"/>
      <c r="C285" s="524"/>
      <c r="D285" s="524"/>
      <c r="E285" s="524"/>
      <c r="F285" s="524"/>
      <c r="G285" s="524"/>
      <c r="H285" s="524"/>
      <c r="I285" s="524"/>
      <c r="J285" s="524"/>
      <c r="K285" s="524"/>
      <c r="L285" s="524"/>
      <c r="M285" s="524"/>
      <c r="N285" s="524"/>
      <c r="O285" s="524"/>
      <c r="P285" s="524"/>
      <c r="Q285" s="524"/>
      <c r="R285" s="524"/>
      <c r="S285" s="524"/>
      <c r="T285" s="524"/>
      <c r="U285" s="524"/>
      <c r="V285" s="524"/>
      <c r="W285" s="524"/>
      <c r="X285" s="524"/>
      <c r="Y285" s="524"/>
      <c r="Z285" s="524"/>
      <c r="AA285" s="524"/>
      <c r="AB285" s="524"/>
      <c r="AC285" s="524"/>
      <c r="AD285" s="524"/>
      <c r="AE285" s="524"/>
      <c r="AF285" s="524"/>
      <c r="AG285" s="524"/>
      <c r="AH285" s="524"/>
      <c r="AI285" s="524"/>
      <c r="AJ285" s="524"/>
      <c r="AK285" s="524"/>
      <c r="AL285" s="524"/>
      <c r="AM285" s="524"/>
      <c r="AN285" s="524"/>
      <c r="AO285" s="524"/>
      <c r="AP285" s="524"/>
      <c r="AQ285" s="524"/>
      <c r="AR285" s="524"/>
      <c r="AS285" s="524"/>
      <c r="AT285" s="524"/>
      <c r="AU285" s="524"/>
      <c r="AV285" s="524"/>
      <c r="AW285" s="524"/>
      <c r="AX285" s="524"/>
      <c r="AY285" s="524"/>
      <c r="AZ285" s="524"/>
      <c r="BA285" s="524"/>
      <c r="BB285" s="524"/>
      <c r="BC285" s="524"/>
      <c r="BD285" s="524"/>
      <c r="BE285" s="524"/>
      <c r="BF285" s="524"/>
      <c r="BG285" s="524"/>
      <c r="BH285" s="524"/>
      <c r="BI285" s="524"/>
      <c r="BJ285" s="524"/>
      <c r="BK285" s="524"/>
      <c r="BL285" s="524"/>
      <c r="BM285" s="524"/>
      <c r="BN285" s="524"/>
      <c r="BO285" s="524"/>
      <c r="BP285" s="524"/>
      <c r="BQ285" s="524"/>
      <c r="BR285" s="524"/>
      <c r="BS285" s="524"/>
      <c r="BT285" s="524"/>
      <c r="BU285" s="524"/>
      <c r="BV285" s="524"/>
      <c r="BW285" s="524"/>
      <c r="BX285" s="524"/>
      <c r="BY285" s="524"/>
      <c r="BZ285" s="524"/>
      <c r="CA285" s="524"/>
      <c r="CB285" s="524"/>
      <c r="CC285" s="524"/>
      <c r="CD285" s="524"/>
      <c r="CE285" s="524"/>
      <c r="CF285" s="524"/>
      <c r="CG285" s="524"/>
      <c r="CH285" s="524"/>
      <c r="CI285" s="524"/>
      <c r="CJ285" s="524"/>
      <c r="CK285" s="524"/>
      <c r="CL285" s="524"/>
      <c r="CM285" s="524"/>
      <c r="CN285" s="524"/>
      <c r="CO285" s="524"/>
      <c r="CP285" s="524"/>
      <c r="CQ285" s="524"/>
      <c r="CR285" s="524"/>
      <c r="CS285" s="524"/>
      <c r="CT285" s="524"/>
      <c r="CU285" s="524"/>
      <c r="CV285" s="524"/>
      <c r="CW285" s="524"/>
      <c r="CX285" s="524"/>
      <c r="CY285" s="524"/>
      <c r="CZ285" s="524"/>
    </row>
    <row r="286" spans="1:105" ht="6" hidden="1" customHeight="1" x14ac:dyDescent="0.25"/>
    <row r="287" spans="1:105" s="20" customFormat="1" hidden="1" x14ac:dyDescent="0.25">
      <c r="A287" s="20" t="s">
        <v>47</v>
      </c>
      <c r="W287" s="595" t="s">
        <v>856</v>
      </c>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595"/>
      <c r="CB287" s="595"/>
      <c r="CC287" s="595"/>
      <c r="CD287" s="595"/>
      <c r="CE287" s="595"/>
      <c r="CF287" s="595"/>
      <c r="CG287" s="595"/>
      <c r="CH287" s="595"/>
      <c r="CI287" s="595"/>
      <c r="CJ287" s="595"/>
      <c r="CK287" s="595"/>
      <c r="CL287" s="595"/>
      <c r="CM287" s="595"/>
      <c r="CN287" s="595"/>
      <c r="CO287" s="595"/>
      <c r="CP287" s="595"/>
      <c r="CQ287" s="595"/>
      <c r="CR287" s="595"/>
      <c r="CS287" s="595"/>
      <c r="CT287" s="595"/>
      <c r="CU287" s="595"/>
      <c r="CV287" s="595"/>
      <c r="CW287" s="595"/>
      <c r="CX287" s="595"/>
      <c r="CY287" s="595"/>
      <c r="CZ287" s="595"/>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6" t="s">
        <v>49</v>
      </c>
      <c r="B289" s="606"/>
      <c r="C289" s="606"/>
      <c r="D289" s="606"/>
      <c r="E289" s="606"/>
      <c r="F289" s="606"/>
      <c r="G289" s="606"/>
      <c r="H289" s="606" t="s">
        <v>0</v>
      </c>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6"/>
      <c r="AL289" s="606"/>
      <c r="AM289" s="606"/>
      <c r="AN289" s="606"/>
      <c r="AO289" s="606"/>
      <c r="AP289" s="606"/>
      <c r="AQ289" s="606"/>
      <c r="AR289" s="606"/>
      <c r="AS289" s="606"/>
      <c r="AT289" s="606"/>
      <c r="AU289" s="606"/>
      <c r="AV289" s="606"/>
      <c r="AW289" s="606"/>
      <c r="AX289" s="606"/>
      <c r="AY289" s="606"/>
      <c r="AZ289" s="606"/>
      <c r="BA289" s="606"/>
      <c r="BB289" s="606"/>
      <c r="BC289" s="606" t="s">
        <v>75</v>
      </c>
      <c r="BD289" s="606"/>
      <c r="BE289" s="606"/>
      <c r="BF289" s="606"/>
      <c r="BG289" s="606"/>
      <c r="BH289" s="606"/>
      <c r="BI289" s="606"/>
      <c r="BJ289" s="606"/>
      <c r="BK289" s="606"/>
      <c r="BL289" s="606"/>
      <c r="BM289" s="606"/>
      <c r="BN289" s="606"/>
      <c r="BO289" s="606"/>
      <c r="BP289" s="606"/>
      <c r="BQ289" s="606"/>
      <c r="BR289" s="606"/>
      <c r="BS289" s="606" t="s">
        <v>76</v>
      </c>
      <c r="BT289" s="606"/>
      <c r="BU289" s="606"/>
      <c r="BV289" s="606"/>
      <c r="BW289" s="606"/>
      <c r="BX289" s="606"/>
      <c r="BY289" s="606"/>
      <c r="BZ289" s="606"/>
      <c r="CA289" s="606"/>
      <c r="CB289" s="606"/>
      <c r="CC289" s="606"/>
      <c r="CD289" s="606"/>
      <c r="CE289" s="606"/>
      <c r="CF289" s="606"/>
      <c r="CG289" s="606"/>
      <c r="CH289" s="606"/>
      <c r="CI289" s="606" t="s">
        <v>77</v>
      </c>
      <c r="CJ289" s="606"/>
      <c r="CK289" s="606"/>
      <c r="CL289" s="606"/>
      <c r="CM289" s="606"/>
      <c r="CN289" s="606"/>
      <c r="CO289" s="606"/>
      <c r="CP289" s="606"/>
      <c r="CQ289" s="606"/>
      <c r="CR289" s="606"/>
      <c r="CS289" s="606"/>
      <c r="CT289" s="606"/>
      <c r="CU289" s="606"/>
      <c r="CV289" s="606"/>
      <c r="CW289" s="606"/>
      <c r="CX289" s="606"/>
      <c r="CY289" s="606"/>
      <c r="CZ289" s="606"/>
      <c r="DA289" s="218"/>
    </row>
    <row r="290" spans="1:105" s="15" customFormat="1" ht="13.2" hidden="1" x14ac:dyDescent="0.3">
      <c r="A290" s="591">
        <v>1</v>
      </c>
      <c r="B290" s="591"/>
      <c r="C290" s="591"/>
      <c r="D290" s="591"/>
      <c r="E290" s="591"/>
      <c r="F290" s="591"/>
      <c r="G290" s="591"/>
      <c r="H290" s="591">
        <v>2</v>
      </c>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1"/>
      <c r="AL290" s="591"/>
      <c r="AM290" s="591"/>
      <c r="AN290" s="591"/>
      <c r="AO290" s="591"/>
      <c r="AP290" s="591"/>
      <c r="AQ290" s="591"/>
      <c r="AR290" s="591"/>
      <c r="AS290" s="591"/>
      <c r="AT290" s="591"/>
      <c r="AU290" s="591"/>
      <c r="AV290" s="591"/>
      <c r="AW290" s="591"/>
      <c r="AX290" s="591"/>
      <c r="AY290" s="591"/>
      <c r="AZ290" s="591"/>
      <c r="BA290" s="591"/>
      <c r="BB290" s="591"/>
      <c r="BC290" s="591">
        <v>3</v>
      </c>
      <c r="BD290" s="591"/>
      <c r="BE290" s="591"/>
      <c r="BF290" s="591"/>
      <c r="BG290" s="591"/>
      <c r="BH290" s="591"/>
      <c r="BI290" s="591"/>
      <c r="BJ290" s="591"/>
      <c r="BK290" s="591"/>
      <c r="BL290" s="591"/>
      <c r="BM290" s="591"/>
      <c r="BN290" s="591"/>
      <c r="BO290" s="591"/>
      <c r="BP290" s="591"/>
      <c r="BQ290" s="591"/>
      <c r="BR290" s="591"/>
      <c r="BS290" s="591">
        <v>4</v>
      </c>
      <c r="BT290" s="591"/>
      <c r="BU290" s="591"/>
      <c r="BV290" s="591"/>
      <c r="BW290" s="591"/>
      <c r="BX290" s="591"/>
      <c r="BY290" s="591"/>
      <c r="BZ290" s="591"/>
      <c r="CA290" s="591"/>
      <c r="CB290" s="591"/>
      <c r="CC290" s="591"/>
      <c r="CD290" s="591"/>
      <c r="CE290" s="591"/>
      <c r="CF290" s="591"/>
      <c r="CG290" s="591"/>
      <c r="CH290" s="591"/>
      <c r="CI290" s="591">
        <v>5</v>
      </c>
      <c r="CJ290" s="591"/>
      <c r="CK290" s="591"/>
      <c r="CL290" s="591"/>
      <c r="CM290" s="591"/>
      <c r="CN290" s="591"/>
      <c r="CO290" s="591"/>
      <c r="CP290" s="591"/>
      <c r="CQ290" s="591"/>
      <c r="CR290" s="591"/>
      <c r="CS290" s="591"/>
      <c r="CT290" s="591"/>
      <c r="CU290" s="591"/>
      <c r="CV290" s="591"/>
      <c r="CW290" s="591"/>
      <c r="CX290" s="591"/>
      <c r="CY290" s="591"/>
      <c r="CZ290" s="591"/>
      <c r="DA290" s="219"/>
    </row>
    <row r="291" spans="1:105" s="16" customFormat="1" ht="15" hidden="1" customHeight="1" x14ac:dyDescent="0.3">
      <c r="A291" s="648" t="s">
        <v>258</v>
      </c>
      <c r="B291" s="649"/>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9"/>
      <c r="AL291" s="649"/>
      <c r="AM291" s="649"/>
      <c r="AN291" s="649"/>
      <c r="AO291" s="649"/>
      <c r="AP291" s="649"/>
      <c r="AQ291" s="649"/>
      <c r="AR291" s="649"/>
      <c r="AS291" s="649"/>
      <c r="AT291" s="649"/>
      <c r="AU291" s="649"/>
      <c r="AV291" s="649"/>
      <c r="AW291" s="649"/>
      <c r="AX291" s="649"/>
      <c r="AY291" s="649"/>
      <c r="AZ291" s="649"/>
      <c r="BA291" s="649"/>
      <c r="BB291" s="649"/>
      <c r="BC291" s="649"/>
      <c r="BD291" s="649"/>
      <c r="BE291" s="649"/>
      <c r="BF291" s="649"/>
      <c r="BG291" s="649"/>
      <c r="BH291" s="649"/>
      <c r="BI291" s="649"/>
      <c r="BJ291" s="649"/>
      <c r="BK291" s="649"/>
      <c r="BL291" s="649"/>
      <c r="BM291" s="649"/>
      <c r="BN291" s="649"/>
      <c r="BO291" s="649"/>
      <c r="BP291" s="649"/>
      <c r="BQ291" s="649"/>
      <c r="BR291" s="649"/>
      <c r="BS291" s="649"/>
      <c r="BT291" s="649"/>
      <c r="BU291" s="649"/>
      <c r="BV291" s="649"/>
      <c r="BW291" s="649"/>
      <c r="BX291" s="649"/>
      <c r="BY291" s="649"/>
      <c r="BZ291" s="649"/>
      <c r="CA291" s="649"/>
      <c r="CB291" s="649"/>
      <c r="CC291" s="649"/>
      <c r="CD291" s="649"/>
      <c r="CE291" s="649"/>
      <c r="CF291" s="649"/>
      <c r="CG291" s="649"/>
      <c r="CH291" s="649"/>
      <c r="CI291" s="649"/>
      <c r="CJ291" s="649"/>
      <c r="CK291" s="649"/>
      <c r="CL291" s="649"/>
      <c r="CM291" s="649"/>
      <c r="CN291" s="649"/>
      <c r="CO291" s="649"/>
      <c r="CP291" s="649"/>
      <c r="CQ291" s="649"/>
      <c r="CR291" s="649"/>
      <c r="CS291" s="649"/>
      <c r="CT291" s="649"/>
      <c r="CU291" s="649"/>
      <c r="CV291" s="649"/>
      <c r="CW291" s="649"/>
      <c r="CX291" s="649"/>
      <c r="CY291" s="649"/>
      <c r="CZ291" s="649"/>
      <c r="DA291" s="214"/>
    </row>
    <row r="292" spans="1:105" s="16" customFormat="1" ht="15" hidden="1" customHeight="1" x14ac:dyDescent="0.3">
      <c r="A292" s="630"/>
      <c r="B292" s="631"/>
      <c r="C292" s="631"/>
      <c r="D292" s="631"/>
      <c r="E292" s="631"/>
      <c r="F292" s="631"/>
      <c r="G292" s="632"/>
      <c r="H292" s="584"/>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5"/>
      <c r="AL292" s="585"/>
      <c r="AM292" s="585"/>
      <c r="AN292" s="585"/>
      <c r="AO292" s="585"/>
      <c r="AP292" s="585"/>
      <c r="AQ292" s="585"/>
      <c r="AR292" s="585"/>
      <c r="AS292" s="585"/>
      <c r="AT292" s="585"/>
      <c r="AU292" s="585"/>
      <c r="AV292" s="585"/>
      <c r="AW292" s="585"/>
      <c r="AX292" s="585"/>
      <c r="AY292" s="585"/>
      <c r="AZ292" s="585"/>
      <c r="BA292" s="585"/>
      <c r="BB292" s="586"/>
      <c r="BC292" s="544"/>
      <c r="BD292" s="545"/>
      <c r="BE292" s="545"/>
      <c r="BF292" s="545"/>
      <c r="BG292" s="545"/>
      <c r="BH292" s="545"/>
      <c r="BI292" s="545"/>
      <c r="BJ292" s="545"/>
      <c r="BK292" s="545"/>
      <c r="BL292" s="545"/>
      <c r="BM292" s="545"/>
      <c r="BN292" s="545"/>
      <c r="BO292" s="545"/>
      <c r="BP292" s="545"/>
      <c r="BQ292" s="545"/>
      <c r="BR292" s="546"/>
      <c r="BS292" s="544"/>
      <c r="BT292" s="545"/>
      <c r="BU292" s="545"/>
      <c r="BV292" s="545"/>
      <c r="BW292" s="545"/>
      <c r="BX292" s="545"/>
      <c r="BY292" s="545"/>
      <c r="BZ292" s="545"/>
      <c r="CA292" s="545"/>
      <c r="CB292" s="545"/>
      <c r="CC292" s="545"/>
      <c r="CD292" s="545"/>
      <c r="CE292" s="545"/>
      <c r="CF292" s="545"/>
      <c r="CG292" s="545"/>
      <c r="CH292" s="546"/>
      <c r="CI292" s="544"/>
      <c r="CJ292" s="545"/>
      <c r="CK292" s="545"/>
      <c r="CL292" s="545"/>
      <c r="CM292" s="545"/>
      <c r="CN292" s="545"/>
      <c r="CO292" s="545"/>
      <c r="CP292" s="545"/>
      <c r="CQ292" s="545"/>
      <c r="CR292" s="545"/>
      <c r="CS292" s="545"/>
      <c r="CT292" s="545"/>
      <c r="CU292" s="545"/>
      <c r="CV292" s="545"/>
      <c r="CW292" s="545"/>
      <c r="CX292" s="545"/>
      <c r="CY292" s="545"/>
      <c r="CZ292" s="546"/>
      <c r="DA292" s="214"/>
    </row>
    <row r="293" spans="1:105" s="16" customFormat="1" ht="15" hidden="1" customHeight="1" x14ac:dyDescent="0.3">
      <c r="A293" s="633" t="s">
        <v>292</v>
      </c>
      <c r="B293" s="634"/>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4"/>
      <c r="AL293" s="634"/>
      <c r="AM293" s="634"/>
      <c r="AN293" s="634"/>
      <c r="AO293" s="634"/>
      <c r="AP293" s="634"/>
      <c r="AQ293" s="634"/>
      <c r="AR293" s="634"/>
      <c r="AS293" s="634"/>
      <c r="AT293" s="634"/>
      <c r="AU293" s="634"/>
      <c r="AV293" s="634"/>
      <c r="AW293" s="634"/>
      <c r="AX293" s="634"/>
      <c r="AY293" s="634"/>
      <c r="AZ293" s="634"/>
      <c r="BA293" s="634"/>
      <c r="BB293" s="635"/>
      <c r="BC293" s="544" t="s">
        <v>4</v>
      </c>
      <c r="BD293" s="545"/>
      <c r="BE293" s="545"/>
      <c r="BF293" s="545"/>
      <c r="BG293" s="545"/>
      <c r="BH293" s="545"/>
      <c r="BI293" s="545"/>
      <c r="BJ293" s="545"/>
      <c r="BK293" s="545"/>
      <c r="BL293" s="545"/>
      <c r="BM293" s="545"/>
      <c r="BN293" s="545"/>
      <c r="BO293" s="545"/>
      <c r="BP293" s="545"/>
      <c r="BQ293" s="545"/>
      <c r="BR293" s="546"/>
      <c r="BS293" s="544" t="s">
        <v>4</v>
      </c>
      <c r="BT293" s="545"/>
      <c r="BU293" s="545"/>
      <c r="BV293" s="545"/>
      <c r="BW293" s="545"/>
      <c r="BX293" s="545"/>
      <c r="BY293" s="545"/>
      <c r="BZ293" s="545"/>
      <c r="CA293" s="545"/>
      <c r="CB293" s="545"/>
      <c r="CC293" s="545"/>
      <c r="CD293" s="545"/>
      <c r="CE293" s="545"/>
      <c r="CF293" s="545"/>
      <c r="CG293" s="545"/>
      <c r="CH293" s="546"/>
      <c r="CI293" s="544"/>
      <c r="CJ293" s="545"/>
      <c r="CK293" s="545"/>
      <c r="CL293" s="545"/>
      <c r="CM293" s="545"/>
      <c r="CN293" s="545"/>
      <c r="CO293" s="545"/>
      <c r="CP293" s="545"/>
      <c r="CQ293" s="545"/>
      <c r="CR293" s="545"/>
      <c r="CS293" s="545"/>
      <c r="CT293" s="545"/>
      <c r="CU293" s="545"/>
      <c r="CV293" s="545"/>
      <c r="CW293" s="545"/>
      <c r="CX293" s="545"/>
      <c r="CY293" s="545"/>
      <c r="CZ293" s="546"/>
      <c r="DA293" s="214"/>
    </row>
    <row r="294" spans="1:105" s="16" customFormat="1" ht="15" hidden="1" customHeight="1" x14ac:dyDescent="0.3">
      <c r="A294" s="648" t="s">
        <v>584</v>
      </c>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9"/>
      <c r="AL294" s="649"/>
      <c r="AM294" s="649"/>
      <c r="AN294" s="649"/>
      <c r="AO294" s="649"/>
      <c r="AP294" s="649"/>
      <c r="AQ294" s="649"/>
      <c r="AR294" s="649"/>
      <c r="AS294" s="649"/>
      <c r="AT294" s="649"/>
      <c r="AU294" s="649"/>
      <c r="AV294" s="649"/>
      <c r="AW294" s="649"/>
      <c r="AX294" s="649"/>
      <c r="AY294" s="649"/>
      <c r="AZ294" s="649"/>
      <c r="BA294" s="649"/>
      <c r="BB294" s="649"/>
      <c r="BC294" s="649"/>
      <c r="BD294" s="649"/>
      <c r="BE294" s="649"/>
      <c r="BF294" s="649"/>
      <c r="BG294" s="649"/>
      <c r="BH294" s="649"/>
      <c r="BI294" s="649"/>
      <c r="BJ294" s="649"/>
      <c r="BK294" s="649"/>
      <c r="BL294" s="649"/>
      <c r="BM294" s="649"/>
      <c r="BN294" s="649"/>
      <c r="BO294" s="649"/>
      <c r="BP294" s="649"/>
      <c r="BQ294" s="649"/>
      <c r="BR294" s="649"/>
      <c r="BS294" s="649"/>
      <c r="BT294" s="649"/>
      <c r="BU294" s="649"/>
      <c r="BV294" s="649"/>
      <c r="BW294" s="649"/>
      <c r="BX294" s="649"/>
      <c r="BY294" s="649"/>
      <c r="BZ294" s="649"/>
      <c r="CA294" s="649"/>
      <c r="CB294" s="649"/>
      <c r="CC294" s="649"/>
      <c r="CD294" s="649"/>
      <c r="CE294" s="649"/>
      <c r="CF294" s="649"/>
      <c r="CG294" s="649"/>
      <c r="CH294" s="649"/>
      <c r="CI294" s="649"/>
      <c r="CJ294" s="649"/>
      <c r="CK294" s="649"/>
      <c r="CL294" s="649"/>
      <c r="CM294" s="649"/>
      <c r="CN294" s="649"/>
      <c r="CO294" s="649"/>
      <c r="CP294" s="649"/>
      <c r="CQ294" s="649"/>
      <c r="CR294" s="649"/>
      <c r="CS294" s="649"/>
      <c r="CT294" s="649"/>
      <c r="CU294" s="649"/>
      <c r="CV294" s="649"/>
      <c r="CW294" s="649"/>
      <c r="CX294" s="649"/>
      <c r="CY294" s="649"/>
      <c r="CZ294" s="649"/>
      <c r="DA294" s="214"/>
    </row>
    <row r="295" spans="1:105" s="16" customFormat="1" ht="37.200000000000003" hidden="1" customHeight="1" x14ac:dyDescent="0.3">
      <c r="A295" s="630" t="s">
        <v>441</v>
      </c>
      <c r="B295" s="631"/>
      <c r="C295" s="631"/>
      <c r="D295" s="631"/>
      <c r="E295" s="631"/>
      <c r="F295" s="631"/>
      <c r="G295" s="632"/>
      <c r="H295" s="584" t="s">
        <v>857</v>
      </c>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6"/>
      <c r="BC295" s="544"/>
      <c r="BD295" s="545"/>
      <c r="BE295" s="545"/>
      <c r="BF295" s="545"/>
      <c r="BG295" s="545"/>
      <c r="BH295" s="545"/>
      <c r="BI295" s="545"/>
      <c r="BJ295" s="545"/>
      <c r="BK295" s="545"/>
      <c r="BL295" s="545"/>
      <c r="BM295" s="545"/>
      <c r="BN295" s="545"/>
      <c r="BO295" s="545"/>
      <c r="BP295" s="545"/>
      <c r="BQ295" s="545"/>
      <c r="BR295" s="546"/>
      <c r="BS295" s="544">
        <v>1</v>
      </c>
      <c r="BT295" s="545"/>
      <c r="BU295" s="545"/>
      <c r="BV295" s="545"/>
      <c r="BW295" s="545"/>
      <c r="BX295" s="545"/>
      <c r="BY295" s="545"/>
      <c r="BZ295" s="545"/>
      <c r="CA295" s="545"/>
      <c r="CB295" s="545"/>
      <c r="CC295" s="545"/>
      <c r="CD295" s="545"/>
      <c r="CE295" s="545"/>
      <c r="CF295" s="545"/>
      <c r="CG295" s="545"/>
      <c r="CH295" s="546"/>
      <c r="CI295" s="627"/>
      <c r="CJ295" s="628"/>
      <c r="CK295" s="628"/>
      <c r="CL295" s="628"/>
      <c r="CM295" s="628"/>
      <c r="CN295" s="628"/>
      <c r="CO295" s="628"/>
      <c r="CP295" s="628"/>
      <c r="CQ295" s="628"/>
      <c r="CR295" s="628"/>
      <c r="CS295" s="628"/>
      <c r="CT295" s="628"/>
      <c r="CU295" s="628"/>
      <c r="CV295" s="628"/>
      <c r="CW295" s="628"/>
      <c r="CX295" s="628"/>
      <c r="CY295" s="628"/>
      <c r="CZ295" s="629"/>
      <c r="DA295" s="214"/>
    </row>
    <row r="296" spans="1:105" s="16" customFormat="1" ht="15" hidden="1" customHeight="1" x14ac:dyDescent="0.3">
      <c r="A296" s="633" t="s">
        <v>292</v>
      </c>
      <c r="B296" s="634"/>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4"/>
      <c r="AL296" s="634"/>
      <c r="AM296" s="634"/>
      <c r="AN296" s="634"/>
      <c r="AO296" s="634"/>
      <c r="AP296" s="634"/>
      <c r="AQ296" s="634"/>
      <c r="AR296" s="634"/>
      <c r="AS296" s="634"/>
      <c r="AT296" s="634"/>
      <c r="AU296" s="634"/>
      <c r="AV296" s="634"/>
      <c r="AW296" s="634"/>
      <c r="AX296" s="634"/>
      <c r="AY296" s="634"/>
      <c r="AZ296" s="634"/>
      <c r="BA296" s="634"/>
      <c r="BB296" s="635"/>
      <c r="BC296" s="544" t="s">
        <v>4</v>
      </c>
      <c r="BD296" s="545"/>
      <c r="BE296" s="545"/>
      <c r="BF296" s="545"/>
      <c r="BG296" s="545"/>
      <c r="BH296" s="545"/>
      <c r="BI296" s="545"/>
      <c r="BJ296" s="545"/>
      <c r="BK296" s="545"/>
      <c r="BL296" s="545"/>
      <c r="BM296" s="545"/>
      <c r="BN296" s="545"/>
      <c r="BO296" s="545"/>
      <c r="BP296" s="545"/>
      <c r="BQ296" s="545"/>
      <c r="BR296" s="546"/>
      <c r="BS296" s="544" t="s">
        <v>4</v>
      </c>
      <c r="BT296" s="545"/>
      <c r="BU296" s="545"/>
      <c r="BV296" s="545"/>
      <c r="BW296" s="545"/>
      <c r="BX296" s="545"/>
      <c r="BY296" s="545"/>
      <c r="BZ296" s="545"/>
      <c r="CA296" s="545"/>
      <c r="CB296" s="545"/>
      <c r="CC296" s="545"/>
      <c r="CD296" s="545"/>
      <c r="CE296" s="545"/>
      <c r="CF296" s="545"/>
      <c r="CG296" s="545"/>
      <c r="CH296" s="546"/>
      <c r="CI296" s="636">
        <f>CI295</f>
        <v>0</v>
      </c>
      <c r="CJ296" s="654"/>
      <c r="CK296" s="654"/>
      <c r="CL296" s="654"/>
      <c r="CM296" s="654"/>
      <c r="CN296" s="654"/>
      <c r="CO296" s="654"/>
      <c r="CP296" s="654"/>
      <c r="CQ296" s="654"/>
      <c r="CR296" s="654"/>
      <c r="CS296" s="654"/>
      <c r="CT296" s="654"/>
      <c r="CU296" s="654"/>
      <c r="CV296" s="654"/>
      <c r="CW296" s="654"/>
      <c r="CX296" s="654"/>
      <c r="CY296" s="654"/>
      <c r="CZ296" s="655"/>
      <c r="DA296" s="214"/>
    </row>
    <row r="297" spans="1:105" s="16" customFormat="1" ht="15" hidden="1" customHeight="1" x14ac:dyDescent="0.3">
      <c r="A297" s="553" t="s">
        <v>56</v>
      </c>
      <c r="B297" s="554"/>
      <c r="C297" s="554"/>
      <c r="D297" s="554"/>
      <c r="E297" s="554"/>
      <c r="F297" s="554"/>
      <c r="G297" s="554"/>
      <c r="H297" s="554"/>
      <c r="I297" s="554"/>
      <c r="J297" s="554"/>
      <c r="K297" s="554"/>
      <c r="L297" s="554"/>
      <c r="M297" s="554"/>
      <c r="N297" s="554"/>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4"/>
      <c r="AL297" s="554"/>
      <c r="AM297" s="554"/>
      <c r="AN297" s="554"/>
      <c r="AO297" s="554"/>
      <c r="AP297" s="554"/>
      <c r="AQ297" s="554"/>
      <c r="AR297" s="554"/>
      <c r="AS297" s="554"/>
      <c r="AT297" s="554"/>
      <c r="AU297" s="554"/>
      <c r="AV297" s="554"/>
      <c r="AW297" s="554"/>
      <c r="AX297" s="554"/>
      <c r="AY297" s="554"/>
      <c r="AZ297" s="554"/>
      <c r="BA297" s="554"/>
      <c r="BB297" s="555"/>
      <c r="BC297" s="582" t="s">
        <v>4</v>
      </c>
      <c r="BD297" s="582"/>
      <c r="BE297" s="582"/>
      <c r="BF297" s="582"/>
      <c r="BG297" s="582"/>
      <c r="BH297" s="582"/>
      <c r="BI297" s="582"/>
      <c r="BJ297" s="582"/>
      <c r="BK297" s="582"/>
      <c r="BL297" s="582"/>
      <c r="BM297" s="582"/>
      <c r="BN297" s="582"/>
      <c r="BO297" s="582"/>
      <c r="BP297" s="582"/>
      <c r="BQ297" s="582"/>
      <c r="BR297" s="582"/>
      <c r="BS297" s="582" t="s">
        <v>4</v>
      </c>
      <c r="BT297" s="582"/>
      <c r="BU297" s="582"/>
      <c r="BV297" s="582"/>
      <c r="BW297" s="582"/>
      <c r="BX297" s="582"/>
      <c r="BY297" s="582"/>
      <c r="BZ297" s="582"/>
      <c r="CA297" s="582"/>
      <c r="CB297" s="582"/>
      <c r="CC297" s="582"/>
      <c r="CD297" s="582"/>
      <c r="CE297" s="582"/>
      <c r="CF297" s="582"/>
      <c r="CG297" s="582"/>
      <c r="CH297" s="582"/>
      <c r="CI297" s="611">
        <f>CI296</f>
        <v>0</v>
      </c>
      <c r="CJ297" s="611"/>
      <c r="CK297" s="611"/>
      <c r="CL297" s="611"/>
      <c r="CM297" s="611"/>
      <c r="CN297" s="611"/>
      <c r="CO297" s="611"/>
      <c r="CP297" s="611"/>
      <c r="CQ297" s="611"/>
      <c r="CR297" s="611"/>
      <c r="CS297" s="611"/>
      <c r="CT297" s="611"/>
      <c r="CU297" s="611"/>
      <c r="CV297" s="611"/>
      <c r="CW297" s="611"/>
      <c r="CX297" s="611"/>
      <c r="CY297" s="611"/>
      <c r="CZ297" s="611"/>
      <c r="DA297" s="214"/>
    </row>
    <row r="298" spans="1:105" ht="12" hidden="1" customHeight="1" x14ac:dyDescent="0.25"/>
    <row r="299" spans="1:105" s="20" customFormat="1" hidden="1" x14ac:dyDescent="0.25">
      <c r="A299" s="594" t="s">
        <v>284</v>
      </c>
      <c r="B299" s="594"/>
      <c r="C299" s="594"/>
      <c r="D299" s="594"/>
      <c r="E299" s="594"/>
      <c r="F299" s="594"/>
      <c r="G299" s="594"/>
      <c r="H299" s="594"/>
      <c r="I299" s="594"/>
      <c r="J299" s="594"/>
      <c r="K299" s="594"/>
      <c r="L299" s="594"/>
      <c r="M299" s="594"/>
      <c r="N299" s="594"/>
      <c r="O299" s="594"/>
      <c r="P299" s="594"/>
      <c r="Q299" s="594"/>
      <c r="R299" s="594"/>
      <c r="S299" s="594"/>
      <c r="T299" s="594"/>
      <c r="U299" s="594"/>
      <c r="V299" s="594"/>
      <c r="W299" s="594"/>
      <c r="X299" s="594"/>
      <c r="Y299" s="594"/>
      <c r="Z299" s="594"/>
      <c r="AA299" s="594"/>
      <c r="AB299" s="594"/>
      <c r="AC299" s="594"/>
      <c r="AD299" s="594"/>
      <c r="AE299" s="594"/>
      <c r="AF299" s="594"/>
      <c r="AG299" s="594"/>
      <c r="AH299" s="594"/>
      <c r="AI299" s="594"/>
      <c r="AJ299" s="594"/>
      <c r="AK299" s="594"/>
      <c r="AL299" s="594"/>
      <c r="AM299" s="594"/>
      <c r="AN299" s="594"/>
      <c r="AO299" s="594"/>
      <c r="AP299" s="594"/>
      <c r="AQ299" s="594"/>
      <c r="AR299" s="594"/>
      <c r="AS299" s="594"/>
      <c r="AT299" s="594"/>
      <c r="AU299" s="594"/>
      <c r="AV299" s="594"/>
      <c r="AW299" s="594"/>
      <c r="AX299" s="594"/>
      <c r="AY299" s="594"/>
      <c r="AZ299" s="594"/>
      <c r="BA299" s="594"/>
      <c r="BB299" s="594"/>
      <c r="BC299" s="594"/>
      <c r="BD299" s="594"/>
      <c r="BE299" s="594"/>
      <c r="BF299" s="594"/>
      <c r="BG299" s="594"/>
      <c r="BH299" s="594"/>
      <c r="BI299" s="594"/>
      <c r="BJ299" s="594"/>
      <c r="BK299" s="594"/>
      <c r="BL299" s="594"/>
      <c r="BM299" s="594"/>
      <c r="BN299" s="594"/>
      <c r="BO299" s="594"/>
      <c r="BP299" s="594"/>
      <c r="BQ299" s="594"/>
      <c r="BR299" s="594"/>
      <c r="BS299" s="594"/>
      <c r="BT299" s="594"/>
      <c r="BU299" s="594"/>
      <c r="BV299" s="594"/>
      <c r="BW299" s="594"/>
      <c r="BX299" s="594"/>
      <c r="BY299" s="594"/>
      <c r="BZ299" s="594"/>
      <c r="CA299" s="594"/>
      <c r="CB299" s="594"/>
      <c r="CC299" s="594"/>
      <c r="CD299" s="594"/>
      <c r="CE299" s="594"/>
      <c r="CF299" s="594"/>
      <c r="CG299" s="594"/>
      <c r="CH299" s="594"/>
      <c r="CI299" s="594"/>
      <c r="CJ299" s="594"/>
      <c r="CK299" s="594"/>
      <c r="CL299" s="594"/>
      <c r="CM299" s="594"/>
      <c r="CN299" s="594"/>
      <c r="CO299" s="594"/>
      <c r="CP299" s="594"/>
      <c r="CQ299" s="594"/>
      <c r="CR299" s="594"/>
      <c r="CS299" s="594"/>
      <c r="CT299" s="594"/>
      <c r="CU299" s="594"/>
      <c r="CV299" s="594"/>
      <c r="CW299" s="594"/>
      <c r="CX299" s="594"/>
      <c r="CY299" s="594"/>
      <c r="CZ299" s="594"/>
    </row>
    <row r="300" spans="1:105" ht="10.5" hidden="1" customHeight="1" x14ac:dyDescent="0.25"/>
    <row r="301" spans="1:105" s="20" customFormat="1" x14ac:dyDescent="0.25">
      <c r="A301" s="594" t="s">
        <v>285</v>
      </c>
      <c r="B301" s="594"/>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95" t="s">
        <v>587</v>
      </c>
      <c r="X303" s="595"/>
      <c r="Y303" s="595"/>
      <c r="Z303" s="595"/>
      <c r="AA303" s="595"/>
      <c r="AB303" s="595"/>
      <c r="AC303" s="595"/>
      <c r="AD303" s="595"/>
      <c r="AE303" s="595"/>
      <c r="AF303" s="595"/>
      <c r="AG303" s="595"/>
      <c r="AH303" s="595"/>
      <c r="AI303" s="595"/>
      <c r="AJ303" s="595"/>
      <c r="AK303" s="595"/>
      <c r="AL303" s="595"/>
      <c r="AM303" s="595"/>
      <c r="AN303" s="595"/>
      <c r="AO303" s="595"/>
      <c r="AP303" s="595"/>
      <c r="AQ303" s="595"/>
      <c r="AR303" s="595"/>
      <c r="AS303" s="595"/>
      <c r="AT303" s="595"/>
      <c r="AU303" s="595"/>
      <c r="AV303" s="595"/>
      <c r="AW303" s="595"/>
      <c r="AX303" s="595"/>
      <c r="AY303" s="595"/>
      <c r="AZ303" s="595"/>
      <c r="BA303" s="595"/>
      <c r="BB303" s="595"/>
      <c r="BC303" s="595"/>
      <c r="BD303" s="595"/>
      <c r="BE303" s="595"/>
      <c r="BF303" s="595"/>
      <c r="BG303" s="595"/>
      <c r="BH303" s="595"/>
      <c r="BI303" s="595"/>
      <c r="BJ303" s="595"/>
      <c r="BK303" s="595"/>
      <c r="BL303" s="595"/>
      <c r="BM303" s="595"/>
      <c r="BN303" s="595"/>
      <c r="BO303" s="595"/>
      <c r="BP303" s="595"/>
      <c r="BQ303" s="595"/>
      <c r="BR303" s="595"/>
      <c r="BS303" s="595"/>
      <c r="BT303" s="595"/>
      <c r="BU303" s="595"/>
      <c r="BV303" s="595"/>
      <c r="BW303" s="595"/>
      <c r="BX303" s="595"/>
      <c r="BY303" s="595"/>
      <c r="BZ303" s="595"/>
      <c r="CA303" s="595"/>
      <c r="CB303" s="595"/>
      <c r="CC303" s="595"/>
      <c r="CD303" s="595"/>
      <c r="CE303" s="595"/>
      <c r="CF303" s="595"/>
      <c r="CG303" s="595"/>
      <c r="CH303" s="595"/>
      <c r="CI303" s="595"/>
      <c r="CJ303" s="595"/>
      <c r="CK303" s="595"/>
      <c r="CL303" s="595"/>
      <c r="CM303" s="595"/>
      <c r="CN303" s="595"/>
      <c r="CO303" s="595"/>
      <c r="CP303" s="595"/>
      <c r="CQ303" s="595"/>
      <c r="CR303" s="595"/>
      <c r="CS303" s="595"/>
      <c r="CT303" s="595"/>
      <c r="CU303" s="595"/>
      <c r="CV303" s="595"/>
      <c r="CW303" s="595"/>
      <c r="CX303" s="595"/>
      <c r="CY303" s="595"/>
      <c r="CZ303" s="595"/>
      <c r="DA303" s="230">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75" t="s">
        <v>49</v>
      </c>
      <c r="B305" s="476"/>
      <c r="C305" s="476"/>
      <c r="D305" s="476"/>
      <c r="E305" s="476"/>
      <c r="F305" s="476"/>
      <c r="G305" s="477"/>
      <c r="H305" s="475" t="s">
        <v>78</v>
      </c>
      <c r="I305" s="476"/>
      <c r="J305" s="476"/>
      <c r="K305" s="476"/>
      <c r="L305" s="476"/>
      <c r="M305" s="476"/>
      <c r="N305" s="476"/>
      <c r="O305" s="476"/>
      <c r="P305" s="476"/>
      <c r="Q305" s="476"/>
      <c r="R305" s="476"/>
      <c r="S305" s="476"/>
      <c r="T305" s="476"/>
      <c r="U305" s="476"/>
      <c r="V305" s="476"/>
      <c r="W305" s="476"/>
      <c r="X305" s="476"/>
      <c r="Y305" s="476"/>
      <c r="Z305" s="476"/>
      <c r="AA305" s="476"/>
      <c r="AB305" s="476"/>
      <c r="AC305" s="476"/>
      <c r="AD305" s="476"/>
      <c r="AE305" s="476"/>
      <c r="AF305" s="476"/>
      <c r="AG305" s="476"/>
      <c r="AH305" s="476"/>
      <c r="AI305" s="476"/>
      <c r="AJ305" s="476"/>
      <c r="AK305" s="476"/>
      <c r="AL305" s="476"/>
      <c r="AM305" s="476"/>
      <c r="AN305" s="477"/>
      <c r="AO305" s="475" t="s">
        <v>82</v>
      </c>
      <c r="AP305" s="476"/>
      <c r="AQ305" s="476"/>
      <c r="AR305" s="476"/>
      <c r="AS305" s="476"/>
      <c r="AT305" s="476"/>
      <c r="AU305" s="476"/>
      <c r="AV305" s="476"/>
      <c r="AW305" s="476"/>
      <c r="AX305" s="476"/>
      <c r="AY305" s="476"/>
      <c r="AZ305" s="476"/>
      <c r="BA305" s="476"/>
      <c r="BB305" s="476"/>
      <c r="BC305" s="476"/>
      <c r="BD305" s="477"/>
      <c r="BE305" s="475" t="s">
        <v>83</v>
      </c>
      <c r="BF305" s="476"/>
      <c r="BG305" s="476"/>
      <c r="BH305" s="476"/>
      <c r="BI305" s="476"/>
      <c r="BJ305" s="476"/>
      <c r="BK305" s="476"/>
      <c r="BL305" s="476"/>
      <c r="BM305" s="476"/>
      <c r="BN305" s="476"/>
      <c r="BO305" s="476"/>
      <c r="BP305" s="476"/>
      <c r="BQ305" s="476"/>
      <c r="BR305" s="476"/>
      <c r="BS305" s="476"/>
      <c r="BT305" s="477"/>
      <c r="BU305" s="475" t="s">
        <v>84</v>
      </c>
      <c r="BV305" s="476"/>
      <c r="BW305" s="476"/>
      <c r="BX305" s="476"/>
      <c r="BY305" s="476"/>
      <c r="BZ305" s="476"/>
      <c r="CA305" s="476"/>
      <c r="CB305" s="476"/>
      <c r="CC305" s="476"/>
      <c r="CD305" s="476"/>
      <c r="CE305" s="476"/>
      <c r="CF305" s="476"/>
      <c r="CG305" s="476"/>
      <c r="CH305" s="476"/>
      <c r="CI305" s="476"/>
      <c r="CJ305" s="477"/>
      <c r="CK305" s="475" t="s">
        <v>61</v>
      </c>
      <c r="CL305" s="476"/>
      <c r="CM305" s="476"/>
      <c r="CN305" s="476"/>
      <c r="CO305" s="476"/>
      <c r="CP305" s="476"/>
      <c r="CQ305" s="476"/>
      <c r="CR305" s="476"/>
      <c r="CS305" s="476"/>
      <c r="CT305" s="476"/>
      <c r="CU305" s="476"/>
      <c r="CV305" s="476"/>
      <c r="CW305" s="476"/>
      <c r="CX305" s="476"/>
      <c r="CY305" s="476"/>
      <c r="CZ305" s="477"/>
      <c r="DA305" s="218"/>
    </row>
    <row r="306" spans="1:105" s="15" customFormat="1" ht="13.2" x14ac:dyDescent="0.3">
      <c r="A306" s="591">
        <v>1</v>
      </c>
      <c r="B306" s="591"/>
      <c r="C306" s="591"/>
      <c r="D306" s="591"/>
      <c r="E306" s="591"/>
      <c r="F306" s="591"/>
      <c r="G306" s="591"/>
      <c r="H306" s="591">
        <v>2</v>
      </c>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1"/>
      <c r="AL306" s="591"/>
      <c r="AM306" s="591"/>
      <c r="AN306" s="591"/>
      <c r="AO306" s="591">
        <v>3</v>
      </c>
      <c r="AP306" s="591"/>
      <c r="AQ306" s="591"/>
      <c r="AR306" s="591"/>
      <c r="AS306" s="591"/>
      <c r="AT306" s="591"/>
      <c r="AU306" s="591"/>
      <c r="AV306" s="591"/>
      <c r="AW306" s="591"/>
      <c r="AX306" s="591"/>
      <c r="AY306" s="591"/>
      <c r="AZ306" s="591"/>
      <c r="BA306" s="591"/>
      <c r="BB306" s="591"/>
      <c r="BC306" s="591"/>
      <c r="BD306" s="591"/>
      <c r="BE306" s="591">
        <v>4</v>
      </c>
      <c r="BF306" s="591"/>
      <c r="BG306" s="591"/>
      <c r="BH306" s="591"/>
      <c r="BI306" s="591"/>
      <c r="BJ306" s="591"/>
      <c r="BK306" s="591"/>
      <c r="BL306" s="591"/>
      <c r="BM306" s="591"/>
      <c r="BN306" s="591"/>
      <c r="BO306" s="591"/>
      <c r="BP306" s="591"/>
      <c r="BQ306" s="591"/>
      <c r="BR306" s="591"/>
      <c r="BS306" s="591"/>
      <c r="BT306" s="591"/>
      <c r="BU306" s="591">
        <v>5</v>
      </c>
      <c r="BV306" s="591"/>
      <c r="BW306" s="591"/>
      <c r="BX306" s="591"/>
      <c r="BY306" s="591"/>
      <c r="BZ306" s="591"/>
      <c r="CA306" s="591"/>
      <c r="CB306" s="591"/>
      <c r="CC306" s="591"/>
      <c r="CD306" s="591"/>
      <c r="CE306" s="591"/>
      <c r="CF306" s="591"/>
      <c r="CG306" s="591"/>
      <c r="CH306" s="591"/>
      <c r="CI306" s="591"/>
      <c r="CJ306" s="591"/>
      <c r="CK306" s="591">
        <v>6</v>
      </c>
      <c r="CL306" s="591"/>
      <c r="CM306" s="591"/>
      <c r="CN306" s="591"/>
      <c r="CO306" s="591"/>
      <c r="CP306" s="591"/>
      <c r="CQ306" s="591"/>
      <c r="CR306" s="591"/>
      <c r="CS306" s="591"/>
      <c r="CT306" s="591"/>
      <c r="CU306" s="591"/>
      <c r="CV306" s="591"/>
      <c r="CW306" s="591"/>
      <c r="CX306" s="591"/>
      <c r="CY306" s="591"/>
      <c r="CZ306" s="591"/>
      <c r="DA306" s="219"/>
    </row>
    <row r="307" spans="1:105" s="16" customFormat="1" ht="15" customHeight="1" x14ac:dyDescent="0.3">
      <c r="A307" s="656" t="s">
        <v>537</v>
      </c>
      <c r="B307" s="657"/>
      <c r="C307" s="657"/>
      <c r="D307" s="657"/>
      <c r="E307" s="657"/>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57"/>
      <c r="BQ307" s="657"/>
      <c r="BR307" s="657"/>
      <c r="BS307" s="657"/>
      <c r="BT307" s="657"/>
      <c r="BU307" s="657"/>
      <c r="BV307" s="657"/>
      <c r="BW307" s="657"/>
      <c r="BX307" s="657"/>
      <c r="BY307" s="657"/>
      <c r="BZ307" s="657"/>
      <c r="CA307" s="657"/>
      <c r="CB307" s="657"/>
      <c r="CC307" s="657"/>
      <c r="CD307" s="657"/>
      <c r="CE307" s="657"/>
      <c r="CF307" s="657"/>
      <c r="CG307" s="657"/>
      <c r="CH307" s="657"/>
      <c r="CI307" s="657"/>
      <c r="CJ307" s="657"/>
      <c r="CK307" s="657"/>
      <c r="CL307" s="657"/>
      <c r="CM307" s="657"/>
      <c r="CN307" s="657"/>
      <c r="CO307" s="657"/>
      <c r="CP307" s="657"/>
      <c r="CQ307" s="657"/>
      <c r="CR307" s="657"/>
      <c r="CS307" s="657"/>
      <c r="CT307" s="657"/>
      <c r="CU307" s="657"/>
      <c r="CV307" s="657"/>
      <c r="CW307" s="657"/>
      <c r="CX307" s="657"/>
      <c r="CY307" s="657"/>
      <c r="CZ307" s="658"/>
      <c r="DA307" s="214"/>
    </row>
    <row r="308" spans="1:105" s="16" customFormat="1" ht="58.5" customHeight="1" x14ac:dyDescent="0.3">
      <c r="A308" s="630" t="s">
        <v>441</v>
      </c>
      <c r="B308" s="631"/>
      <c r="C308" s="631"/>
      <c r="D308" s="631"/>
      <c r="E308" s="631"/>
      <c r="F308" s="631"/>
      <c r="G308" s="632"/>
      <c r="H308" s="584" t="s">
        <v>588</v>
      </c>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5"/>
      <c r="AL308" s="585"/>
      <c r="AM308" s="585"/>
      <c r="AN308" s="586"/>
      <c r="AO308" s="544">
        <v>22</v>
      </c>
      <c r="AP308" s="545"/>
      <c r="AQ308" s="545"/>
      <c r="AR308" s="545"/>
      <c r="AS308" s="545"/>
      <c r="AT308" s="545"/>
      <c r="AU308" s="545"/>
      <c r="AV308" s="545"/>
      <c r="AW308" s="545"/>
      <c r="AX308" s="545"/>
      <c r="AY308" s="545"/>
      <c r="AZ308" s="545"/>
      <c r="BA308" s="545"/>
      <c r="BB308" s="545"/>
      <c r="BC308" s="545"/>
      <c r="BD308" s="546"/>
      <c r="BE308" s="544">
        <v>11</v>
      </c>
      <c r="BF308" s="545"/>
      <c r="BG308" s="545"/>
      <c r="BH308" s="545"/>
      <c r="BI308" s="545"/>
      <c r="BJ308" s="545"/>
      <c r="BK308" s="545"/>
      <c r="BL308" s="545"/>
      <c r="BM308" s="545"/>
      <c r="BN308" s="545"/>
      <c r="BO308" s="545"/>
      <c r="BP308" s="545"/>
      <c r="BQ308" s="545"/>
      <c r="BR308" s="545"/>
      <c r="BS308" s="545"/>
      <c r="BT308" s="546"/>
      <c r="BU308" s="639">
        <f>CK308/BE308/AO308</f>
        <v>454.54545454545456</v>
      </c>
      <c r="BV308" s="640"/>
      <c r="BW308" s="640"/>
      <c r="BX308" s="640"/>
      <c r="BY308" s="640"/>
      <c r="BZ308" s="640"/>
      <c r="CA308" s="640"/>
      <c r="CB308" s="640"/>
      <c r="CC308" s="640"/>
      <c r="CD308" s="640"/>
      <c r="CE308" s="640"/>
      <c r="CF308" s="640"/>
      <c r="CG308" s="640"/>
      <c r="CH308" s="640"/>
      <c r="CI308" s="640"/>
      <c r="CJ308" s="641"/>
      <c r="CK308" s="627">
        <v>110000</v>
      </c>
      <c r="CL308" s="628"/>
      <c r="CM308" s="628"/>
      <c r="CN308" s="628"/>
      <c r="CO308" s="628"/>
      <c r="CP308" s="628"/>
      <c r="CQ308" s="628"/>
      <c r="CR308" s="628"/>
      <c r="CS308" s="628"/>
      <c r="CT308" s="628"/>
      <c r="CU308" s="628"/>
      <c r="CV308" s="628"/>
      <c r="CW308" s="628"/>
      <c r="CX308" s="628"/>
      <c r="CY308" s="628"/>
      <c r="CZ308" s="629"/>
      <c r="DA308" s="214"/>
    </row>
    <row r="309" spans="1:105" s="16" customFormat="1" ht="58.5" customHeight="1" x14ac:dyDescent="0.3">
      <c r="A309" s="630" t="s">
        <v>444</v>
      </c>
      <c r="B309" s="631"/>
      <c r="C309" s="631"/>
      <c r="D309" s="631"/>
      <c r="E309" s="631"/>
      <c r="F309" s="631"/>
      <c r="G309" s="632"/>
      <c r="H309" s="584" t="s">
        <v>589</v>
      </c>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5"/>
      <c r="AL309" s="585"/>
      <c r="AM309" s="585"/>
      <c r="AN309" s="586"/>
      <c r="AO309" s="544">
        <v>4</v>
      </c>
      <c r="AP309" s="545"/>
      <c r="AQ309" s="545"/>
      <c r="AR309" s="545"/>
      <c r="AS309" s="545"/>
      <c r="AT309" s="545"/>
      <c r="AU309" s="545"/>
      <c r="AV309" s="545"/>
      <c r="AW309" s="545"/>
      <c r="AX309" s="545"/>
      <c r="AY309" s="545"/>
      <c r="AZ309" s="545"/>
      <c r="BA309" s="545"/>
      <c r="BB309" s="545"/>
      <c r="BC309" s="545"/>
      <c r="BD309" s="546"/>
      <c r="BE309" s="544">
        <v>11</v>
      </c>
      <c r="BF309" s="545"/>
      <c r="BG309" s="545"/>
      <c r="BH309" s="545"/>
      <c r="BI309" s="545"/>
      <c r="BJ309" s="545"/>
      <c r="BK309" s="545"/>
      <c r="BL309" s="545"/>
      <c r="BM309" s="545"/>
      <c r="BN309" s="545"/>
      <c r="BO309" s="545"/>
      <c r="BP309" s="545"/>
      <c r="BQ309" s="545"/>
      <c r="BR309" s="545"/>
      <c r="BS309" s="545"/>
      <c r="BT309" s="546"/>
      <c r="BU309" s="639">
        <f t="shared" ref="BU309:BU312" si="2">CK309/BE309/AO309</f>
        <v>4090.909090909091</v>
      </c>
      <c r="BV309" s="640"/>
      <c r="BW309" s="640"/>
      <c r="BX309" s="640"/>
      <c r="BY309" s="640"/>
      <c r="BZ309" s="640"/>
      <c r="CA309" s="640"/>
      <c r="CB309" s="640"/>
      <c r="CC309" s="640"/>
      <c r="CD309" s="640"/>
      <c r="CE309" s="640"/>
      <c r="CF309" s="640"/>
      <c r="CG309" s="640"/>
      <c r="CH309" s="640"/>
      <c r="CI309" s="640"/>
      <c r="CJ309" s="641"/>
      <c r="CK309" s="627">
        <v>180000</v>
      </c>
      <c r="CL309" s="628"/>
      <c r="CM309" s="628"/>
      <c r="CN309" s="628"/>
      <c r="CO309" s="628"/>
      <c r="CP309" s="628"/>
      <c r="CQ309" s="628"/>
      <c r="CR309" s="628"/>
      <c r="CS309" s="628"/>
      <c r="CT309" s="628"/>
      <c r="CU309" s="628"/>
      <c r="CV309" s="628"/>
      <c r="CW309" s="628"/>
      <c r="CX309" s="628"/>
      <c r="CY309" s="628"/>
      <c r="CZ309" s="629"/>
      <c r="DA309" s="214"/>
    </row>
    <row r="310" spans="1:105" s="16" customFormat="1" ht="15" customHeight="1" x14ac:dyDescent="0.3">
      <c r="A310" s="630" t="s">
        <v>446</v>
      </c>
      <c r="B310" s="631"/>
      <c r="C310" s="631"/>
      <c r="D310" s="631"/>
      <c r="E310" s="631"/>
      <c r="F310" s="631"/>
      <c r="G310" s="632"/>
      <c r="H310" s="584" t="s">
        <v>590</v>
      </c>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5"/>
      <c r="AL310" s="585"/>
      <c r="AM310" s="585"/>
      <c r="AN310" s="586"/>
      <c r="AO310" s="544">
        <v>1</v>
      </c>
      <c r="AP310" s="545"/>
      <c r="AQ310" s="545"/>
      <c r="AR310" s="545"/>
      <c r="AS310" s="545"/>
      <c r="AT310" s="545"/>
      <c r="AU310" s="545"/>
      <c r="AV310" s="545"/>
      <c r="AW310" s="545"/>
      <c r="AX310" s="545"/>
      <c r="AY310" s="545"/>
      <c r="AZ310" s="545"/>
      <c r="BA310" s="545"/>
      <c r="BB310" s="545"/>
      <c r="BC310" s="545"/>
      <c r="BD310" s="546"/>
      <c r="BE310" s="544">
        <v>12</v>
      </c>
      <c r="BF310" s="545"/>
      <c r="BG310" s="545"/>
      <c r="BH310" s="545"/>
      <c r="BI310" s="545"/>
      <c r="BJ310" s="545"/>
      <c r="BK310" s="545"/>
      <c r="BL310" s="545"/>
      <c r="BM310" s="545"/>
      <c r="BN310" s="545"/>
      <c r="BO310" s="545"/>
      <c r="BP310" s="545"/>
      <c r="BQ310" s="545"/>
      <c r="BR310" s="545"/>
      <c r="BS310" s="545"/>
      <c r="BT310" s="546"/>
      <c r="BU310" s="639">
        <f t="shared" si="2"/>
        <v>1250</v>
      </c>
      <c r="BV310" s="640"/>
      <c r="BW310" s="640"/>
      <c r="BX310" s="640"/>
      <c r="BY310" s="640"/>
      <c r="BZ310" s="640"/>
      <c r="CA310" s="640"/>
      <c r="CB310" s="640"/>
      <c r="CC310" s="640"/>
      <c r="CD310" s="640"/>
      <c r="CE310" s="640"/>
      <c r="CF310" s="640"/>
      <c r="CG310" s="640"/>
      <c r="CH310" s="640"/>
      <c r="CI310" s="640"/>
      <c r="CJ310" s="641"/>
      <c r="CK310" s="627">
        <v>15000</v>
      </c>
      <c r="CL310" s="628"/>
      <c r="CM310" s="628"/>
      <c r="CN310" s="628"/>
      <c r="CO310" s="628"/>
      <c r="CP310" s="628"/>
      <c r="CQ310" s="628"/>
      <c r="CR310" s="628"/>
      <c r="CS310" s="628"/>
      <c r="CT310" s="628"/>
      <c r="CU310" s="628"/>
      <c r="CV310" s="628"/>
      <c r="CW310" s="628"/>
      <c r="CX310" s="628"/>
      <c r="CY310" s="628"/>
      <c r="CZ310" s="629"/>
      <c r="DA310" s="214"/>
    </row>
    <row r="311" spans="1:105" s="16" customFormat="1" ht="15" customHeight="1" x14ac:dyDescent="0.3">
      <c r="A311" s="630" t="s">
        <v>551</v>
      </c>
      <c r="B311" s="631"/>
      <c r="C311" s="631"/>
      <c r="D311" s="631"/>
      <c r="E311" s="631"/>
      <c r="F311" s="631"/>
      <c r="G311" s="632"/>
      <c r="H311" s="584" t="s">
        <v>850</v>
      </c>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6"/>
      <c r="AO311" s="544">
        <v>2</v>
      </c>
      <c r="AP311" s="545"/>
      <c r="AQ311" s="545"/>
      <c r="AR311" s="545"/>
      <c r="AS311" s="545"/>
      <c r="AT311" s="545"/>
      <c r="AU311" s="545"/>
      <c r="AV311" s="545"/>
      <c r="AW311" s="545"/>
      <c r="AX311" s="545"/>
      <c r="AY311" s="545"/>
      <c r="AZ311" s="545"/>
      <c r="BA311" s="545"/>
      <c r="BB311" s="545"/>
      <c r="BC311" s="545"/>
      <c r="BD311" s="546"/>
      <c r="BE311" s="544">
        <v>1</v>
      </c>
      <c r="BF311" s="545"/>
      <c r="BG311" s="545"/>
      <c r="BH311" s="545"/>
      <c r="BI311" s="545"/>
      <c r="BJ311" s="545"/>
      <c r="BK311" s="545"/>
      <c r="BL311" s="545"/>
      <c r="BM311" s="545"/>
      <c r="BN311" s="545"/>
      <c r="BO311" s="545"/>
      <c r="BP311" s="545"/>
      <c r="BQ311" s="545"/>
      <c r="BR311" s="545"/>
      <c r="BS311" s="545"/>
      <c r="BT311" s="546"/>
      <c r="BU311" s="639">
        <f t="shared" si="2"/>
        <v>3500</v>
      </c>
      <c r="BV311" s="640"/>
      <c r="BW311" s="640"/>
      <c r="BX311" s="640"/>
      <c r="BY311" s="640"/>
      <c r="BZ311" s="640"/>
      <c r="CA311" s="640"/>
      <c r="CB311" s="640"/>
      <c r="CC311" s="640"/>
      <c r="CD311" s="640"/>
      <c r="CE311" s="640"/>
      <c r="CF311" s="640"/>
      <c r="CG311" s="640"/>
      <c r="CH311" s="640"/>
      <c r="CI311" s="640"/>
      <c r="CJ311" s="641"/>
      <c r="CK311" s="627">
        <v>7000</v>
      </c>
      <c r="CL311" s="628"/>
      <c r="CM311" s="628"/>
      <c r="CN311" s="628"/>
      <c r="CO311" s="628"/>
      <c r="CP311" s="628"/>
      <c r="CQ311" s="628"/>
      <c r="CR311" s="628"/>
      <c r="CS311" s="628"/>
      <c r="CT311" s="628"/>
      <c r="CU311" s="628"/>
      <c r="CV311" s="628"/>
      <c r="CW311" s="628"/>
      <c r="CX311" s="628"/>
      <c r="CY311" s="628"/>
      <c r="CZ311" s="629"/>
      <c r="DA311" s="214"/>
    </row>
    <row r="312" spans="1:105" s="16" customFormat="1" ht="31.2" customHeight="1" x14ac:dyDescent="0.3">
      <c r="A312" s="630" t="s">
        <v>599</v>
      </c>
      <c r="B312" s="631"/>
      <c r="C312" s="631"/>
      <c r="D312" s="631"/>
      <c r="E312" s="631"/>
      <c r="F312" s="631"/>
      <c r="G312" s="632"/>
      <c r="H312" s="584" t="s">
        <v>953</v>
      </c>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5"/>
      <c r="AL312" s="585"/>
      <c r="AM312" s="585"/>
      <c r="AN312" s="586"/>
      <c r="AO312" s="544">
        <v>1</v>
      </c>
      <c r="AP312" s="545"/>
      <c r="AQ312" s="545"/>
      <c r="AR312" s="545"/>
      <c r="AS312" s="545"/>
      <c r="AT312" s="545"/>
      <c r="AU312" s="545"/>
      <c r="AV312" s="545"/>
      <c r="AW312" s="545"/>
      <c r="AX312" s="545"/>
      <c r="AY312" s="545"/>
      <c r="AZ312" s="545"/>
      <c r="BA312" s="545"/>
      <c r="BB312" s="545"/>
      <c r="BC312" s="545"/>
      <c r="BD312" s="546"/>
      <c r="BE312" s="544">
        <v>12</v>
      </c>
      <c r="BF312" s="545"/>
      <c r="BG312" s="545"/>
      <c r="BH312" s="545"/>
      <c r="BI312" s="545"/>
      <c r="BJ312" s="545"/>
      <c r="BK312" s="545"/>
      <c r="BL312" s="545"/>
      <c r="BM312" s="545"/>
      <c r="BN312" s="545"/>
      <c r="BO312" s="545"/>
      <c r="BP312" s="545"/>
      <c r="BQ312" s="545"/>
      <c r="BR312" s="545"/>
      <c r="BS312" s="545"/>
      <c r="BT312" s="546"/>
      <c r="BU312" s="639">
        <f t="shared" si="2"/>
        <v>1100</v>
      </c>
      <c r="BV312" s="640"/>
      <c r="BW312" s="640"/>
      <c r="BX312" s="640"/>
      <c r="BY312" s="640"/>
      <c r="BZ312" s="640"/>
      <c r="CA312" s="640"/>
      <c r="CB312" s="640"/>
      <c r="CC312" s="640"/>
      <c r="CD312" s="640"/>
      <c r="CE312" s="640"/>
      <c r="CF312" s="640"/>
      <c r="CG312" s="640"/>
      <c r="CH312" s="640"/>
      <c r="CI312" s="640"/>
      <c r="CJ312" s="641"/>
      <c r="CK312" s="627">
        <v>13200</v>
      </c>
      <c r="CL312" s="628"/>
      <c r="CM312" s="628"/>
      <c r="CN312" s="628"/>
      <c r="CO312" s="628"/>
      <c r="CP312" s="628"/>
      <c r="CQ312" s="628"/>
      <c r="CR312" s="628"/>
      <c r="CS312" s="628"/>
      <c r="CT312" s="628"/>
      <c r="CU312" s="628"/>
      <c r="CV312" s="628"/>
      <c r="CW312" s="628"/>
      <c r="CX312" s="628"/>
      <c r="CY312" s="628"/>
      <c r="CZ312" s="629"/>
      <c r="DA312" s="214"/>
    </row>
    <row r="313" spans="1:105" s="16" customFormat="1" ht="15" customHeight="1" x14ac:dyDescent="0.3">
      <c r="A313" s="553" t="s">
        <v>292</v>
      </c>
      <c r="B313" s="554"/>
      <c r="C313" s="554"/>
      <c r="D313" s="554"/>
      <c r="E313" s="554"/>
      <c r="F313" s="554"/>
      <c r="G313" s="554"/>
      <c r="H313" s="554"/>
      <c r="I313" s="554"/>
      <c r="J313" s="554"/>
      <c r="K313" s="554"/>
      <c r="L313" s="554"/>
      <c r="M313" s="554"/>
      <c r="N313" s="554"/>
      <c r="O313" s="554"/>
      <c r="P313" s="554"/>
      <c r="Q313" s="554"/>
      <c r="R313" s="554"/>
      <c r="S313" s="554"/>
      <c r="T313" s="554"/>
      <c r="U313" s="554"/>
      <c r="V313" s="554"/>
      <c r="W313" s="554"/>
      <c r="X313" s="554"/>
      <c r="Y313" s="554"/>
      <c r="Z313" s="554"/>
      <c r="AA313" s="554"/>
      <c r="AB313" s="554"/>
      <c r="AC313" s="554"/>
      <c r="AD313" s="554"/>
      <c r="AE313" s="554"/>
      <c r="AF313" s="554"/>
      <c r="AG313" s="554"/>
      <c r="AH313" s="554"/>
      <c r="AI313" s="554"/>
      <c r="AJ313" s="554"/>
      <c r="AK313" s="554"/>
      <c r="AL313" s="554"/>
      <c r="AM313" s="554"/>
      <c r="AN313" s="555"/>
      <c r="AO313" s="544" t="s">
        <v>4</v>
      </c>
      <c r="AP313" s="545"/>
      <c r="AQ313" s="545"/>
      <c r="AR313" s="545"/>
      <c r="AS313" s="545"/>
      <c r="AT313" s="545"/>
      <c r="AU313" s="545"/>
      <c r="AV313" s="545"/>
      <c r="AW313" s="545"/>
      <c r="AX313" s="545"/>
      <c r="AY313" s="545"/>
      <c r="AZ313" s="545"/>
      <c r="BA313" s="545"/>
      <c r="BB313" s="545"/>
      <c r="BC313" s="545"/>
      <c r="BD313" s="546"/>
      <c r="BE313" s="544" t="s">
        <v>4</v>
      </c>
      <c r="BF313" s="545"/>
      <c r="BG313" s="545"/>
      <c r="BH313" s="545"/>
      <c r="BI313" s="545"/>
      <c r="BJ313" s="545"/>
      <c r="BK313" s="545"/>
      <c r="BL313" s="545"/>
      <c r="BM313" s="545"/>
      <c r="BN313" s="545"/>
      <c r="BO313" s="545"/>
      <c r="BP313" s="545"/>
      <c r="BQ313" s="545"/>
      <c r="BR313" s="545"/>
      <c r="BS313" s="545"/>
      <c r="BT313" s="546"/>
      <c r="BU313" s="544" t="s">
        <v>4</v>
      </c>
      <c r="BV313" s="545"/>
      <c r="BW313" s="545"/>
      <c r="BX313" s="545"/>
      <c r="BY313" s="545"/>
      <c r="BZ313" s="545"/>
      <c r="CA313" s="545"/>
      <c r="CB313" s="545"/>
      <c r="CC313" s="545"/>
      <c r="CD313" s="545"/>
      <c r="CE313" s="545"/>
      <c r="CF313" s="545"/>
      <c r="CG313" s="545"/>
      <c r="CH313" s="545"/>
      <c r="CI313" s="545"/>
      <c r="CJ313" s="546"/>
      <c r="CK313" s="636">
        <f>SUM(CK308:CZ312)</f>
        <v>325200</v>
      </c>
      <c r="CL313" s="637"/>
      <c r="CM313" s="637"/>
      <c r="CN313" s="637"/>
      <c r="CO313" s="637"/>
      <c r="CP313" s="637"/>
      <c r="CQ313" s="637"/>
      <c r="CR313" s="637"/>
      <c r="CS313" s="637"/>
      <c r="CT313" s="637"/>
      <c r="CU313" s="637"/>
      <c r="CV313" s="637"/>
      <c r="CW313" s="637"/>
      <c r="CX313" s="637"/>
      <c r="CY313" s="637"/>
      <c r="CZ313" s="638"/>
      <c r="DA313" s="214"/>
    </row>
    <row r="314" spans="1:105" s="16" customFormat="1" ht="15" customHeight="1" x14ac:dyDescent="0.3">
      <c r="A314" s="656" t="s">
        <v>591</v>
      </c>
      <c r="B314" s="657"/>
      <c r="C314" s="657"/>
      <c r="D314" s="657"/>
      <c r="E314" s="657"/>
      <c r="F314" s="657"/>
      <c r="G314" s="657"/>
      <c r="H314" s="657"/>
      <c r="I314" s="657"/>
      <c r="J314" s="657"/>
      <c r="K314" s="657"/>
      <c r="L314" s="657"/>
      <c r="M314" s="657"/>
      <c r="N314" s="657"/>
      <c r="O314" s="657"/>
      <c r="P314" s="657"/>
      <c r="Q314" s="657"/>
      <c r="R314" s="657"/>
      <c r="S314" s="657"/>
      <c r="T314" s="657"/>
      <c r="U314" s="657"/>
      <c r="V314" s="657"/>
      <c r="W314" s="657"/>
      <c r="X314" s="657"/>
      <c r="Y314" s="657"/>
      <c r="Z314" s="657"/>
      <c r="AA314" s="657"/>
      <c r="AB314" s="657"/>
      <c r="AC314" s="657"/>
      <c r="AD314" s="657"/>
      <c r="AE314" s="657"/>
      <c r="AF314" s="657"/>
      <c r="AG314" s="657"/>
      <c r="AH314" s="657"/>
      <c r="AI314" s="657"/>
      <c r="AJ314" s="657"/>
      <c r="AK314" s="657"/>
      <c r="AL314" s="657"/>
      <c r="AM314" s="657"/>
      <c r="AN314" s="657"/>
      <c r="AO314" s="65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57"/>
      <c r="BQ314" s="657"/>
      <c r="BR314" s="657"/>
      <c r="BS314" s="657"/>
      <c r="BT314" s="657"/>
      <c r="BU314" s="657"/>
      <c r="BV314" s="657"/>
      <c r="BW314" s="657"/>
      <c r="BX314" s="657"/>
      <c r="BY314" s="657"/>
      <c r="BZ314" s="657"/>
      <c r="CA314" s="657"/>
      <c r="CB314" s="657"/>
      <c r="CC314" s="657"/>
      <c r="CD314" s="657"/>
      <c r="CE314" s="657"/>
      <c r="CF314" s="657"/>
      <c r="CG314" s="657"/>
      <c r="CH314" s="657"/>
      <c r="CI314" s="657"/>
      <c r="CJ314" s="657"/>
      <c r="CK314" s="657"/>
      <c r="CL314" s="657"/>
      <c r="CM314" s="657"/>
      <c r="CN314" s="657"/>
      <c r="CO314" s="657"/>
      <c r="CP314" s="657"/>
      <c r="CQ314" s="657"/>
      <c r="CR314" s="657"/>
      <c r="CS314" s="657"/>
      <c r="CT314" s="657"/>
      <c r="CU314" s="657"/>
      <c r="CV314" s="657"/>
      <c r="CW314" s="657"/>
      <c r="CX314" s="657"/>
      <c r="CY314" s="657"/>
      <c r="CZ314" s="658"/>
      <c r="DA314" s="214"/>
    </row>
    <row r="315" spans="1:105" s="16" customFormat="1" ht="51" customHeight="1" x14ac:dyDescent="0.3">
      <c r="A315" s="630" t="s">
        <v>441</v>
      </c>
      <c r="B315" s="631"/>
      <c r="C315" s="631"/>
      <c r="D315" s="631"/>
      <c r="E315" s="631"/>
      <c r="F315" s="631"/>
      <c r="G315" s="632"/>
      <c r="H315" s="584" t="s">
        <v>588</v>
      </c>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5"/>
      <c r="AL315" s="585"/>
      <c r="AM315" s="585"/>
      <c r="AN315" s="586"/>
      <c r="AO315" s="544">
        <v>22</v>
      </c>
      <c r="AP315" s="545"/>
      <c r="AQ315" s="545"/>
      <c r="AR315" s="545"/>
      <c r="AS315" s="545"/>
      <c r="AT315" s="545"/>
      <c r="AU315" s="545"/>
      <c r="AV315" s="545"/>
      <c r="AW315" s="545"/>
      <c r="AX315" s="545"/>
      <c r="AY315" s="545"/>
      <c r="AZ315" s="545"/>
      <c r="BA315" s="545"/>
      <c r="BB315" s="545"/>
      <c r="BC315" s="545"/>
      <c r="BD315" s="546"/>
      <c r="BE315" s="544">
        <v>12</v>
      </c>
      <c r="BF315" s="545"/>
      <c r="BG315" s="545"/>
      <c r="BH315" s="545"/>
      <c r="BI315" s="545"/>
      <c r="BJ315" s="545"/>
      <c r="BK315" s="545"/>
      <c r="BL315" s="545"/>
      <c r="BM315" s="545"/>
      <c r="BN315" s="545"/>
      <c r="BO315" s="545"/>
      <c r="BP315" s="545"/>
      <c r="BQ315" s="545"/>
      <c r="BR315" s="545"/>
      <c r="BS315" s="545"/>
      <c r="BT315" s="546"/>
      <c r="BU315" s="639">
        <f>CK315/BE315/AO315</f>
        <v>37.878787878787882</v>
      </c>
      <c r="BV315" s="640"/>
      <c r="BW315" s="640"/>
      <c r="BX315" s="640"/>
      <c r="BY315" s="640"/>
      <c r="BZ315" s="640"/>
      <c r="CA315" s="640"/>
      <c r="CB315" s="640"/>
      <c r="CC315" s="640"/>
      <c r="CD315" s="640"/>
      <c r="CE315" s="640"/>
      <c r="CF315" s="640"/>
      <c r="CG315" s="640"/>
      <c r="CH315" s="640"/>
      <c r="CI315" s="640"/>
      <c r="CJ315" s="641"/>
      <c r="CK315" s="627">
        <v>10000</v>
      </c>
      <c r="CL315" s="628"/>
      <c r="CM315" s="628"/>
      <c r="CN315" s="628"/>
      <c r="CO315" s="628"/>
      <c r="CP315" s="628"/>
      <c r="CQ315" s="628"/>
      <c r="CR315" s="628"/>
      <c r="CS315" s="628"/>
      <c r="CT315" s="628"/>
      <c r="CU315" s="628"/>
      <c r="CV315" s="628"/>
      <c r="CW315" s="628"/>
      <c r="CX315" s="628"/>
      <c r="CY315" s="628"/>
      <c r="CZ315" s="629"/>
      <c r="DA315" s="214"/>
    </row>
    <row r="316" spans="1:105" s="16" customFormat="1" ht="56.25" customHeight="1" x14ac:dyDescent="0.3">
      <c r="A316" s="630" t="s">
        <v>444</v>
      </c>
      <c r="B316" s="631"/>
      <c r="C316" s="631"/>
      <c r="D316" s="631"/>
      <c r="E316" s="631"/>
      <c r="F316" s="631"/>
      <c r="G316" s="632"/>
      <c r="H316" s="584" t="s">
        <v>589</v>
      </c>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5"/>
      <c r="AL316" s="585"/>
      <c r="AM316" s="585"/>
      <c r="AN316" s="586"/>
      <c r="AO316" s="544">
        <v>4</v>
      </c>
      <c r="AP316" s="545"/>
      <c r="AQ316" s="545"/>
      <c r="AR316" s="545"/>
      <c r="AS316" s="545"/>
      <c r="AT316" s="545"/>
      <c r="AU316" s="545"/>
      <c r="AV316" s="545"/>
      <c r="AW316" s="545"/>
      <c r="AX316" s="545"/>
      <c r="AY316" s="545"/>
      <c r="AZ316" s="545"/>
      <c r="BA316" s="545"/>
      <c r="BB316" s="545"/>
      <c r="BC316" s="545"/>
      <c r="BD316" s="546"/>
      <c r="BE316" s="544">
        <v>12</v>
      </c>
      <c r="BF316" s="545"/>
      <c r="BG316" s="545"/>
      <c r="BH316" s="545"/>
      <c r="BI316" s="545"/>
      <c r="BJ316" s="545"/>
      <c r="BK316" s="545"/>
      <c r="BL316" s="545"/>
      <c r="BM316" s="545"/>
      <c r="BN316" s="545"/>
      <c r="BO316" s="545"/>
      <c r="BP316" s="545"/>
      <c r="BQ316" s="545"/>
      <c r="BR316" s="545"/>
      <c r="BS316" s="545"/>
      <c r="BT316" s="546"/>
      <c r="BU316" s="639">
        <f>CK316/BE316/AO316</f>
        <v>416.66666666666669</v>
      </c>
      <c r="BV316" s="640"/>
      <c r="BW316" s="640"/>
      <c r="BX316" s="640"/>
      <c r="BY316" s="640"/>
      <c r="BZ316" s="640"/>
      <c r="CA316" s="640"/>
      <c r="CB316" s="640"/>
      <c r="CC316" s="640"/>
      <c r="CD316" s="640"/>
      <c r="CE316" s="640"/>
      <c r="CF316" s="640"/>
      <c r="CG316" s="640"/>
      <c r="CH316" s="640"/>
      <c r="CI316" s="640"/>
      <c r="CJ316" s="641"/>
      <c r="CK316" s="627">
        <v>20000</v>
      </c>
      <c r="CL316" s="628"/>
      <c r="CM316" s="628"/>
      <c r="CN316" s="628"/>
      <c r="CO316" s="628"/>
      <c r="CP316" s="628"/>
      <c r="CQ316" s="628"/>
      <c r="CR316" s="628"/>
      <c r="CS316" s="628"/>
      <c r="CT316" s="628"/>
      <c r="CU316" s="628"/>
      <c r="CV316" s="628"/>
      <c r="CW316" s="628"/>
      <c r="CX316" s="628"/>
      <c r="CY316" s="628"/>
      <c r="CZ316" s="629"/>
      <c r="DA316" s="214"/>
    </row>
    <row r="317" spans="1:105" s="16" customFormat="1" ht="56.25" customHeight="1" x14ac:dyDescent="0.3">
      <c r="A317" s="630" t="s">
        <v>446</v>
      </c>
      <c r="B317" s="631"/>
      <c r="C317" s="631"/>
      <c r="D317" s="631"/>
      <c r="E317" s="631"/>
      <c r="F317" s="631"/>
      <c r="G317" s="632"/>
      <c r="H317" s="584" t="s">
        <v>953</v>
      </c>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5"/>
      <c r="AL317" s="585"/>
      <c r="AM317" s="585"/>
      <c r="AN317" s="586"/>
      <c r="AO317" s="544">
        <v>1</v>
      </c>
      <c r="AP317" s="545"/>
      <c r="AQ317" s="545"/>
      <c r="AR317" s="545"/>
      <c r="AS317" s="545"/>
      <c r="AT317" s="545"/>
      <c r="AU317" s="545"/>
      <c r="AV317" s="545"/>
      <c r="AW317" s="545"/>
      <c r="AX317" s="545"/>
      <c r="AY317" s="545"/>
      <c r="AZ317" s="545"/>
      <c r="BA317" s="545"/>
      <c r="BB317" s="545"/>
      <c r="BC317" s="545"/>
      <c r="BD317" s="546"/>
      <c r="BE317" s="544">
        <v>1</v>
      </c>
      <c r="BF317" s="545"/>
      <c r="BG317" s="545"/>
      <c r="BH317" s="545"/>
      <c r="BI317" s="545"/>
      <c r="BJ317" s="545"/>
      <c r="BK317" s="545"/>
      <c r="BL317" s="545"/>
      <c r="BM317" s="545"/>
      <c r="BN317" s="545"/>
      <c r="BO317" s="545"/>
      <c r="BP317" s="545"/>
      <c r="BQ317" s="545"/>
      <c r="BR317" s="545"/>
      <c r="BS317" s="545"/>
      <c r="BT317" s="546"/>
      <c r="BU317" s="639">
        <f>CK317/BE317/AO317</f>
        <v>1100</v>
      </c>
      <c r="BV317" s="640"/>
      <c r="BW317" s="640"/>
      <c r="BX317" s="640"/>
      <c r="BY317" s="640"/>
      <c r="BZ317" s="640"/>
      <c r="CA317" s="640"/>
      <c r="CB317" s="640"/>
      <c r="CC317" s="640"/>
      <c r="CD317" s="640"/>
      <c r="CE317" s="640"/>
      <c r="CF317" s="640"/>
      <c r="CG317" s="640"/>
      <c r="CH317" s="640"/>
      <c r="CI317" s="640"/>
      <c r="CJ317" s="641"/>
      <c r="CK317" s="627">
        <v>1100</v>
      </c>
      <c r="CL317" s="628"/>
      <c r="CM317" s="628"/>
      <c r="CN317" s="628"/>
      <c r="CO317" s="628"/>
      <c r="CP317" s="628"/>
      <c r="CQ317" s="628"/>
      <c r="CR317" s="628"/>
      <c r="CS317" s="628"/>
      <c r="CT317" s="628"/>
      <c r="CU317" s="628"/>
      <c r="CV317" s="628"/>
      <c r="CW317" s="628"/>
      <c r="CX317" s="628"/>
      <c r="CY317" s="628"/>
      <c r="CZ317" s="629"/>
      <c r="DA317" s="214"/>
    </row>
    <row r="318" spans="1:105" s="16" customFormat="1" ht="15" customHeight="1" x14ac:dyDescent="0.3">
      <c r="A318" s="553" t="s">
        <v>292</v>
      </c>
      <c r="B318" s="554"/>
      <c r="C318" s="554"/>
      <c r="D318" s="554"/>
      <c r="E318" s="554"/>
      <c r="F318" s="554"/>
      <c r="G318" s="554"/>
      <c r="H318" s="554"/>
      <c r="I318" s="554"/>
      <c r="J318" s="554"/>
      <c r="K318" s="554"/>
      <c r="L318" s="554"/>
      <c r="M318" s="554"/>
      <c r="N318" s="554"/>
      <c r="O318" s="554"/>
      <c r="P318" s="554"/>
      <c r="Q318" s="554"/>
      <c r="R318" s="554"/>
      <c r="S318" s="554"/>
      <c r="T318" s="554"/>
      <c r="U318" s="554"/>
      <c r="V318" s="554"/>
      <c r="W318" s="554"/>
      <c r="X318" s="554"/>
      <c r="Y318" s="554"/>
      <c r="Z318" s="554"/>
      <c r="AA318" s="554"/>
      <c r="AB318" s="554"/>
      <c r="AC318" s="554"/>
      <c r="AD318" s="554"/>
      <c r="AE318" s="554"/>
      <c r="AF318" s="554"/>
      <c r="AG318" s="554"/>
      <c r="AH318" s="554"/>
      <c r="AI318" s="554"/>
      <c r="AJ318" s="554"/>
      <c r="AK318" s="554"/>
      <c r="AL318" s="554"/>
      <c r="AM318" s="554"/>
      <c r="AN318" s="555"/>
      <c r="AO318" s="544" t="s">
        <v>4</v>
      </c>
      <c r="AP318" s="545"/>
      <c r="AQ318" s="545"/>
      <c r="AR318" s="545"/>
      <c r="AS318" s="545"/>
      <c r="AT318" s="545"/>
      <c r="AU318" s="545"/>
      <c r="AV318" s="545"/>
      <c r="AW318" s="545"/>
      <c r="AX318" s="545"/>
      <c r="AY318" s="545"/>
      <c r="AZ318" s="545"/>
      <c r="BA318" s="545"/>
      <c r="BB318" s="545"/>
      <c r="BC318" s="545"/>
      <c r="BD318" s="546"/>
      <c r="BE318" s="544" t="s">
        <v>4</v>
      </c>
      <c r="BF318" s="545"/>
      <c r="BG318" s="545"/>
      <c r="BH318" s="545"/>
      <c r="BI318" s="545"/>
      <c r="BJ318" s="545"/>
      <c r="BK318" s="545"/>
      <c r="BL318" s="545"/>
      <c r="BM318" s="545"/>
      <c r="BN318" s="545"/>
      <c r="BO318" s="545"/>
      <c r="BP318" s="545"/>
      <c r="BQ318" s="545"/>
      <c r="BR318" s="545"/>
      <c r="BS318" s="545"/>
      <c r="BT318" s="546"/>
      <c r="BU318" s="544" t="s">
        <v>4</v>
      </c>
      <c r="BV318" s="545"/>
      <c r="BW318" s="545"/>
      <c r="BX318" s="545"/>
      <c r="BY318" s="545"/>
      <c r="BZ318" s="545"/>
      <c r="CA318" s="545"/>
      <c r="CB318" s="545"/>
      <c r="CC318" s="545"/>
      <c r="CD318" s="545"/>
      <c r="CE318" s="545"/>
      <c r="CF318" s="545"/>
      <c r="CG318" s="545"/>
      <c r="CH318" s="545"/>
      <c r="CI318" s="545"/>
      <c r="CJ318" s="546"/>
      <c r="CK318" s="636">
        <f>SUM(CK315:CZ317)</f>
        <v>31100</v>
      </c>
      <c r="CL318" s="654"/>
      <c r="CM318" s="654"/>
      <c r="CN318" s="654"/>
      <c r="CO318" s="654"/>
      <c r="CP318" s="654"/>
      <c r="CQ318" s="654"/>
      <c r="CR318" s="654"/>
      <c r="CS318" s="654"/>
      <c r="CT318" s="654"/>
      <c r="CU318" s="654"/>
      <c r="CV318" s="654"/>
      <c r="CW318" s="654"/>
      <c r="CX318" s="654"/>
      <c r="CY318" s="654"/>
      <c r="CZ318" s="655"/>
      <c r="DA318" s="214"/>
    </row>
    <row r="319" spans="1:105" s="16" customFormat="1" ht="15" customHeight="1" x14ac:dyDescent="0.3">
      <c r="A319" s="553" t="s">
        <v>56</v>
      </c>
      <c r="B319" s="554"/>
      <c r="C319" s="554"/>
      <c r="D319" s="554"/>
      <c r="E319" s="554"/>
      <c r="F319" s="554"/>
      <c r="G319" s="554"/>
      <c r="H319" s="554"/>
      <c r="I319" s="554"/>
      <c r="J319" s="554"/>
      <c r="K319" s="554"/>
      <c r="L319" s="554"/>
      <c r="M319" s="554"/>
      <c r="N319" s="554"/>
      <c r="O319" s="554"/>
      <c r="P319" s="554"/>
      <c r="Q319" s="554"/>
      <c r="R319" s="554"/>
      <c r="S319" s="554"/>
      <c r="T319" s="554"/>
      <c r="U319" s="554"/>
      <c r="V319" s="554"/>
      <c r="W319" s="554"/>
      <c r="X319" s="554"/>
      <c r="Y319" s="554"/>
      <c r="Z319" s="554"/>
      <c r="AA319" s="554"/>
      <c r="AB319" s="554"/>
      <c r="AC319" s="554"/>
      <c r="AD319" s="554"/>
      <c r="AE319" s="554"/>
      <c r="AF319" s="554"/>
      <c r="AG319" s="554"/>
      <c r="AH319" s="554"/>
      <c r="AI319" s="554"/>
      <c r="AJ319" s="554"/>
      <c r="AK319" s="554"/>
      <c r="AL319" s="554"/>
      <c r="AM319" s="554"/>
      <c r="AN319" s="555"/>
      <c r="AO319" s="544" t="s">
        <v>4</v>
      </c>
      <c r="AP319" s="545"/>
      <c r="AQ319" s="545"/>
      <c r="AR319" s="545"/>
      <c r="AS319" s="545"/>
      <c r="AT319" s="545"/>
      <c r="AU319" s="545"/>
      <c r="AV319" s="545"/>
      <c r="AW319" s="545"/>
      <c r="AX319" s="545"/>
      <c r="AY319" s="545"/>
      <c r="AZ319" s="545"/>
      <c r="BA319" s="545"/>
      <c r="BB319" s="545"/>
      <c r="BC319" s="545"/>
      <c r="BD319" s="546"/>
      <c r="BE319" s="544" t="s">
        <v>4</v>
      </c>
      <c r="BF319" s="545"/>
      <c r="BG319" s="545"/>
      <c r="BH319" s="545"/>
      <c r="BI319" s="545"/>
      <c r="BJ319" s="545"/>
      <c r="BK319" s="545"/>
      <c r="BL319" s="545"/>
      <c r="BM319" s="545"/>
      <c r="BN319" s="545"/>
      <c r="BO319" s="545"/>
      <c r="BP319" s="545"/>
      <c r="BQ319" s="545"/>
      <c r="BR319" s="545"/>
      <c r="BS319" s="545"/>
      <c r="BT319" s="546"/>
      <c r="BU319" s="544" t="s">
        <v>4</v>
      </c>
      <c r="BV319" s="545"/>
      <c r="BW319" s="545"/>
      <c r="BX319" s="545"/>
      <c r="BY319" s="545"/>
      <c r="BZ319" s="545"/>
      <c r="CA319" s="545"/>
      <c r="CB319" s="545"/>
      <c r="CC319" s="545"/>
      <c r="CD319" s="545"/>
      <c r="CE319" s="545"/>
      <c r="CF319" s="545"/>
      <c r="CG319" s="545"/>
      <c r="CH319" s="545"/>
      <c r="CI319" s="545"/>
      <c r="CJ319" s="546"/>
      <c r="CK319" s="636">
        <f>CK313+CK318</f>
        <v>356300</v>
      </c>
      <c r="CL319" s="654"/>
      <c r="CM319" s="654"/>
      <c r="CN319" s="654"/>
      <c r="CO319" s="654"/>
      <c r="CP319" s="654"/>
      <c r="CQ319" s="654"/>
      <c r="CR319" s="654"/>
      <c r="CS319" s="654"/>
      <c r="CT319" s="654"/>
      <c r="CU319" s="654"/>
      <c r="CV319" s="654"/>
      <c r="CW319" s="654"/>
      <c r="CX319" s="654"/>
      <c r="CY319" s="654"/>
      <c r="CZ319" s="655"/>
      <c r="DA319" s="220"/>
    </row>
    <row r="320" spans="1:105" ht="10.5" customHeight="1" x14ac:dyDescent="0.25"/>
    <row r="321" spans="1:105" s="20" customFormat="1" hidden="1" x14ac:dyDescent="0.25">
      <c r="A321" s="594" t="s">
        <v>286</v>
      </c>
      <c r="B321" s="594"/>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4"/>
      <c r="AL321" s="594"/>
      <c r="AM321" s="594"/>
      <c r="AN321" s="594"/>
      <c r="AO321" s="594"/>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4"/>
      <c r="BM321" s="594"/>
      <c r="BN321" s="594"/>
      <c r="BO321" s="594"/>
      <c r="BP321" s="594"/>
      <c r="BQ321" s="594"/>
      <c r="BR321" s="594"/>
      <c r="BS321" s="594"/>
      <c r="BT321" s="594"/>
      <c r="BU321" s="594"/>
      <c r="BV321" s="594"/>
      <c r="BW321" s="594"/>
      <c r="BX321" s="594"/>
      <c r="BY321" s="594"/>
      <c r="BZ321" s="594"/>
      <c r="CA321" s="594"/>
      <c r="CB321" s="594"/>
      <c r="CC321" s="594"/>
      <c r="CD321" s="594"/>
      <c r="CE321" s="594"/>
      <c r="CF321" s="594"/>
      <c r="CG321" s="594"/>
      <c r="CH321" s="594"/>
      <c r="CI321" s="594"/>
      <c r="CJ321" s="594"/>
      <c r="CK321" s="594"/>
      <c r="CL321" s="594"/>
      <c r="CM321" s="594"/>
      <c r="CN321" s="594"/>
      <c r="CO321" s="594"/>
      <c r="CP321" s="594"/>
      <c r="CQ321" s="594"/>
      <c r="CR321" s="594"/>
      <c r="CS321" s="594"/>
      <c r="CT321" s="594"/>
      <c r="CU321" s="594"/>
      <c r="CV321" s="594"/>
      <c r="CW321" s="594"/>
      <c r="CX321" s="594"/>
      <c r="CY321" s="594"/>
      <c r="CZ321" s="594"/>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95"/>
      <c r="X323" s="595"/>
      <c r="Y323" s="595"/>
      <c r="Z323" s="595"/>
      <c r="AA323" s="595"/>
      <c r="AB323" s="595"/>
      <c r="AC323" s="595"/>
      <c r="AD323" s="595"/>
      <c r="AE323" s="595"/>
      <c r="AF323" s="595"/>
      <c r="AG323" s="595"/>
      <c r="AH323" s="595"/>
      <c r="AI323" s="595"/>
      <c r="AJ323" s="595"/>
      <c r="AK323" s="595"/>
      <c r="AL323" s="595"/>
      <c r="AM323" s="595"/>
      <c r="AN323" s="595"/>
      <c r="AO323" s="595"/>
      <c r="AP323" s="595"/>
      <c r="AQ323" s="595"/>
      <c r="AR323" s="595"/>
      <c r="AS323" s="595"/>
      <c r="AT323" s="595"/>
      <c r="AU323" s="595"/>
      <c r="AV323" s="595"/>
      <c r="AW323" s="595"/>
      <c r="AX323" s="595"/>
      <c r="AY323" s="595"/>
      <c r="AZ323" s="595"/>
      <c r="BA323" s="595"/>
      <c r="BB323" s="595"/>
      <c r="BC323" s="595"/>
      <c r="BD323" s="595"/>
      <c r="BE323" s="595"/>
      <c r="BF323" s="595"/>
      <c r="BG323" s="595"/>
      <c r="BH323" s="595"/>
      <c r="BI323" s="595"/>
      <c r="BJ323" s="595"/>
      <c r="BK323" s="595"/>
      <c r="BL323" s="595"/>
      <c r="BM323" s="595"/>
      <c r="BN323" s="595"/>
      <c r="BO323" s="595"/>
      <c r="BP323" s="595"/>
      <c r="BQ323" s="595"/>
      <c r="BR323" s="595"/>
      <c r="BS323" s="595"/>
      <c r="BT323" s="595"/>
      <c r="BU323" s="595"/>
      <c r="BV323" s="595"/>
      <c r="BW323" s="595"/>
      <c r="BX323" s="595"/>
      <c r="BY323" s="595"/>
      <c r="BZ323" s="595"/>
      <c r="CA323" s="595"/>
      <c r="CB323" s="595"/>
      <c r="CC323" s="595"/>
      <c r="CD323" s="595"/>
      <c r="CE323" s="595"/>
      <c r="CF323" s="595"/>
      <c r="CG323" s="595"/>
      <c r="CH323" s="595"/>
      <c r="CI323" s="595"/>
      <c r="CJ323" s="595"/>
      <c r="CK323" s="595"/>
      <c r="CL323" s="595"/>
      <c r="CM323" s="595"/>
      <c r="CN323" s="595"/>
      <c r="CO323" s="595"/>
      <c r="CP323" s="595"/>
      <c r="CQ323" s="595"/>
      <c r="CR323" s="595"/>
      <c r="CS323" s="595"/>
      <c r="CT323" s="595"/>
      <c r="CU323" s="595"/>
      <c r="CV323" s="595"/>
      <c r="CW323" s="595"/>
      <c r="CX323" s="595"/>
      <c r="CY323" s="595"/>
      <c r="CZ323" s="595"/>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6" t="s">
        <v>49</v>
      </c>
      <c r="B325" s="606"/>
      <c r="C325" s="606"/>
      <c r="D325" s="606"/>
      <c r="E325" s="606"/>
      <c r="F325" s="606"/>
      <c r="G325" s="606"/>
      <c r="H325" s="606" t="s">
        <v>78</v>
      </c>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6"/>
      <c r="AL325" s="606"/>
      <c r="AM325" s="606"/>
      <c r="AN325" s="606"/>
      <c r="AO325" s="606"/>
      <c r="AP325" s="606"/>
      <c r="AQ325" s="606"/>
      <c r="AR325" s="606"/>
      <c r="AS325" s="606"/>
      <c r="AT325" s="606"/>
      <c r="AU325" s="606"/>
      <c r="AV325" s="606"/>
      <c r="AW325" s="606"/>
      <c r="AX325" s="606"/>
      <c r="AY325" s="606"/>
      <c r="AZ325" s="606"/>
      <c r="BA325" s="606"/>
      <c r="BB325" s="606"/>
      <c r="BC325" s="597" t="s">
        <v>85</v>
      </c>
      <c r="BD325" s="598"/>
      <c r="BE325" s="598"/>
      <c r="BF325" s="598"/>
      <c r="BG325" s="598"/>
      <c r="BH325" s="598"/>
      <c r="BI325" s="598"/>
      <c r="BJ325" s="598"/>
      <c r="BK325" s="598"/>
      <c r="BL325" s="598"/>
      <c r="BM325" s="598"/>
      <c r="BN325" s="598"/>
      <c r="BO325" s="598"/>
      <c r="BP325" s="598"/>
      <c r="BQ325" s="598"/>
      <c r="BR325" s="599"/>
      <c r="BS325" s="597" t="s">
        <v>86</v>
      </c>
      <c r="BT325" s="598"/>
      <c r="BU325" s="598"/>
      <c r="BV325" s="598"/>
      <c r="BW325" s="598"/>
      <c r="BX325" s="598"/>
      <c r="BY325" s="598"/>
      <c r="BZ325" s="598"/>
      <c r="CA325" s="598"/>
      <c r="CB325" s="598"/>
      <c r="CC325" s="598"/>
      <c r="CD325" s="598"/>
      <c r="CE325" s="598"/>
      <c r="CF325" s="598"/>
      <c r="CG325" s="598"/>
      <c r="CH325" s="599"/>
      <c r="CI325" s="597" t="s">
        <v>87</v>
      </c>
      <c r="CJ325" s="598"/>
      <c r="CK325" s="598"/>
      <c r="CL325" s="598"/>
      <c r="CM325" s="598"/>
      <c r="CN325" s="598"/>
      <c r="CO325" s="598"/>
      <c r="CP325" s="598"/>
      <c r="CQ325" s="598"/>
      <c r="CR325" s="598"/>
      <c r="CS325" s="598"/>
      <c r="CT325" s="598"/>
      <c r="CU325" s="598"/>
      <c r="CV325" s="598"/>
      <c r="CW325" s="598"/>
      <c r="CX325" s="598"/>
      <c r="CY325" s="598"/>
      <c r="CZ325" s="599"/>
      <c r="DA325" s="218"/>
    </row>
    <row r="326" spans="1:105" s="15" customFormat="1" ht="13.2" hidden="1" x14ac:dyDescent="0.3">
      <c r="A326" s="591">
        <v>1</v>
      </c>
      <c r="B326" s="591"/>
      <c r="C326" s="591"/>
      <c r="D326" s="591"/>
      <c r="E326" s="591"/>
      <c r="F326" s="591"/>
      <c r="G326" s="591"/>
      <c r="H326" s="591">
        <v>2</v>
      </c>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1"/>
      <c r="AL326" s="591"/>
      <c r="AM326" s="591"/>
      <c r="AN326" s="591"/>
      <c r="AO326" s="591"/>
      <c r="AP326" s="591"/>
      <c r="AQ326" s="591"/>
      <c r="AR326" s="591"/>
      <c r="AS326" s="591"/>
      <c r="AT326" s="591"/>
      <c r="AU326" s="591"/>
      <c r="AV326" s="591"/>
      <c r="AW326" s="591"/>
      <c r="AX326" s="591"/>
      <c r="AY326" s="591"/>
      <c r="AZ326" s="591"/>
      <c r="BA326" s="591"/>
      <c r="BB326" s="591"/>
      <c r="BC326" s="591">
        <v>3</v>
      </c>
      <c r="BD326" s="591"/>
      <c r="BE326" s="591"/>
      <c r="BF326" s="591"/>
      <c r="BG326" s="591"/>
      <c r="BH326" s="591"/>
      <c r="BI326" s="591"/>
      <c r="BJ326" s="591"/>
      <c r="BK326" s="591"/>
      <c r="BL326" s="591"/>
      <c r="BM326" s="591"/>
      <c r="BN326" s="591"/>
      <c r="BO326" s="591"/>
      <c r="BP326" s="591"/>
      <c r="BQ326" s="591"/>
      <c r="BR326" s="591"/>
      <c r="BS326" s="591">
        <v>4</v>
      </c>
      <c r="BT326" s="591"/>
      <c r="BU326" s="591"/>
      <c r="BV326" s="591"/>
      <c r="BW326" s="591"/>
      <c r="BX326" s="591"/>
      <c r="BY326" s="591"/>
      <c r="BZ326" s="591"/>
      <c r="CA326" s="591"/>
      <c r="CB326" s="591"/>
      <c r="CC326" s="591"/>
      <c r="CD326" s="591"/>
      <c r="CE326" s="591"/>
      <c r="CF326" s="591"/>
      <c r="CG326" s="591"/>
      <c r="CH326" s="591"/>
      <c r="CI326" s="591">
        <v>5</v>
      </c>
      <c r="CJ326" s="591"/>
      <c r="CK326" s="591"/>
      <c r="CL326" s="591"/>
      <c r="CM326" s="591"/>
      <c r="CN326" s="591"/>
      <c r="CO326" s="591"/>
      <c r="CP326" s="591"/>
      <c r="CQ326" s="591"/>
      <c r="CR326" s="591"/>
      <c r="CS326" s="591"/>
      <c r="CT326" s="591"/>
      <c r="CU326" s="591"/>
      <c r="CV326" s="591"/>
      <c r="CW326" s="591"/>
      <c r="CX326" s="591"/>
      <c r="CY326" s="591"/>
      <c r="CZ326" s="591"/>
      <c r="DA326" s="219"/>
    </row>
    <row r="327" spans="1:105" s="16" customFormat="1" ht="15" hidden="1" customHeight="1" x14ac:dyDescent="0.3">
      <c r="A327" s="648" t="s">
        <v>258</v>
      </c>
      <c r="B327" s="649"/>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9"/>
      <c r="AL327" s="649"/>
      <c r="AM327" s="649"/>
      <c r="AN327" s="649"/>
      <c r="AO327" s="649"/>
      <c r="AP327" s="649"/>
      <c r="AQ327" s="649"/>
      <c r="AR327" s="649"/>
      <c r="AS327" s="649"/>
      <c r="AT327" s="649"/>
      <c r="AU327" s="649"/>
      <c r="AV327" s="649"/>
      <c r="AW327" s="649"/>
      <c r="AX327" s="649"/>
      <c r="AY327" s="649"/>
      <c r="AZ327" s="649"/>
      <c r="BA327" s="649"/>
      <c r="BB327" s="649"/>
      <c r="BC327" s="649"/>
      <c r="BD327" s="649"/>
      <c r="BE327" s="649"/>
      <c r="BF327" s="649"/>
      <c r="BG327" s="649"/>
      <c r="BH327" s="649"/>
      <c r="BI327" s="649"/>
      <c r="BJ327" s="649"/>
      <c r="BK327" s="649"/>
      <c r="BL327" s="649"/>
      <c r="BM327" s="649"/>
      <c r="BN327" s="649"/>
      <c r="BO327" s="649"/>
      <c r="BP327" s="649"/>
      <c r="BQ327" s="649"/>
      <c r="BR327" s="649"/>
      <c r="BS327" s="649"/>
      <c r="BT327" s="649"/>
      <c r="BU327" s="649"/>
      <c r="BV327" s="649"/>
      <c r="BW327" s="649"/>
      <c r="BX327" s="649"/>
      <c r="BY327" s="649"/>
      <c r="BZ327" s="649"/>
      <c r="CA327" s="649"/>
      <c r="CB327" s="649"/>
      <c r="CC327" s="649"/>
      <c r="CD327" s="649"/>
      <c r="CE327" s="649"/>
      <c r="CF327" s="649"/>
      <c r="CG327" s="649"/>
      <c r="CH327" s="649"/>
      <c r="CI327" s="649"/>
      <c r="CJ327" s="649"/>
      <c r="CK327" s="649"/>
      <c r="CL327" s="649"/>
      <c r="CM327" s="649"/>
      <c r="CN327" s="649"/>
      <c r="CO327" s="649"/>
      <c r="CP327" s="649"/>
      <c r="CQ327" s="649"/>
      <c r="CR327" s="649"/>
      <c r="CS327" s="649"/>
      <c r="CT327" s="649"/>
      <c r="CU327" s="649"/>
      <c r="CV327" s="649"/>
      <c r="CW327" s="649"/>
      <c r="CX327" s="649"/>
      <c r="CY327" s="649"/>
      <c r="CZ327" s="649"/>
      <c r="DA327" s="214"/>
    </row>
    <row r="328" spans="1:105" s="16" customFormat="1" ht="15" hidden="1" customHeight="1" x14ac:dyDescent="0.3">
      <c r="A328" s="630"/>
      <c r="B328" s="631"/>
      <c r="C328" s="631"/>
      <c r="D328" s="631"/>
      <c r="E328" s="631"/>
      <c r="F328" s="631"/>
      <c r="G328" s="632"/>
      <c r="H328" s="584"/>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5"/>
      <c r="AL328" s="585"/>
      <c r="AM328" s="585"/>
      <c r="AN328" s="585"/>
      <c r="AO328" s="585"/>
      <c r="AP328" s="585"/>
      <c r="AQ328" s="585"/>
      <c r="AR328" s="585"/>
      <c r="AS328" s="585"/>
      <c r="AT328" s="585"/>
      <c r="AU328" s="585"/>
      <c r="AV328" s="585"/>
      <c r="AW328" s="585"/>
      <c r="AX328" s="585"/>
      <c r="AY328" s="585"/>
      <c r="AZ328" s="585"/>
      <c r="BA328" s="585"/>
      <c r="BB328" s="586"/>
      <c r="BC328" s="544"/>
      <c r="BD328" s="545"/>
      <c r="BE328" s="545"/>
      <c r="BF328" s="545"/>
      <c r="BG328" s="545"/>
      <c r="BH328" s="545"/>
      <c r="BI328" s="545"/>
      <c r="BJ328" s="545"/>
      <c r="BK328" s="545"/>
      <c r="BL328" s="545"/>
      <c r="BM328" s="545"/>
      <c r="BN328" s="545"/>
      <c r="BO328" s="545"/>
      <c r="BP328" s="545"/>
      <c r="BQ328" s="545"/>
      <c r="BR328" s="546"/>
      <c r="BS328" s="544"/>
      <c r="BT328" s="545"/>
      <c r="BU328" s="545"/>
      <c r="BV328" s="545"/>
      <c r="BW328" s="545"/>
      <c r="BX328" s="545"/>
      <c r="BY328" s="545"/>
      <c r="BZ328" s="545"/>
      <c r="CA328" s="545"/>
      <c r="CB328" s="545"/>
      <c r="CC328" s="545"/>
      <c r="CD328" s="545"/>
      <c r="CE328" s="545"/>
      <c r="CF328" s="545"/>
      <c r="CG328" s="545"/>
      <c r="CH328" s="546"/>
      <c r="CI328" s="544"/>
      <c r="CJ328" s="545"/>
      <c r="CK328" s="545"/>
      <c r="CL328" s="545"/>
      <c r="CM328" s="545"/>
      <c r="CN328" s="545"/>
      <c r="CO328" s="545"/>
      <c r="CP328" s="545"/>
      <c r="CQ328" s="545"/>
      <c r="CR328" s="545"/>
      <c r="CS328" s="545"/>
      <c r="CT328" s="545"/>
      <c r="CU328" s="545"/>
      <c r="CV328" s="545"/>
      <c r="CW328" s="545"/>
      <c r="CX328" s="545"/>
      <c r="CY328" s="545"/>
      <c r="CZ328" s="546"/>
      <c r="DA328" s="214"/>
    </row>
    <row r="329" spans="1:105" s="16" customFormat="1" ht="15" hidden="1" customHeight="1" x14ac:dyDescent="0.3">
      <c r="A329" s="633" t="s">
        <v>292</v>
      </c>
      <c r="B329" s="634"/>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4"/>
      <c r="AL329" s="634"/>
      <c r="AM329" s="634"/>
      <c r="AN329" s="634"/>
      <c r="AO329" s="634"/>
      <c r="AP329" s="634"/>
      <c r="AQ329" s="634"/>
      <c r="AR329" s="634"/>
      <c r="AS329" s="634"/>
      <c r="AT329" s="634"/>
      <c r="AU329" s="634"/>
      <c r="AV329" s="634"/>
      <c r="AW329" s="634"/>
      <c r="AX329" s="634"/>
      <c r="AY329" s="634"/>
      <c r="AZ329" s="634"/>
      <c r="BA329" s="634"/>
      <c r="BB329" s="635"/>
      <c r="BC329" s="582" t="s">
        <v>4</v>
      </c>
      <c r="BD329" s="582"/>
      <c r="BE329" s="582"/>
      <c r="BF329" s="582"/>
      <c r="BG329" s="582"/>
      <c r="BH329" s="582"/>
      <c r="BI329" s="582"/>
      <c r="BJ329" s="582"/>
      <c r="BK329" s="582"/>
      <c r="BL329" s="582"/>
      <c r="BM329" s="582"/>
      <c r="BN329" s="582"/>
      <c r="BO329" s="582"/>
      <c r="BP329" s="582"/>
      <c r="BQ329" s="582"/>
      <c r="BR329" s="582"/>
      <c r="BS329" s="582" t="s">
        <v>4</v>
      </c>
      <c r="BT329" s="582"/>
      <c r="BU329" s="582"/>
      <c r="BV329" s="582"/>
      <c r="BW329" s="582"/>
      <c r="BX329" s="582"/>
      <c r="BY329" s="582"/>
      <c r="BZ329" s="582"/>
      <c r="CA329" s="582"/>
      <c r="CB329" s="582"/>
      <c r="CC329" s="582"/>
      <c r="CD329" s="582"/>
      <c r="CE329" s="582"/>
      <c r="CF329" s="582"/>
      <c r="CG329" s="582"/>
      <c r="CH329" s="582"/>
      <c r="CI329" s="544"/>
      <c r="CJ329" s="545"/>
      <c r="CK329" s="545"/>
      <c r="CL329" s="545"/>
      <c r="CM329" s="545"/>
      <c r="CN329" s="545"/>
      <c r="CO329" s="545"/>
      <c r="CP329" s="545"/>
      <c r="CQ329" s="545"/>
      <c r="CR329" s="545"/>
      <c r="CS329" s="545"/>
      <c r="CT329" s="545"/>
      <c r="CU329" s="545"/>
      <c r="CV329" s="545"/>
      <c r="CW329" s="545"/>
      <c r="CX329" s="545"/>
      <c r="CY329" s="545"/>
      <c r="CZ329" s="546"/>
      <c r="DA329" s="214"/>
    </row>
    <row r="330" spans="1:105" s="16" customFormat="1" ht="15" hidden="1" customHeight="1" x14ac:dyDescent="0.3">
      <c r="A330" s="648" t="s">
        <v>258</v>
      </c>
      <c r="B330" s="649"/>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9"/>
      <c r="AL330" s="649"/>
      <c r="AM330" s="649"/>
      <c r="AN330" s="649"/>
      <c r="AO330" s="649"/>
      <c r="AP330" s="649"/>
      <c r="AQ330" s="649"/>
      <c r="AR330" s="649"/>
      <c r="AS330" s="649"/>
      <c r="AT330" s="649"/>
      <c r="AU330" s="649"/>
      <c r="AV330" s="649"/>
      <c r="AW330" s="649"/>
      <c r="AX330" s="649"/>
      <c r="AY330" s="649"/>
      <c r="AZ330" s="649"/>
      <c r="BA330" s="649"/>
      <c r="BB330" s="649"/>
      <c r="BC330" s="649"/>
      <c r="BD330" s="649"/>
      <c r="BE330" s="649"/>
      <c r="BF330" s="649"/>
      <c r="BG330" s="649"/>
      <c r="BH330" s="649"/>
      <c r="BI330" s="649"/>
      <c r="BJ330" s="649"/>
      <c r="BK330" s="649"/>
      <c r="BL330" s="649"/>
      <c r="BM330" s="649"/>
      <c r="BN330" s="649"/>
      <c r="BO330" s="649"/>
      <c r="BP330" s="649"/>
      <c r="BQ330" s="649"/>
      <c r="BR330" s="649"/>
      <c r="BS330" s="649"/>
      <c r="BT330" s="649"/>
      <c r="BU330" s="649"/>
      <c r="BV330" s="649"/>
      <c r="BW330" s="649"/>
      <c r="BX330" s="649"/>
      <c r="BY330" s="649"/>
      <c r="BZ330" s="649"/>
      <c r="CA330" s="649"/>
      <c r="CB330" s="649"/>
      <c r="CC330" s="649"/>
      <c r="CD330" s="649"/>
      <c r="CE330" s="649"/>
      <c r="CF330" s="649"/>
      <c r="CG330" s="649"/>
      <c r="CH330" s="649"/>
      <c r="CI330" s="649"/>
      <c r="CJ330" s="649"/>
      <c r="CK330" s="649"/>
      <c r="CL330" s="649"/>
      <c r="CM330" s="649"/>
      <c r="CN330" s="649"/>
      <c r="CO330" s="649"/>
      <c r="CP330" s="649"/>
      <c r="CQ330" s="649"/>
      <c r="CR330" s="649"/>
      <c r="CS330" s="649"/>
      <c r="CT330" s="649"/>
      <c r="CU330" s="649"/>
      <c r="CV330" s="649"/>
      <c r="CW330" s="649"/>
      <c r="CX330" s="649"/>
      <c r="CY330" s="649"/>
      <c r="CZ330" s="649"/>
      <c r="DA330" s="214"/>
    </row>
    <row r="331" spans="1:105" s="16" customFormat="1" ht="15" hidden="1" customHeight="1" x14ac:dyDescent="0.3">
      <c r="A331" s="630"/>
      <c r="B331" s="631"/>
      <c r="C331" s="631"/>
      <c r="D331" s="631"/>
      <c r="E331" s="631"/>
      <c r="F331" s="631"/>
      <c r="G331" s="632"/>
      <c r="H331" s="584"/>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5"/>
      <c r="AL331" s="585"/>
      <c r="AM331" s="585"/>
      <c r="AN331" s="585"/>
      <c r="AO331" s="585"/>
      <c r="AP331" s="585"/>
      <c r="AQ331" s="585"/>
      <c r="AR331" s="585"/>
      <c r="AS331" s="585"/>
      <c r="AT331" s="585"/>
      <c r="AU331" s="585"/>
      <c r="AV331" s="585"/>
      <c r="AW331" s="585"/>
      <c r="AX331" s="585"/>
      <c r="AY331" s="585"/>
      <c r="AZ331" s="585"/>
      <c r="BA331" s="585"/>
      <c r="BB331" s="586"/>
      <c r="BC331" s="544"/>
      <c r="BD331" s="545"/>
      <c r="BE331" s="545"/>
      <c r="BF331" s="545"/>
      <c r="BG331" s="545"/>
      <c r="BH331" s="545"/>
      <c r="BI331" s="545"/>
      <c r="BJ331" s="545"/>
      <c r="BK331" s="545"/>
      <c r="BL331" s="545"/>
      <c r="BM331" s="545"/>
      <c r="BN331" s="545"/>
      <c r="BO331" s="545"/>
      <c r="BP331" s="545"/>
      <c r="BQ331" s="545"/>
      <c r="BR331" s="546"/>
      <c r="BS331" s="544"/>
      <c r="BT331" s="545"/>
      <c r="BU331" s="545"/>
      <c r="BV331" s="545"/>
      <c r="BW331" s="545"/>
      <c r="BX331" s="545"/>
      <c r="BY331" s="545"/>
      <c r="BZ331" s="545"/>
      <c r="CA331" s="545"/>
      <c r="CB331" s="545"/>
      <c r="CC331" s="545"/>
      <c r="CD331" s="545"/>
      <c r="CE331" s="545"/>
      <c r="CF331" s="545"/>
      <c r="CG331" s="545"/>
      <c r="CH331" s="546"/>
      <c r="CI331" s="544"/>
      <c r="CJ331" s="545"/>
      <c r="CK331" s="545"/>
      <c r="CL331" s="545"/>
      <c r="CM331" s="545"/>
      <c r="CN331" s="545"/>
      <c r="CO331" s="545"/>
      <c r="CP331" s="545"/>
      <c r="CQ331" s="545"/>
      <c r="CR331" s="545"/>
      <c r="CS331" s="545"/>
      <c r="CT331" s="545"/>
      <c r="CU331" s="545"/>
      <c r="CV331" s="545"/>
      <c r="CW331" s="545"/>
      <c r="CX331" s="545"/>
      <c r="CY331" s="545"/>
      <c r="CZ331" s="546"/>
      <c r="DA331" s="214"/>
    </row>
    <row r="332" spans="1:105" s="16" customFormat="1" ht="15" hidden="1" customHeight="1" x14ac:dyDescent="0.3">
      <c r="A332" s="633" t="s">
        <v>292</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4"/>
      <c r="AL332" s="634"/>
      <c r="AM332" s="634"/>
      <c r="AN332" s="634"/>
      <c r="AO332" s="634"/>
      <c r="AP332" s="634"/>
      <c r="AQ332" s="634"/>
      <c r="AR332" s="634"/>
      <c r="AS332" s="634"/>
      <c r="AT332" s="634"/>
      <c r="AU332" s="634"/>
      <c r="AV332" s="634"/>
      <c r="AW332" s="634"/>
      <c r="AX332" s="634"/>
      <c r="AY332" s="634"/>
      <c r="AZ332" s="634"/>
      <c r="BA332" s="634"/>
      <c r="BB332" s="635"/>
      <c r="BC332" s="582" t="s">
        <v>4</v>
      </c>
      <c r="BD332" s="582"/>
      <c r="BE332" s="582"/>
      <c r="BF332" s="582"/>
      <c r="BG332" s="582"/>
      <c r="BH332" s="582"/>
      <c r="BI332" s="582"/>
      <c r="BJ332" s="582"/>
      <c r="BK332" s="582"/>
      <c r="BL332" s="582"/>
      <c r="BM332" s="582"/>
      <c r="BN332" s="582"/>
      <c r="BO332" s="582"/>
      <c r="BP332" s="582"/>
      <c r="BQ332" s="582"/>
      <c r="BR332" s="582"/>
      <c r="BS332" s="582" t="s">
        <v>4</v>
      </c>
      <c r="BT332" s="582"/>
      <c r="BU332" s="582"/>
      <c r="BV332" s="582"/>
      <c r="BW332" s="582"/>
      <c r="BX332" s="582"/>
      <c r="BY332" s="582"/>
      <c r="BZ332" s="582"/>
      <c r="CA332" s="582"/>
      <c r="CB332" s="582"/>
      <c r="CC332" s="582"/>
      <c r="CD332" s="582"/>
      <c r="CE332" s="582"/>
      <c r="CF332" s="582"/>
      <c r="CG332" s="582"/>
      <c r="CH332" s="582"/>
      <c r="CI332" s="544"/>
      <c r="CJ332" s="545"/>
      <c r="CK332" s="545"/>
      <c r="CL332" s="545"/>
      <c r="CM332" s="545"/>
      <c r="CN332" s="545"/>
      <c r="CO332" s="545"/>
      <c r="CP332" s="545"/>
      <c r="CQ332" s="545"/>
      <c r="CR332" s="545"/>
      <c r="CS332" s="545"/>
      <c r="CT332" s="545"/>
      <c r="CU332" s="545"/>
      <c r="CV332" s="545"/>
      <c r="CW332" s="545"/>
      <c r="CX332" s="545"/>
      <c r="CY332" s="545"/>
      <c r="CZ332" s="546"/>
      <c r="DA332" s="214"/>
    </row>
    <row r="333" spans="1:105" s="16" customFormat="1" ht="15" hidden="1" customHeight="1" x14ac:dyDescent="0.3">
      <c r="A333" s="553" t="s">
        <v>56</v>
      </c>
      <c r="B333" s="554"/>
      <c r="C333" s="554"/>
      <c r="D333" s="554"/>
      <c r="E333" s="554"/>
      <c r="F333" s="554"/>
      <c r="G333" s="554"/>
      <c r="H333" s="554"/>
      <c r="I333" s="554"/>
      <c r="J333" s="554"/>
      <c r="K333" s="554"/>
      <c r="L333" s="554"/>
      <c r="M333" s="554"/>
      <c r="N333" s="554"/>
      <c r="O333" s="554"/>
      <c r="P333" s="554"/>
      <c r="Q333" s="554"/>
      <c r="R333" s="554"/>
      <c r="S333" s="554"/>
      <c r="T333" s="554"/>
      <c r="U333" s="554"/>
      <c r="V333" s="554"/>
      <c r="W333" s="554"/>
      <c r="X333" s="554"/>
      <c r="Y333" s="554"/>
      <c r="Z333" s="554"/>
      <c r="AA333" s="554"/>
      <c r="AB333" s="554"/>
      <c r="AC333" s="554"/>
      <c r="AD333" s="554"/>
      <c r="AE333" s="554"/>
      <c r="AF333" s="554"/>
      <c r="AG333" s="554"/>
      <c r="AH333" s="554"/>
      <c r="AI333" s="554"/>
      <c r="AJ333" s="554"/>
      <c r="AK333" s="554"/>
      <c r="AL333" s="554"/>
      <c r="AM333" s="554"/>
      <c r="AN333" s="554"/>
      <c r="AO333" s="554"/>
      <c r="AP333" s="554"/>
      <c r="AQ333" s="554"/>
      <c r="AR333" s="554"/>
      <c r="AS333" s="554"/>
      <c r="AT333" s="554"/>
      <c r="AU333" s="554"/>
      <c r="AV333" s="554"/>
      <c r="AW333" s="554"/>
      <c r="AX333" s="554"/>
      <c r="AY333" s="554"/>
      <c r="AZ333" s="554"/>
      <c r="BA333" s="554"/>
      <c r="BB333" s="555"/>
      <c r="BC333" s="582" t="s">
        <v>4</v>
      </c>
      <c r="BD333" s="582"/>
      <c r="BE333" s="582"/>
      <c r="BF333" s="582"/>
      <c r="BG333" s="582"/>
      <c r="BH333" s="582"/>
      <c r="BI333" s="582"/>
      <c r="BJ333" s="582"/>
      <c r="BK333" s="582"/>
      <c r="BL333" s="582"/>
      <c r="BM333" s="582"/>
      <c r="BN333" s="582"/>
      <c r="BO333" s="582"/>
      <c r="BP333" s="582"/>
      <c r="BQ333" s="582"/>
      <c r="BR333" s="582"/>
      <c r="BS333" s="582" t="s">
        <v>4</v>
      </c>
      <c r="BT333" s="582"/>
      <c r="BU333" s="582"/>
      <c r="BV333" s="582"/>
      <c r="BW333" s="582"/>
      <c r="BX333" s="582"/>
      <c r="BY333" s="582"/>
      <c r="BZ333" s="582"/>
      <c r="CA333" s="582"/>
      <c r="CB333" s="582"/>
      <c r="CC333" s="582"/>
      <c r="CD333" s="582"/>
      <c r="CE333" s="582"/>
      <c r="CF333" s="582"/>
      <c r="CG333" s="582"/>
      <c r="CH333" s="582"/>
      <c r="CI333" s="582"/>
      <c r="CJ333" s="582"/>
      <c r="CK333" s="582"/>
      <c r="CL333" s="582"/>
      <c r="CM333" s="582"/>
      <c r="CN333" s="582"/>
      <c r="CO333" s="582"/>
      <c r="CP333" s="582"/>
      <c r="CQ333" s="582"/>
      <c r="CR333" s="582"/>
      <c r="CS333" s="582"/>
      <c r="CT333" s="582"/>
      <c r="CU333" s="582"/>
      <c r="CV333" s="582"/>
      <c r="CW333" s="582"/>
      <c r="CX333" s="582"/>
      <c r="CY333" s="582"/>
      <c r="CZ333" s="582"/>
      <c r="DA333" s="214"/>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594" t="s">
        <v>286</v>
      </c>
      <c r="B335" s="594"/>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4"/>
      <c r="AL335" s="594"/>
      <c r="AM335" s="594"/>
      <c r="AN335" s="594"/>
      <c r="AO335" s="594"/>
      <c r="AP335" s="594"/>
      <c r="AQ335" s="594"/>
      <c r="AR335" s="594"/>
      <c r="AS335" s="594"/>
      <c r="AT335" s="594"/>
      <c r="AU335" s="594"/>
      <c r="AV335" s="594"/>
      <c r="AW335" s="594"/>
      <c r="AX335" s="594"/>
      <c r="AY335" s="594"/>
      <c r="AZ335" s="594"/>
      <c r="BA335" s="594"/>
      <c r="BB335" s="594"/>
      <c r="BC335" s="594"/>
      <c r="BD335" s="594"/>
      <c r="BE335" s="594"/>
      <c r="BF335" s="594"/>
      <c r="BG335" s="594"/>
      <c r="BH335" s="594"/>
      <c r="BI335" s="594"/>
      <c r="BJ335" s="594"/>
      <c r="BK335" s="594"/>
      <c r="BL335" s="594"/>
      <c r="BM335" s="594"/>
      <c r="BN335" s="594"/>
      <c r="BO335" s="594"/>
      <c r="BP335" s="594"/>
      <c r="BQ335" s="594"/>
      <c r="BR335" s="594"/>
      <c r="BS335" s="594"/>
      <c r="BT335" s="594"/>
      <c r="BU335" s="594"/>
      <c r="BV335" s="594"/>
      <c r="BW335" s="594"/>
      <c r="BX335" s="594"/>
      <c r="BY335" s="594"/>
      <c r="BZ335" s="594"/>
      <c r="CA335" s="594"/>
      <c r="CB335" s="594"/>
      <c r="CC335" s="594"/>
      <c r="CD335" s="594"/>
      <c r="CE335" s="594"/>
      <c r="CF335" s="594"/>
      <c r="CG335" s="594"/>
      <c r="CH335" s="594"/>
      <c r="CI335" s="594"/>
      <c r="CJ335" s="594"/>
      <c r="CK335" s="594"/>
      <c r="CL335" s="594"/>
      <c r="CM335" s="594"/>
      <c r="CN335" s="594"/>
      <c r="CO335" s="594"/>
      <c r="CP335" s="594"/>
      <c r="CQ335" s="594"/>
      <c r="CR335" s="594"/>
      <c r="CS335" s="594"/>
      <c r="CT335" s="594"/>
      <c r="CU335" s="594"/>
      <c r="CV335" s="594"/>
      <c r="CW335" s="594"/>
      <c r="CX335" s="594"/>
      <c r="CY335" s="594"/>
      <c r="CZ335" s="594"/>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595" t="s">
        <v>587</v>
      </c>
      <c r="X337" s="595"/>
      <c r="Y337" s="595"/>
      <c r="Z337" s="595"/>
      <c r="AA337" s="595"/>
      <c r="AB337" s="595"/>
      <c r="AC337" s="595"/>
      <c r="AD337" s="595"/>
      <c r="AE337" s="595"/>
      <c r="AF337" s="595"/>
      <c r="AG337" s="595"/>
      <c r="AH337" s="595"/>
      <c r="AI337" s="595"/>
      <c r="AJ337" s="595"/>
      <c r="AK337" s="595"/>
      <c r="AL337" s="595"/>
      <c r="AM337" s="595"/>
      <c r="AN337" s="595"/>
      <c r="AO337" s="595"/>
      <c r="AP337" s="595"/>
      <c r="AQ337" s="595"/>
      <c r="AR337" s="595"/>
      <c r="AS337" s="595"/>
      <c r="AT337" s="595"/>
      <c r="AU337" s="595"/>
      <c r="AV337" s="595"/>
      <c r="AW337" s="595"/>
      <c r="AX337" s="595"/>
      <c r="AY337" s="595"/>
      <c r="AZ337" s="595"/>
      <c r="BA337" s="595"/>
      <c r="BB337" s="595"/>
      <c r="BC337" s="595"/>
      <c r="BD337" s="595"/>
      <c r="BE337" s="595"/>
      <c r="BF337" s="595"/>
      <c r="BG337" s="595"/>
      <c r="BH337" s="595"/>
      <c r="BI337" s="595"/>
      <c r="BJ337" s="595"/>
      <c r="BK337" s="595"/>
      <c r="BL337" s="595"/>
      <c r="BM337" s="595"/>
      <c r="BN337" s="595"/>
      <c r="BO337" s="595"/>
      <c r="BP337" s="595"/>
      <c r="BQ337" s="595"/>
      <c r="BR337" s="595"/>
      <c r="BS337" s="595"/>
      <c r="BT337" s="595"/>
      <c r="BU337" s="595"/>
      <c r="BV337" s="595"/>
      <c r="BW337" s="595"/>
      <c r="BX337" s="595"/>
      <c r="BY337" s="595"/>
      <c r="BZ337" s="595"/>
      <c r="CA337" s="595"/>
      <c r="CB337" s="595"/>
      <c r="CC337" s="595"/>
      <c r="CD337" s="595"/>
      <c r="CE337" s="595"/>
      <c r="CF337" s="595"/>
      <c r="CG337" s="595"/>
      <c r="CH337" s="595"/>
      <c r="CI337" s="595"/>
      <c r="CJ337" s="595"/>
      <c r="CK337" s="595"/>
      <c r="CL337" s="595"/>
      <c r="CM337" s="595"/>
      <c r="CN337" s="595"/>
      <c r="CO337" s="595"/>
      <c r="CP337" s="595"/>
      <c r="CQ337" s="595"/>
      <c r="CR337" s="595"/>
      <c r="CS337" s="595"/>
      <c r="CT337" s="595"/>
      <c r="CU337" s="595"/>
      <c r="CV337" s="595"/>
      <c r="CW337" s="595"/>
      <c r="CX337" s="595"/>
      <c r="CY337" s="595"/>
      <c r="CZ337" s="595"/>
      <c r="DA337" s="230">
        <v>222</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75" t="s">
        <v>49</v>
      </c>
      <c r="B339" s="476"/>
      <c r="C339" s="476"/>
      <c r="D339" s="476"/>
      <c r="E339" s="476"/>
      <c r="F339" s="476"/>
      <c r="G339" s="477"/>
      <c r="H339" s="475" t="s">
        <v>0</v>
      </c>
      <c r="I339" s="476"/>
      <c r="J339" s="476"/>
      <c r="K339" s="476"/>
      <c r="L339" s="476"/>
      <c r="M339" s="476"/>
      <c r="N339" s="476"/>
      <c r="O339" s="476"/>
      <c r="P339" s="476"/>
      <c r="Q339" s="476"/>
      <c r="R339" s="476"/>
      <c r="S339" s="476"/>
      <c r="T339" s="476"/>
      <c r="U339" s="476"/>
      <c r="V339" s="476"/>
      <c r="W339" s="476"/>
      <c r="X339" s="476"/>
      <c r="Y339" s="476"/>
      <c r="Z339" s="476"/>
      <c r="AA339" s="476"/>
      <c r="AB339" s="476"/>
      <c r="AC339" s="476"/>
      <c r="AD339" s="476"/>
      <c r="AE339" s="476"/>
      <c r="AF339" s="476"/>
      <c r="AG339" s="476"/>
      <c r="AH339" s="476"/>
      <c r="AI339" s="476"/>
      <c r="AJ339" s="476"/>
      <c r="AK339" s="476"/>
      <c r="AL339" s="476"/>
      <c r="AM339" s="476"/>
      <c r="AN339" s="476"/>
      <c r="AO339" s="476"/>
      <c r="AP339" s="476"/>
      <c r="AQ339" s="476"/>
      <c r="AR339" s="476"/>
      <c r="AS339" s="476"/>
      <c r="AT339" s="476"/>
      <c r="AU339" s="476"/>
      <c r="AV339" s="476"/>
      <c r="AW339" s="476"/>
      <c r="AX339" s="476"/>
      <c r="AY339" s="476"/>
      <c r="AZ339" s="476"/>
      <c r="BA339" s="476"/>
      <c r="BB339" s="477"/>
      <c r="BC339" s="597" t="s">
        <v>94</v>
      </c>
      <c r="BD339" s="598"/>
      <c r="BE339" s="598"/>
      <c r="BF339" s="598"/>
      <c r="BG339" s="598"/>
      <c r="BH339" s="598"/>
      <c r="BI339" s="598"/>
      <c r="BJ339" s="598"/>
      <c r="BK339" s="598"/>
      <c r="BL339" s="598"/>
      <c r="BM339" s="598"/>
      <c r="BN339" s="598"/>
      <c r="BO339" s="598"/>
      <c r="BP339" s="598"/>
      <c r="BQ339" s="598"/>
      <c r="BR339" s="599"/>
      <c r="BS339" s="597" t="s">
        <v>310</v>
      </c>
      <c r="BT339" s="598"/>
      <c r="BU339" s="598"/>
      <c r="BV339" s="598"/>
      <c r="BW339" s="598"/>
      <c r="BX339" s="598"/>
      <c r="BY339" s="598"/>
      <c r="BZ339" s="598"/>
      <c r="CA339" s="598"/>
      <c r="CB339" s="598"/>
      <c r="CC339" s="598"/>
      <c r="CD339" s="598"/>
      <c r="CE339" s="598"/>
      <c r="CF339" s="598"/>
      <c r="CG339" s="598"/>
      <c r="CH339" s="599"/>
      <c r="CI339" s="597" t="s">
        <v>309</v>
      </c>
      <c r="CJ339" s="598"/>
      <c r="CK339" s="598"/>
      <c r="CL339" s="598"/>
      <c r="CM339" s="598"/>
      <c r="CN339" s="598"/>
      <c r="CO339" s="598"/>
      <c r="CP339" s="598"/>
      <c r="CQ339" s="598"/>
      <c r="CR339" s="598"/>
      <c r="CS339" s="598"/>
      <c r="CT339" s="598"/>
      <c r="CU339" s="598"/>
      <c r="CV339" s="598"/>
      <c r="CW339" s="598"/>
      <c r="CX339" s="598"/>
      <c r="CY339" s="598"/>
      <c r="CZ339" s="599"/>
    </row>
    <row r="340" spans="1:105" s="20" customFormat="1" x14ac:dyDescent="0.25">
      <c r="A340" s="591">
        <v>1</v>
      </c>
      <c r="B340" s="591"/>
      <c r="C340" s="591"/>
      <c r="D340" s="591"/>
      <c r="E340" s="591"/>
      <c r="F340" s="591"/>
      <c r="G340" s="591"/>
      <c r="H340" s="591">
        <v>2</v>
      </c>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1"/>
      <c r="AL340" s="591"/>
      <c r="AM340" s="591"/>
      <c r="AN340" s="591"/>
      <c r="AO340" s="591"/>
      <c r="AP340" s="591"/>
      <c r="AQ340" s="591"/>
      <c r="AR340" s="591"/>
      <c r="AS340" s="591"/>
      <c r="AT340" s="591"/>
      <c r="AU340" s="591"/>
      <c r="AV340" s="591"/>
      <c r="AW340" s="591"/>
      <c r="AX340" s="591"/>
      <c r="AY340" s="591"/>
      <c r="AZ340" s="591"/>
      <c r="BA340" s="591"/>
      <c r="BB340" s="591"/>
      <c r="BC340" s="591">
        <v>3</v>
      </c>
      <c r="BD340" s="591"/>
      <c r="BE340" s="591"/>
      <c r="BF340" s="591"/>
      <c r="BG340" s="591"/>
      <c r="BH340" s="591"/>
      <c r="BI340" s="591"/>
      <c r="BJ340" s="591"/>
      <c r="BK340" s="591"/>
      <c r="BL340" s="591"/>
      <c r="BM340" s="591"/>
      <c r="BN340" s="591"/>
      <c r="BO340" s="591"/>
      <c r="BP340" s="591"/>
      <c r="BQ340" s="591"/>
      <c r="BR340" s="591"/>
      <c r="BS340" s="591">
        <v>4</v>
      </c>
      <c r="BT340" s="591"/>
      <c r="BU340" s="591"/>
      <c r="BV340" s="591"/>
      <c r="BW340" s="591"/>
      <c r="BX340" s="591"/>
      <c r="BY340" s="591"/>
      <c r="BZ340" s="591"/>
      <c r="CA340" s="591"/>
      <c r="CB340" s="591"/>
      <c r="CC340" s="591"/>
      <c r="CD340" s="591"/>
      <c r="CE340" s="591"/>
      <c r="CF340" s="591"/>
      <c r="CG340" s="591"/>
      <c r="CH340" s="591"/>
      <c r="CI340" s="591">
        <v>5</v>
      </c>
      <c r="CJ340" s="591"/>
      <c r="CK340" s="591"/>
      <c r="CL340" s="591"/>
      <c r="CM340" s="591"/>
      <c r="CN340" s="591"/>
      <c r="CO340" s="591"/>
      <c r="CP340" s="591"/>
      <c r="CQ340" s="591"/>
      <c r="CR340" s="591"/>
      <c r="CS340" s="591"/>
      <c r="CT340" s="591"/>
      <c r="CU340" s="591"/>
      <c r="CV340" s="591"/>
      <c r="CW340" s="591"/>
      <c r="CX340" s="591"/>
      <c r="CY340" s="591"/>
      <c r="CZ340" s="591"/>
    </row>
    <row r="341" spans="1:105" s="20" customFormat="1" x14ac:dyDescent="0.25">
      <c r="A341" s="656" t="s">
        <v>541</v>
      </c>
      <c r="B341" s="657"/>
      <c r="C341" s="657"/>
      <c r="D341" s="657"/>
      <c r="E341" s="657"/>
      <c r="F341" s="657"/>
      <c r="G341" s="657"/>
      <c r="H341" s="657"/>
      <c r="I341" s="657"/>
      <c r="J341" s="657"/>
      <c r="K341" s="657"/>
      <c r="L341" s="657"/>
      <c r="M341" s="657"/>
      <c r="N341" s="657"/>
      <c r="O341" s="657"/>
      <c r="P341" s="657"/>
      <c r="Q341" s="657"/>
      <c r="R341" s="657"/>
      <c r="S341" s="657"/>
      <c r="T341" s="657"/>
      <c r="U341" s="657"/>
      <c r="V341" s="657"/>
      <c r="W341" s="657"/>
      <c r="X341" s="657"/>
      <c r="Y341" s="657"/>
      <c r="Z341" s="657"/>
      <c r="AA341" s="657"/>
      <c r="AB341" s="657"/>
      <c r="AC341" s="657"/>
      <c r="AD341" s="657"/>
      <c r="AE341" s="657"/>
      <c r="AF341" s="657"/>
      <c r="AG341" s="657"/>
      <c r="AH341" s="657"/>
      <c r="AI341" s="657"/>
      <c r="AJ341" s="657"/>
      <c r="AK341" s="657"/>
      <c r="AL341" s="657"/>
      <c r="AM341" s="657"/>
      <c r="AN341" s="657"/>
      <c r="AO341" s="65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57"/>
      <c r="BQ341" s="657"/>
      <c r="BR341" s="657"/>
      <c r="BS341" s="657"/>
      <c r="BT341" s="657"/>
      <c r="BU341" s="657"/>
      <c r="BV341" s="657"/>
      <c r="BW341" s="657"/>
      <c r="BX341" s="657"/>
      <c r="BY341" s="657"/>
      <c r="BZ341" s="657"/>
      <c r="CA341" s="657"/>
      <c r="CB341" s="657"/>
      <c r="CC341" s="657"/>
      <c r="CD341" s="657"/>
      <c r="CE341" s="657"/>
      <c r="CF341" s="657"/>
      <c r="CG341" s="657"/>
      <c r="CH341" s="657"/>
      <c r="CI341" s="657"/>
      <c r="CJ341" s="657"/>
      <c r="CK341" s="657"/>
      <c r="CL341" s="657"/>
      <c r="CM341" s="657"/>
      <c r="CN341" s="657"/>
      <c r="CO341" s="657"/>
      <c r="CP341" s="657"/>
      <c r="CQ341" s="657"/>
      <c r="CR341" s="657"/>
      <c r="CS341" s="657"/>
      <c r="CT341" s="657"/>
      <c r="CU341" s="657"/>
      <c r="CV341" s="657"/>
      <c r="CW341" s="657"/>
      <c r="CX341" s="657"/>
      <c r="CY341" s="657"/>
      <c r="CZ341" s="658"/>
    </row>
    <row r="342" spans="1:105" s="20" customFormat="1" ht="26.25" customHeight="1" x14ac:dyDescent="0.25">
      <c r="A342" s="630" t="s">
        <v>441</v>
      </c>
      <c r="B342" s="631"/>
      <c r="C342" s="631"/>
      <c r="D342" s="631"/>
      <c r="E342" s="631"/>
      <c r="F342" s="631"/>
      <c r="G342" s="632"/>
      <c r="H342" s="584" t="s">
        <v>592</v>
      </c>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5"/>
      <c r="AL342" s="585"/>
      <c r="AM342" s="585"/>
      <c r="AN342" s="585"/>
      <c r="AO342" s="705"/>
      <c r="AP342" s="705"/>
      <c r="AQ342" s="705"/>
      <c r="AR342" s="705"/>
      <c r="AS342" s="705"/>
      <c r="AT342" s="705"/>
      <c r="AU342" s="705"/>
      <c r="AV342" s="705"/>
      <c r="AW342" s="705"/>
      <c r="AX342" s="705"/>
      <c r="AY342" s="705"/>
      <c r="AZ342" s="705"/>
      <c r="BA342" s="705"/>
      <c r="BB342" s="706"/>
      <c r="BC342" s="675">
        <v>1</v>
      </c>
      <c r="BD342" s="676"/>
      <c r="BE342" s="676"/>
      <c r="BF342" s="676"/>
      <c r="BG342" s="676"/>
      <c r="BH342" s="676"/>
      <c r="BI342" s="676"/>
      <c r="BJ342" s="676"/>
      <c r="BK342" s="676"/>
      <c r="BL342" s="676"/>
      <c r="BM342" s="676"/>
      <c r="BN342" s="676"/>
      <c r="BO342" s="676"/>
      <c r="BP342" s="676"/>
      <c r="BQ342" s="676"/>
      <c r="BR342" s="677"/>
      <c r="BS342" s="627">
        <v>40000</v>
      </c>
      <c r="BT342" s="628"/>
      <c r="BU342" s="628"/>
      <c r="BV342" s="628"/>
      <c r="BW342" s="628"/>
      <c r="BX342" s="628"/>
      <c r="BY342" s="628"/>
      <c r="BZ342" s="628"/>
      <c r="CA342" s="628"/>
      <c r="CB342" s="628"/>
      <c r="CC342" s="628"/>
      <c r="CD342" s="628"/>
      <c r="CE342" s="628"/>
      <c r="CF342" s="628"/>
      <c r="CG342" s="628"/>
      <c r="CH342" s="629"/>
      <c r="CI342" s="627">
        <f>BC342*BS342</f>
        <v>40000</v>
      </c>
      <c r="CJ342" s="628"/>
      <c r="CK342" s="628"/>
      <c r="CL342" s="628"/>
      <c r="CM342" s="628"/>
      <c r="CN342" s="628"/>
      <c r="CO342" s="628"/>
      <c r="CP342" s="628"/>
      <c r="CQ342" s="628"/>
      <c r="CR342" s="628"/>
      <c r="CS342" s="628"/>
      <c r="CT342" s="628"/>
      <c r="CU342" s="628"/>
      <c r="CV342" s="628"/>
      <c r="CW342" s="628"/>
      <c r="CX342" s="628"/>
      <c r="CY342" s="628"/>
      <c r="CZ342" s="629"/>
    </row>
    <row r="343" spans="1:105" s="20" customFormat="1" x14ac:dyDescent="0.25">
      <c r="A343" s="633" t="s">
        <v>292</v>
      </c>
      <c r="B343" s="634"/>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34"/>
      <c r="AL343" s="634"/>
      <c r="AM343" s="634"/>
      <c r="AN343" s="634"/>
      <c r="AO343" s="634"/>
      <c r="AP343" s="634"/>
      <c r="AQ343" s="634"/>
      <c r="AR343" s="634"/>
      <c r="AS343" s="634"/>
      <c r="AT343" s="634"/>
      <c r="AU343" s="634"/>
      <c r="AV343" s="634"/>
      <c r="AW343" s="634"/>
      <c r="AX343" s="634"/>
      <c r="AY343" s="634"/>
      <c r="AZ343" s="634"/>
      <c r="BA343" s="634"/>
      <c r="BB343" s="635"/>
      <c r="BC343" s="544" t="s">
        <v>4</v>
      </c>
      <c r="BD343" s="545"/>
      <c r="BE343" s="545"/>
      <c r="BF343" s="545"/>
      <c r="BG343" s="545"/>
      <c r="BH343" s="545"/>
      <c r="BI343" s="545"/>
      <c r="BJ343" s="545"/>
      <c r="BK343" s="545"/>
      <c r="BL343" s="545"/>
      <c r="BM343" s="545"/>
      <c r="BN343" s="545"/>
      <c r="BO343" s="545"/>
      <c r="BP343" s="545"/>
      <c r="BQ343" s="545"/>
      <c r="BR343" s="546"/>
      <c r="BS343" s="544" t="s">
        <v>4</v>
      </c>
      <c r="BT343" s="545"/>
      <c r="BU343" s="545"/>
      <c r="BV343" s="545"/>
      <c r="BW343" s="545"/>
      <c r="BX343" s="545"/>
      <c r="BY343" s="545"/>
      <c r="BZ343" s="545"/>
      <c r="CA343" s="545"/>
      <c r="CB343" s="545"/>
      <c r="CC343" s="545"/>
      <c r="CD343" s="545"/>
      <c r="CE343" s="545"/>
      <c r="CF343" s="545"/>
      <c r="CG343" s="545"/>
      <c r="CH343" s="546"/>
      <c r="CI343" s="636">
        <f>SUM(CI342)</f>
        <v>40000</v>
      </c>
      <c r="CJ343" s="637"/>
      <c r="CK343" s="637"/>
      <c r="CL343" s="637"/>
      <c r="CM343" s="637"/>
      <c r="CN343" s="637"/>
      <c r="CO343" s="637"/>
      <c r="CP343" s="637"/>
      <c r="CQ343" s="637"/>
      <c r="CR343" s="637"/>
      <c r="CS343" s="637"/>
      <c r="CT343" s="637"/>
      <c r="CU343" s="637"/>
      <c r="CV343" s="637"/>
      <c r="CW343" s="637"/>
      <c r="CX343" s="637"/>
      <c r="CY343" s="637"/>
      <c r="CZ343" s="638"/>
    </row>
    <row r="344" spans="1:105" s="20" customFormat="1" x14ac:dyDescent="0.25">
      <c r="A344" s="553" t="s">
        <v>56</v>
      </c>
      <c r="B344" s="554"/>
      <c r="C344" s="554"/>
      <c r="D344" s="554"/>
      <c r="E344" s="554"/>
      <c r="F344" s="554"/>
      <c r="G344" s="554"/>
      <c r="H344" s="554"/>
      <c r="I344" s="554"/>
      <c r="J344" s="554"/>
      <c r="K344" s="554"/>
      <c r="L344" s="554"/>
      <c r="M344" s="554"/>
      <c r="N344" s="554"/>
      <c r="O344" s="554"/>
      <c r="P344" s="554"/>
      <c r="Q344" s="554"/>
      <c r="R344" s="554"/>
      <c r="S344" s="554"/>
      <c r="T344" s="554"/>
      <c r="U344" s="554"/>
      <c r="V344" s="554"/>
      <c r="W344" s="554"/>
      <c r="X344" s="554"/>
      <c r="Y344" s="554"/>
      <c r="Z344" s="554"/>
      <c r="AA344" s="554"/>
      <c r="AB344" s="554"/>
      <c r="AC344" s="554"/>
      <c r="AD344" s="554"/>
      <c r="AE344" s="554"/>
      <c r="AF344" s="554"/>
      <c r="AG344" s="554"/>
      <c r="AH344" s="554"/>
      <c r="AI344" s="554"/>
      <c r="AJ344" s="554"/>
      <c r="AK344" s="554"/>
      <c r="AL344" s="554"/>
      <c r="AM344" s="554"/>
      <c r="AN344" s="554"/>
      <c r="AO344" s="554"/>
      <c r="AP344" s="554"/>
      <c r="AQ344" s="554"/>
      <c r="AR344" s="554"/>
      <c r="AS344" s="554"/>
      <c r="AT344" s="554"/>
      <c r="AU344" s="554"/>
      <c r="AV344" s="554"/>
      <c r="AW344" s="554"/>
      <c r="AX344" s="554"/>
      <c r="AY344" s="554"/>
      <c r="AZ344" s="554"/>
      <c r="BA344" s="554"/>
      <c r="BB344" s="555"/>
      <c r="BC344" s="544" t="s">
        <v>4</v>
      </c>
      <c r="BD344" s="545"/>
      <c r="BE344" s="545"/>
      <c r="BF344" s="545"/>
      <c r="BG344" s="545"/>
      <c r="BH344" s="545"/>
      <c r="BI344" s="545"/>
      <c r="BJ344" s="545"/>
      <c r="BK344" s="545"/>
      <c r="BL344" s="545"/>
      <c r="BM344" s="545"/>
      <c r="BN344" s="545"/>
      <c r="BO344" s="545"/>
      <c r="BP344" s="545"/>
      <c r="BQ344" s="545"/>
      <c r="BR344" s="546"/>
      <c r="BS344" s="544" t="s">
        <v>4</v>
      </c>
      <c r="BT344" s="545"/>
      <c r="BU344" s="545"/>
      <c r="BV344" s="545"/>
      <c r="BW344" s="545"/>
      <c r="BX344" s="545"/>
      <c r="BY344" s="545"/>
      <c r="BZ344" s="545"/>
      <c r="CA344" s="545"/>
      <c r="CB344" s="545"/>
      <c r="CC344" s="545"/>
      <c r="CD344" s="545"/>
      <c r="CE344" s="545"/>
      <c r="CF344" s="545"/>
      <c r="CG344" s="545"/>
      <c r="CH344" s="546"/>
      <c r="CI344" s="636">
        <f>CI343+CI323+CI317</f>
        <v>40000</v>
      </c>
      <c r="CJ344" s="637"/>
      <c r="CK344" s="637"/>
      <c r="CL344" s="637"/>
      <c r="CM344" s="637"/>
      <c r="CN344" s="637"/>
      <c r="CO344" s="637"/>
      <c r="CP344" s="637"/>
      <c r="CQ344" s="637"/>
      <c r="CR344" s="637"/>
      <c r="CS344" s="637"/>
      <c r="CT344" s="637"/>
      <c r="CU344" s="637"/>
      <c r="CV344" s="637"/>
      <c r="CW344" s="637"/>
      <c r="CX344" s="637"/>
      <c r="CY344" s="637"/>
      <c r="CZ344" s="638"/>
    </row>
    <row r="345" spans="1:105" s="20" customFormat="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9"/>
      <c r="CL345" s="229"/>
      <c r="CM345" s="229"/>
      <c r="CN345" s="229"/>
      <c r="CO345" s="229"/>
      <c r="CP345" s="229"/>
      <c r="CQ345" s="229"/>
      <c r="CR345" s="229"/>
      <c r="CS345" s="229"/>
      <c r="CT345" s="229"/>
      <c r="CU345" s="229"/>
      <c r="CV345" s="229"/>
      <c r="CW345" s="229"/>
      <c r="CX345" s="229"/>
      <c r="CY345" s="229"/>
      <c r="CZ345" s="229"/>
    </row>
    <row r="346" spans="1:105" s="20" customFormat="1" x14ac:dyDescent="0.25">
      <c r="A346" s="594" t="s">
        <v>287</v>
      </c>
      <c r="B346" s="594"/>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4"/>
      <c r="AL346" s="594"/>
      <c r="AM346" s="594"/>
      <c r="AN346" s="594"/>
      <c r="AO346" s="594"/>
      <c r="AP346" s="594"/>
      <c r="AQ346" s="594"/>
      <c r="AR346" s="594"/>
      <c r="AS346" s="594"/>
      <c r="AT346" s="594"/>
      <c r="AU346" s="594"/>
      <c r="AV346" s="594"/>
      <c r="AW346" s="594"/>
      <c r="AX346" s="594"/>
      <c r="AY346" s="594"/>
      <c r="AZ346" s="594"/>
      <c r="BA346" s="594"/>
      <c r="BB346" s="594"/>
      <c r="BC346" s="594"/>
      <c r="BD346" s="594"/>
      <c r="BE346" s="594"/>
      <c r="BF346" s="594"/>
      <c r="BG346" s="594"/>
      <c r="BH346" s="594"/>
      <c r="BI346" s="594"/>
      <c r="BJ346" s="594"/>
      <c r="BK346" s="594"/>
      <c r="BL346" s="594"/>
      <c r="BM346" s="594"/>
      <c r="BN346" s="594"/>
      <c r="BO346" s="594"/>
      <c r="BP346" s="594"/>
      <c r="BQ346" s="594"/>
      <c r="BR346" s="594"/>
      <c r="BS346" s="594"/>
      <c r="BT346" s="594"/>
      <c r="BU346" s="594"/>
      <c r="BV346" s="594"/>
      <c r="BW346" s="594"/>
      <c r="BX346" s="594"/>
      <c r="BY346" s="594"/>
      <c r="BZ346" s="594"/>
      <c r="CA346" s="594"/>
      <c r="CB346" s="594"/>
      <c r="CC346" s="594"/>
      <c r="CD346" s="594"/>
      <c r="CE346" s="594"/>
      <c r="CF346" s="594"/>
      <c r="CG346" s="594"/>
      <c r="CH346" s="594"/>
      <c r="CI346" s="594"/>
      <c r="CJ346" s="594"/>
      <c r="CK346" s="594"/>
      <c r="CL346" s="594"/>
      <c r="CM346" s="594"/>
      <c r="CN346" s="594"/>
      <c r="CO346" s="594"/>
      <c r="CP346" s="594"/>
      <c r="CQ346" s="594"/>
      <c r="CR346" s="594"/>
      <c r="CS346" s="594"/>
      <c r="CT346" s="594"/>
      <c r="CU346" s="594"/>
      <c r="CV346" s="594"/>
      <c r="CW346" s="594"/>
      <c r="CX346" s="594"/>
      <c r="CY346" s="594"/>
      <c r="CZ346" s="594"/>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95" t="s">
        <v>587</v>
      </c>
      <c r="X348" s="595"/>
      <c r="Y348" s="595"/>
      <c r="Z348" s="595"/>
      <c r="AA348" s="595"/>
      <c r="AB348" s="595"/>
      <c r="AC348" s="595"/>
      <c r="AD348" s="595"/>
      <c r="AE348" s="595"/>
      <c r="AF348" s="595"/>
      <c r="AG348" s="595"/>
      <c r="AH348" s="595"/>
      <c r="AI348" s="595"/>
      <c r="AJ348" s="595"/>
      <c r="AK348" s="595"/>
      <c r="AL348" s="595"/>
      <c r="AM348" s="595"/>
      <c r="AN348" s="595"/>
      <c r="AO348" s="595"/>
      <c r="AP348" s="595"/>
      <c r="AQ348" s="595"/>
      <c r="AR348" s="595"/>
      <c r="AS348" s="595"/>
      <c r="AT348" s="595"/>
      <c r="AU348" s="595"/>
      <c r="AV348" s="595"/>
      <c r="AW348" s="595"/>
      <c r="AX348" s="595"/>
      <c r="AY348" s="595"/>
      <c r="AZ348" s="595"/>
      <c r="BA348" s="595"/>
      <c r="BB348" s="595"/>
      <c r="BC348" s="595"/>
      <c r="BD348" s="595"/>
      <c r="BE348" s="595"/>
      <c r="BF348" s="595"/>
      <c r="BG348" s="595"/>
      <c r="BH348" s="595"/>
      <c r="BI348" s="595"/>
      <c r="BJ348" s="595"/>
      <c r="BK348" s="595"/>
      <c r="BL348" s="595"/>
      <c r="BM348" s="595"/>
      <c r="BN348" s="595"/>
      <c r="BO348" s="595"/>
      <c r="BP348" s="595"/>
      <c r="BQ348" s="595"/>
      <c r="BR348" s="595"/>
      <c r="BS348" s="595"/>
      <c r="BT348" s="595"/>
      <c r="BU348" s="595"/>
      <c r="BV348" s="595"/>
      <c r="BW348" s="595"/>
      <c r="BX348" s="595"/>
      <c r="BY348" s="595"/>
      <c r="BZ348" s="595"/>
      <c r="CA348" s="595"/>
      <c r="CB348" s="595"/>
      <c r="CC348" s="595"/>
      <c r="CD348" s="595"/>
      <c r="CE348" s="595"/>
      <c r="CF348" s="595"/>
      <c r="CG348" s="595"/>
      <c r="CH348" s="595"/>
      <c r="CI348" s="595"/>
      <c r="CJ348" s="595"/>
      <c r="CK348" s="595"/>
      <c r="CL348" s="595"/>
      <c r="CM348" s="595"/>
      <c r="CN348" s="595"/>
      <c r="CO348" s="595"/>
      <c r="CP348" s="595"/>
      <c r="CQ348" s="595"/>
      <c r="CR348" s="595"/>
      <c r="CS348" s="595"/>
      <c r="CT348" s="595"/>
      <c r="CU348" s="595"/>
      <c r="CV348" s="595"/>
      <c r="CW348" s="595"/>
      <c r="CX348" s="595"/>
      <c r="CY348" s="595"/>
      <c r="CZ348" s="595"/>
      <c r="DA348" s="230">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75" t="s">
        <v>49</v>
      </c>
      <c r="B350" s="476"/>
      <c r="C350" s="476"/>
      <c r="D350" s="476"/>
      <c r="E350" s="476"/>
      <c r="F350" s="476"/>
      <c r="G350" s="477"/>
      <c r="H350" s="475" t="s">
        <v>0</v>
      </c>
      <c r="I350" s="476"/>
      <c r="J350" s="476"/>
      <c r="K350" s="476"/>
      <c r="L350" s="476"/>
      <c r="M350" s="476"/>
      <c r="N350" s="476"/>
      <c r="O350" s="476"/>
      <c r="P350" s="476"/>
      <c r="Q350" s="476"/>
      <c r="R350" s="476"/>
      <c r="S350" s="476"/>
      <c r="T350" s="476"/>
      <c r="U350" s="476"/>
      <c r="V350" s="476"/>
      <c r="W350" s="476"/>
      <c r="X350" s="476"/>
      <c r="Y350" s="476"/>
      <c r="Z350" s="476"/>
      <c r="AA350" s="476"/>
      <c r="AB350" s="476"/>
      <c r="AC350" s="476"/>
      <c r="AD350" s="476"/>
      <c r="AE350" s="476"/>
      <c r="AF350" s="476"/>
      <c r="AG350" s="476"/>
      <c r="AH350" s="476"/>
      <c r="AI350" s="476"/>
      <c r="AJ350" s="476"/>
      <c r="AK350" s="476"/>
      <c r="AL350" s="476"/>
      <c r="AM350" s="476"/>
      <c r="AN350" s="477"/>
      <c r="AO350" s="475" t="s">
        <v>88</v>
      </c>
      <c r="AP350" s="476"/>
      <c r="AQ350" s="476"/>
      <c r="AR350" s="476"/>
      <c r="AS350" s="476"/>
      <c r="AT350" s="476"/>
      <c r="AU350" s="476"/>
      <c r="AV350" s="476"/>
      <c r="AW350" s="476"/>
      <c r="AX350" s="476"/>
      <c r="AY350" s="476"/>
      <c r="AZ350" s="476"/>
      <c r="BA350" s="476"/>
      <c r="BB350" s="476"/>
      <c r="BC350" s="476"/>
      <c r="BD350" s="477"/>
      <c r="BE350" s="475" t="s">
        <v>89</v>
      </c>
      <c r="BF350" s="476"/>
      <c r="BG350" s="476"/>
      <c r="BH350" s="476"/>
      <c r="BI350" s="476"/>
      <c r="BJ350" s="476"/>
      <c r="BK350" s="476"/>
      <c r="BL350" s="476"/>
      <c r="BM350" s="476"/>
      <c r="BN350" s="476"/>
      <c r="BO350" s="476"/>
      <c r="BP350" s="476"/>
      <c r="BQ350" s="476"/>
      <c r="BR350" s="476"/>
      <c r="BS350" s="476"/>
      <c r="BT350" s="477"/>
      <c r="BU350" s="475" t="s">
        <v>90</v>
      </c>
      <c r="BV350" s="476"/>
      <c r="BW350" s="476"/>
      <c r="BX350" s="476"/>
      <c r="BY350" s="476"/>
      <c r="BZ350" s="476"/>
      <c r="CA350" s="476"/>
      <c r="CB350" s="476"/>
      <c r="CC350" s="476"/>
      <c r="CD350" s="476"/>
      <c r="CE350" s="476"/>
      <c r="CF350" s="476"/>
      <c r="CG350" s="476"/>
      <c r="CH350" s="476"/>
      <c r="CI350" s="476"/>
      <c r="CJ350" s="477"/>
      <c r="CK350" s="475" t="s">
        <v>98</v>
      </c>
      <c r="CL350" s="476"/>
      <c r="CM350" s="476"/>
      <c r="CN350" s="476"/>
      <c r="CO350" s="476"/>
      <c r="CP350" s="476"/>
      <c r="CQ350" s="476"/>
      <c r="CR350" s="476"/>
      <c r="CS350" s="476"/>
      <c r="CT350" s="476"/>
      <c r="CU350" s="476"/>
      <c r="CV350" s="476"/>
      <c r="CW350" s="476"/>
      <c r="CX350" s="476"/>
      <c r="CY350" s="476"/>
      <c r="CZ350" s="477"/>
      <c r="DA350" s="218"/>
    </row>
    <row r="351" spans="1:105" s="15" customFormat="1" ht="13.2" x14ac:dyDescent="0.3">
      <c r="A351" s="591">
        <v>1</v>
      </c>
      <c r="B351" s="591"/>
      <c r="C351" s="591"/>
      <c r="D351" s="591"/>
      <c r="E351" s="591"/>
      <c r="F351" s="591"/>
      <c r="G351" s="591"/>
      <c r="H351" s="591">
        <v>2</v>
      </c>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1"/>
      <c r="AL351" s="591"/>
      <c r="AM351" s="591"/>
      <c r="AN351" s="591"/>
      <c r="AO351" s="591">
        <v>3</v>
      </c>
      <c r="AP351" s="591"/>
      <c r="AQ351" s="591"/>
      <c r="AR351" s="591"/>
      <c r="AS351" s="591"/>
      <c r="AT351" s="591"/>
      <c r="AU351" s="591"/>
      <c r="AV351" s="591"/>
      <c r="AW351" s="591"/>
      <c r="AX351" s="591"/>
      <c r="AY351" s="591"/>
      <c r="AZ351" s="591"/>
      <c r="BA351" s="591"/>
      <c r="BB351" s="591"/>
      <c r="BC351" s="591"/>
      <c r="BD351" s="591"/>
      <c r="BE351" s="591">
        <v>4</v>
      </c>
      <c r="BF351" s="591"/>
      <c r="BG351" s="591"/>
      <c r="BH351" s="591"/>
      <c r="BI351" s="591"/>
      <c r="BJ351" s="591"/>
      <c r="BK351" s="591"/>
      <c r="BL351" s="591"/>
      <c r="BM351" s="591"/>
      <c r="BN351" s="591"/>
      <c r="BO351" s="591"/>
      <c r="BP351" s="591"/>
      <c r="BQ351" s="591"/>
      <c r="BR351" s="591"/>
      <c r="BS351" s="591"/>
      <c r="BT351" s="591"/>
      <c r="BU351" s="591">
        <v>5</v>
      </c>
      <c r="BV351" s="591"/>
      <c r="BW351" s="591"/>
      <c r="BX351" s="591"/>
      <c r="BY351" s="591"/>
      <c r="BZ351" s="591"/>
      <c r="CA351" s="591"/>
      <c r="CB351" s="591"/>
      <c r="CC351" s="591"/>
      <c r="CD351" s="591"/>
      <c r="CE351" s="591"/>
      <c r="CF351" s="591"/>
      <c r="CG351" s="591"/>
      <c r="CH351" s="591"/>
      <c r="CI351" s="591"/>
      <c r="CJ351" s="591"/>
      <c r="CK351" s="591">
        <v>6</v>
      </c>
      <c r="CL351" s="591"/>
      <c r="CM351" s="591"/>
      <c r="CN351" s="591"/>
      <c r="CO351" s="591"/>
      <c r="CP351" s="591"/>
      <c r="CQ351" s="591"/>
      <c r="CR351" s="591"/>
      <c r="CS351" s="591"/>
      <c r="CT351" s="591"/>
      <c r="CU351" s="591"/>
      <c r="CV351" s="591"/>
      <c r="CW351" s="591"/>
      <c r="CX351" s="591"/>
      <c r="CY351" s="591"/>
      <c r="CZ351" s="591"/>
      <c r="DA351" s="219"/>
    </row>
    <row r="352" spans="1:105" s="16" customFormat="1" ht="15" customHeight="1" x14ac:dyDescent="0.3">
      <c r="A352" s="656" t="s">
        <v>537</v>
      </c>
      <c r="B352" s="657"/>
      <c r="C352" s="657"/>
      <c r="D352" s="657"/>
      <c r="E352" s="657"/>
      <c r="F352" s="657"/>
      <c r="G352" s="657"/>
      <c r="H352" s="657"/>
      <c r="I352" s="657"/>
      <c r="J352" s="657"/>
      <c r="K352" s="657"/>
      <c r="L352" s="657"/>
      <c r="M352" s="657"/>
      <c r="N352" s="657"/>
      <c r="O352" s="657"/>
      <c r="P352" s="657"/>
      <c r="Q352" s="657"/>
      <c r="R352" s="657"/>
      <c r="S352" s="657"/>
      <c r="T352" s="657"/>
      <c r="U352" s="657"/>
      <c r="V352" s="657"/>
      <c r="W352" s="657"/>
      <c r="X352" s="657"/>
      <c r="Y352" s="657"/>
      <c r="Z352" s="657"/>
      <c r="AA352" s="657"/>
      <c r="AB352" s="657"/>
      <c r="AC352" s="657"/>
      <c r="AD352" s="657"/>
      <c r="AE352" s="657"/>
      <c r="AF352" s="657"/>
      <c r="AG352" s="657"/>
      <c r="AH352" s="657"/>
      <c r="AI352" s="657"/>
      <c r="AJ352" s="657"/>
      <c r="AK352" s="657"/>
      <c r="AL352" s="657"/>
      <c r="AM352" s="657"/>
      <c r="AN352" s="657"/>
      <c r="AO352" s="65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57"/>
      <c r="BQ352" s="657"/>
      <c r="BR352" s="657"/>
      <c r="BS352" s="657"/>
      <c r="BT352" s="657"/>
      <c r="BU352" s="657"/>
      <c r="BV352" s="657"/>
      <c r="BW352" s="657"/>
      <c r="BX352" s="657"/>
      <c r="BY352" s="657"/>
      <c r="BZ352" s="657"/>
      <c r="CA352" s="657"/>
      <c r="CB352" s="657"/>
      <c r="CC352" s="657"/>
      <c r="CD352" s="657"/>
      <c r="CE352" s="657"/>
      <c r="CF352" s="657"/>
      <c r="CG352" s="657"/>
      <c r="CH352" s="657"/>
      <c r="CI352" s="657"/>
      <c r="CJ352" s="657"/>
      <c r="CK352" s="657"/>
      <c r="CL352" s="657"/>
      <c r="CM352" s="657"/>
      <c r="CN352" s="657"/>
      <c r="CO352" s="657"/>
      <c r="CP352" s="657"/>
      <c r="CQ352" s="657"/>
      <c r="CR352" s="657"/>
      <c r="CS352" s="657"/>
      <c r="CT352" s="657"/>
      <c r="CU352" s="657"/>
      <c r="CV352" s="657"/>
      <c r="CW352" s="657"/>
      <c r="CX352" s="657"/>
      <c r="CY352" s="657"/>
      <c r="CZ352" s="658"/>
      <c r="DA352" s="214"/>
    </row>
    <row r="353" spans="1:105" s="16" customFormat="1" ht="15" hidden="1" customHeight="1" x14ac:dyDescent="0.3">
      <c r="A353" s="630" t="s">
        <v>441</v>
      </c>
      <c r="B353" s="631"/>
      <c r="C353" s="631"/>
      <c r="D353" s="631"/>
      <c r="E353" s="631"/>
      <c r="F353" s="631"/>
      <c r="G353" s="632"/>
      <c r="H353" s="584" t="s">
        <v>593</v>
      </c>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5"/>
      <c r="AL353" s="585"/>
      <c r="AM353" s="585"/>
      <c r="AN353" s="586"/>
      <c r="AO353" s="627"/>
      <c r="AP353" s="628"/>
      <c r="AQ353" s="628"/>
      <c r="AR353" s="628"/>
      <c r="AS353" s="628"/>
      <c r="AT353" s="628"/>
      <c r="AU353" s="628"/>
      <c r="AV353" s="628"/>
      <c r="AW353" s="628"/>
      <c r="AX353" s="628"/>
      <c r="AY353" s="628"/>
      <c r="AZ353" s="628"/>
      <c r="BA353" s="628"/>
      <c r="BB353" s="628"/>
      <c r="BC353" s="628"/>
      <c r="BD353" s="629"/>
      <c r="BE353" s="627"/>
      <c r="BF353" s="628"/>
      <c r="BG353" s="628"/>
      <c r="BH353" s="628"/>
      <c r="BI353" s="628"/>
      <c r="BJ353" s="628"/>
      <c r="BK353" s="628"/>
      <c r="BL353" s="628"/>
      <c r="BM353" s="628"/>
      <c r="BN353" s="628"/>
      <c r="BO353" s="628"/>
      <c r="BP353" s="628"/>
      <c r="BQ353" s="628"/>
      <c r="BR353" s="628"/>
      <c r="BS353" s="628"/>
      <c r="BT353" s="629"/>
      <c r="BU353" s="696"/>
      <c r="BV353" s="697"/>
      <c r="BW353" s="697"/>
      <c r="BX353" s="697"/>
      <c r="BY353" s="697"/>
      <c r="BZ353" s="697"/>
      <c r="CA353" s="697"/>
      <c r="CB353" s="697"/>
      <c r="CC353" s="697"/>
      <c r="CD353" s="697"/>
      <c r="CE353" s="697"/>
      <c r="CF353" s="697"/>
      <c r="CG353" s="697"/>
      <c r="CH353" s="697"/>
      <c r="CI353" s="697"/>
      <c r="CJ353" s="698"/>
      <c r="CK353" s="627"/>
      <c r="CL353" s="628"/>
      <c r="CM353" s="628"/>
      <c r="CN353" s="628"/>
      <c r="CO353" s="628"/>
      <c r="CP353" s="628"/>
      <c r="CQ353" s="628"/>
      <c r="CR353" s="628"/>
      <c r="CS353" s="628"/>
      <c r="CT353" s="628"/>
      <c r="CU353" s="628"/>
      <c r="CV353" s="628"/>
      <c r="CW353" s="628"/>
      <c r="CX353" s="628"/>
      <c r="CY353" s="628"/>
      <c r="CZ353" s="629"/>
      <c r="DA353" s="214"/>
    </row>
    <row r="354" spans="1:105" s="16" customFormat="1" ht="15" hidden="1" customHeight="1" x14ac:dyDescent="0.3">
      <c r="A354" s="630" t="s">
        <v>444</v>
      </c>
      <c r="B354" s="631"/>
      <c r="C354" s="631"/>
      <c r="D354" s="631"/>
      <c r="E354" s="631"/>
      <c r="F354" s="631"/>
      <c r="G354" s="632"/>
      <c r="H354" s="584" t="s">
        <v>594</v>
      </c>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5"/>
      <c r="AL354" s="585"/>
      <c r="AM354" s="585"/>
      <c r="AN354" s="586"/>
      <c r="AO354" s="627"/>
      <c r="AP354" s="628"/>
      <c r="AQ354" s="628"/>
      <c r="AR354" s="628"/>
      <c r="AS354" s="628"/>
      <c r="AT354" s="628"/>
      <c r="AU354" s="628"/>
      <c r="AV354" s="628"/>
      <c r="AW354" s="628"/>
      <c r="AX354" s="628"/>
      <c r="AY354" s="628"/>
      <c r="AZ354" s="628"/>
      <c r="BA354" s="628"/>
      <c r="BB354" s="628"/>
      <c r="BC354" s="628"/>
      <c r="BD354" s="629"/>
      <c r="BE354" s="627"/>
      <c r="BF354" s="628"/>
      <c r="BG354" s="628"/>
      <c r="BH354" s="628"/>
      <c r="BI354" s="628"/>
      <c r="BJ354" s="628"/>
      <c r="BK354" s="628"/>
      <c r="BL354" s="628"/>
      <c r="BM354" s="628"/>
      <c r="BN354" s="628"/>
      <c r="BO354" s="628"/>
      <c r="BP354" s="628"/>
      <c r="BQ354" s="628"/>
      <c r="BR354" s="628"/>
      <c r="BS354" s="628"/>
      <c r="BT354" s="629"/>
      <c r="BU354" s="696"/>
      <c r="BV354" s="697"/>
      <c r="BW354" s="697"/>
      <c r="BX354" s="697"/>
      <c r="BY354" s="697"/>
      <c r="BZ354" s="697"/>
      <c r="CA354" s="697"/>
      <c r="CB354" s="697"/>
      <c r="CC354" s="697"/>
      <c r="CD354" s="697"/>
      <c r="CE354" s="697"/>
      <c r="CF354" s="697"/>
      <c r="CG354" s="697"/>
      <c r="CH354" s="697"/>
      <c r="CI354" s="697"/>
      <c r="CJ354" s="698"/>
      <c r="CK354" s="627"/>
      <c r="CL354" s="628"/>
      <c r="CM354" s="628"/>
      <c r="CN354" s="628"/>
      <c r="CO354" s="628"/>
      <c r="CP354" s="628"/>
      <c r="CQ354" s="628"/>
      <c r="CR354" s="628"/>
      <c r="CS354" s="628"/>
      <c r="CT354" s="628"/>
      <c r="CU354" s="628"/>
      <c r="CV354" s="628"/>
      <c r="CW354" s="628"/>
      <c r="CX354" s="628"/>
      <c r="CY354" s="628"/>
      <c r="CZ354" s="629"/>
      <c r="DA354" s="214"/>
    </row>
    <row r="355" spans="1:105" s="16" customFormat="1" ht="15" customHeight="1" x14ac:dyDescent="0.3">
      <c r="A355" s="630" t="s">
        <v>441</v>
      </c>
      <c r="B355" s="631"/>
      <c r="C355" s="631"/>
      <c r="D355" s="631"/>
      <c r="E355" s="631"/>
      <c r="F355" s="631"/>
      <c r="G355" s="632"/>
      <c r="H355" s="584" t="s">
        <v>824</v>
      </c>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5"/>
      <c r="AL355" s="585"/>
      <c r="AM355" s="585"/>
      <c r="AN355" s="586"/>
      <c r="AO355" s="627">
        <v>2400</v>
      </c>
      <c r="AP355" s="628"/>
      <c r="AQ355" s="628"/>
      <c r="AR355" s="628"/>
      <c r="AS355" s="628"/>
      <c r="AT355" s="628"/>
      <c r="AU355" s="628"/>
      <c r="AV355" s="628"/>
      <c r="AW355" s="628"/>
      <c r="AX355" s="628"/>
      <c r="AY355" s="628"/>
      <c r="AZ355" s="628"/>
      <c r="BA355" s="628"/>
      <c r="BB355" s="628"/>
      <c r="BC355" s="628"/>
      <c r="BD355" s="629"/>
      <c r="BE355" s="693">
        <v>24.19</v>
      </c>
      <c r="BF355" s="694"/>
      <c r="BG355" s="694"/>
      <c r="BH355" s="694"/>
      <c r="BI355" s="694"/>
      <c r="BJ355" s="694"/>
      <c r="BK355" s="694"/>
      <c r="BL355" s="694"/>
      <c r="BM355" s="694"/>
      <c r="BN355" s="694"/>
      <c r="BO355" s="694"/>
      <c r="BP355" s="694"/>
      <c r="BQ355" s="694"/>
      <c r="BR355" s="694"/>
      <c r="BS355" s="694"/>
      <c r="BT355" s="695"/>
      <c r="BU355" s="696">
        <v>5.5E-2</v>
      </c>
      <c r="BV355" s="697"/>
      <c r="BW355" s="697"/>
      <c r="BX355" s="697"/>
      <c r="BY355" s="697"/>
      <c r="BZ355" s="697"/>
      <c r="CA355" s="697"/>
      <c r="CB355" s="697"/>
      <c r="CC355" s="697"/>
      <c r="CD355" s="697"/>
      <c r="CE355" s="697"/>
      <c r="CF355" s="697"/>
      <c r="CG355" s="697"/>
      <c r="CH355" s="697"/>
      <c r="CI355" s="697"/>
      <c r="CJ355" s="698"/>
      <c r="CK355" s="627">
        <f>ROUND(AO355*BE355*BU355+(AO355*BE355),2)</f>
        <v>61249.08</v>
      </c>
      <c r="CL355" s="628"/>
      <c r="CM355" s="628"/>
      <c r="CN355" s="628"/>
      <c r="CO355" s="628"/>
      <c r="CP355" s="628"/>
      <c r="CQ355" s="628"/>
      <c r="CR355" s="628"/>
      <c r="CS355" s="628"/>
      <c r="CT355" s="628"/>
      <c r="CU355" s="628"/>
      <c r="CV355" s="628"/>
      <c r="CW355" s="628"/>
      <c r="CX355" s="628"/>
      <c r="CY355" s="628"/>
      <c r="CZ355" s="628"/>
      <c r="DA355" s="238"/>
    </row>
    <row r="356" spans="1:105" s="16" customFormat="1" ht="15" hidden="1" customHeight="1" x14ac:dyDescent="0.3">
      <c r="A356" s="630" t="s">
        <v>444</v>
      </c>
      <c r="B356" s="631"/>
      <c r="C356" s="631"/>
      <c r="D356" s="631"/>
      <c r="E356" s="631"/>
      <c r="F356" s="631"/>
      <c r="G356" s="632"/>
      <c r="H356" s="584" t="s">
        <v>595</v>
      </c>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5"/>
      <c r="AL356" s="585"/>
      <c r="AM356" s="585"/>
      <c r="AN356" s="586"/>
      <c r="AO356" s="627"/>
      <c r="AP356" s="628"/>
      <c r="AQ356" s="628"/>
      <c r="AR356" s="628"/>
      <c r="AS356" s="628"/>
      <c r="AT356" s="628"/>
      <c r="AU356" s="628"/>
      <c r="AV356" s="628"/>
      <c r="AW356" s="628"/>
      <c r="AX356" s="628"/>
      <c r="AY356" s="628"/>
      <c r="AZ356" s="628"/>
      <c r="BA356" s="628"/>
      <c r="BB356" s="628"/>
      <c r="BC356" s="628"/>
      <c r="BD356" s="629"/>
      <c r="BE356" s="693"/>
      <c r="BF356" s="694"/>
      <c r="BG356" s="694"/>
      <c r="BH356" s="694"/>
      <c r="BI356" s="694"/>
      <c r="BJ356" s="694"/>
      <c r="BK356" s="694"/>
      <c r="BL356" s="694"/>
      <c r="BM356" s="694"/>
      <c r="BN356" s="694"/>
      <c r="BO356" s="694"/>
      <c r="BP356" s="694"/>
      <c r="BQ356" s="694"/>
      <c r="BR356" s="694"/>
      <c r="BS356" s="694"/>
      <c r="BT356" s="695"/>
      <c r="BU356" s="696"/>
      <c r="BV356" s="697"/>
      <c r="BW356" s="697"/>
      <c r="BX356" s="697"/>
      <c r="BY356" s="697"/>
      <c r="BZ356" s="697"/>
      <c r="CA356" s="697"/>
      <c r="CB356" s="697"/>
      <c r="CC356" s="697"/>
      <c r="CD356" s="697"/>
      <c r="CE356" s="697"/>
      <c r="CF356" s="697"/>
      <c r="CG356" s="697"/>
      <c r="CH356" s="697"/>
      <c r="CI356" s="697"/>
      <c r="CJ356" s="698"/>
      <c r="CK356" s="702">
        <f t="shared" ref="CK356:CK359" si="3">ROUND(AO356*BE356*BU356+(AO356*BE356),2)</f>
        <v>0</v>
      </c>
      <c r="CL356" s="703"/>
      <c r="CM356" s="703"/>
      <c r="CN356" s="703"/>
      <c r="CO356" s="703"/>
      <c r="CP356" s="703"/>
      <c r="CQ356" s="703"/>
      <c r="CR356" s="703"/>
      <c r="CS356" s="703"/>
      <c r="CT356" s="703"/>
      <c r="CU356" s="703"/>
      <c r="CV356" s="703"/>
      <c r="CW356" s="703"/>
      <c r="CX356" s="703"/>
      <c r="CY356" s="703"/>
      <c r="CZ356" s="704"/>
      <c r="DA356" s="214"/>
    </row>
    <row r="357" spans="1:105" s="16" customFormat="1" ht="15" customHeight="1" x14ac:dyDescent="0.3">
      <c r="A357" s="630" t="s">
        <v>444</v>
      </c>
      <c r="B357" s="631"/>
      <c r="C357" s="631"/>
      <c r="D357" s="631"/>
      <c r="E357" s="631"/>
      <c r="F357" s="631"/>
      <c r="G357" s="632"/>
      <c r="H357" s="584" t="s">
        <v>596</v>
      </c>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5"/>
      <c r="AL357" s="585"/>
      <c r="AM357" s="585"/>
      <c r="AN357" s="586"/>
      <c r="AO357" s="627">
        <v>2400</v>
      </c>
      <c r="AP357" s="628"/>
      <c r="AQ357" s="628"/>
      <c r="AR357" s="628"/>
      <c r="AS357" s="628"/>
      <c r="AT357" s="628"/>
      <c r="AU357" s="628"/>
      <c r="AV357" s="628"/>
      <c r="AW357" s="628"/>
      <c r="AX357" s="628"/>
      <c r="AY357" s="628"/>
      <c r="AZ357" s="628"/>
      <c r="BA357" s="628"/>
      <c r="BB357" s="628"/>
      <c r="BC357" s="628"/>
      <c r="BD357" s="629"/>
      <c r="BE357" s="693">
        <v>44.46</v>
      </c>
      <c r="BF357" s="694"/>
      <c r="BG357" s="694"/>
      <c r="BH357" s="694"/>
      <c r="BI357" s="694"/>
      <c r="BJ357" s="694"/>
      <c r="BK357" s="694"/>
      <c r="BL357" s="694"/>
      <c r="BM357" s="694"/>
      <c r="BN357" s="694"/>
      <c r="BO357" s="694"/>
      <c r="BP357" s="694"/>
      <c r="BQ357" s="694"/>
      <c r="BR357" s="694"/>
      <c r="BS357" s="694"/>
      <c r="BT357" s="695"/>
      <c r="BU357" s="696">
        <v>5.5E-2</v>
      </c>
      <c r="BV357" s="697"/>
      <c r="BW357" s="697"/>
      <c r="BX357" s="697"/>
      <c r="BY357" s="697"/>
      <c r="BZ357" s="697"/>
      <c r="CA357" s="697"/>
      <c r="CB357" s="697"/>
      <c r="CC357" s="697"/>
      <c r="CD357" s="697"/>
      <c r="CE357" s="697"/>
      <c r="CF357" s="697"/>
      <c r="CG357" s="697"/>
      <c r="CH357" s="697"/>
      <c r="CI357" s="697"/>
      <c r="CJ357" s="698"/>
      <c r="CK357" s="627">
        <f>ROUND(AO357*BE357*BU357+(AO357*BE357),2)</f>
        <v>112572.72</v>
      </c>
      <c r="CL357" s="628"/>
      <c r="CM357" s="628"/>
      <c r="CN357" s="628"/>
      <c r="CO357" s="628"/>
      <c r="CP357" s="628"/>
      <c r="CQ357" s="628"/>
      <c r="CR357" s="628"/>
      <c r="CS357" s="628"/>
      <c r="CT357" s="628"/>
      <c r="CU357" s="628"/>
      <c r="CV357" s="628"/>
      <c r="CW357" s="628"/>
      <c r="CX357" s="628"/>
      <c r="CY357" s="628"/>
      <c r="CZ357" s="629"/>
      <c r="DA357" s="214"/>
    </row>
    <row r="358" spans="1:105" s="16" customFormat="1" ht="39.6" customHeight="1" x14ac:dyDescent="0.3">
      <c r="A358" s="630" t="s">
        <v>446</v>
      </c>
      <c r="B358" s="631"/>
      <c r="C358" s="631"/>
      <c r="D358" s="631"/>
      <c r="E358" s="631"/>
      <c r="F358" s="631"/>
      <c r="G358" s="632"/>
      <c r="H358" s="584" t="s">
        <v>597</v>
      </c>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5"/>
      <c r="AL358" s="585"/>
      <c r="AM358" s="585"/>
      <c r="AN358" s="586"/>
      <c r="AO358" s="627">
        <v>2400</v>
      </c>
      <c r="AP358" s="628"/>
      <c r="AQ358" s="628"/>
      <c r="AR358" s="628"/>
      <c r="AS358" s="628"/>
      <c r="AT358" s="628"/>
      <c r="AU358" s="628"/>
      <c r="AV358" s="628"/>
      <c r="AW358" s="628"/>
      <c r="AX358" s="628"/>
      <c r="AY358" s="628"/>
      <c r="AZ358" s="628"/>
      <c r="BA358" s="628"/>
      <c r="BB358" s="628"/>
      <c r="BC358" s="628"/>
      <c r="BD358" s="629"/>
      <c r="BE358" s="693">
        <v>22.22</v>
      </c>
      <c r="BF358" s="694"/>
      <c r="BG358" s="694"/>
      <c r="BH358" s="694"/>
      <c r="BI358" s="694"/>
      <c r="BJ358" s="694"/>
      <c r="BK358" s="694"/>
      <c r="BL358" s="694"/>
      <c r="BM358" s="694"/>
      <c r="BN358" s="694"/>
      <c r="BO358" s="694"/>
      <c r="BP358" s="694"/>
      <c r="BQ358" s="694"/>
      <c r="BR358" s="694"/>
      <c r="BS358" s="694"/>
      <c r="BT358" s="695"/>
      <c r="BU358" s="696">
        <v>5.5E-2</v>
      </c>
      <c r="BV358" s="697"/>
      <c r="BW358" s="697"/>
      <c r="BX358" s="697"/>
      <c r="BY358" s="697"/>
      <c r="BZ358" s="697"/>
      <c r="CA358" s="697"/>
      <c r="CB358" s="697"/>
      <c r="CC358" s="697"/>
      <c r="CD358" s="697"/>
      <c r="CE358" s="697"/>
      <c r="CF358" s="697"/>
      <c r="CG358" s="697"/>
      <c r="CH358" s="697"/>
      <c r="CI358" s="697"/>
      <c r="CJ358" s="698"/>
      <c r="CK358" s="627">
        <f>ROUND(AO358*BE358*BU358+(AO358*BE358),2)</f>
        <v>56261.04</v>
      </c>
      <c r="CL358" s="628"/>
      <c r="CM358" s="628"/>
      <c r="CN358" s="628"/>
      <c r="CO358" s="628"/>
      <c r="CP358" s="628"/>
      <c r="CQ358" s="628"/>
      <c r="CR358" s="628"/>
      <c r="CS358" s="628"/>
      <c r="CT358" s="628"/>
      <c r="CU358" s="628"/>
      <c r="CV358" s="628"/>
      <c r="CW358" s="628"/>
      <c r="CX358" s="628"/>
      <c r="CY358" s="628"/>
      <c r="CZ358" s="629"/>
      <c r="DA358" s="220"/>
    </row>
    <row r="359" spans="1:105" s="16" customFormat="1" ht="46.5" hidden="1" customHeight="1" x14ac:dyDescent="0.3">
      <c r="A359" s="630" t="s">
        <v>551</v>
      </c>
      <c r="B359" s="631"/>
      <c r="C359" s="631"/>
      <c r="D359" s="631"/>
      <c r="E359" s="631"/>
      <c r="F359" s="631"/>
      <c r="G359" s="632"/>
      <c r="H359" s="584" t="s">
        <v>598</v>
      </c>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5"/>
      <c r="AL359" s="585"/>
      <c r="AM359" s="585"/>
      <c r="AN359" s="586"/>
      <c r="AO359" s="627"/>
      <c r="AP359" s="628"/>
      <c r="AQ359" s="628"/>
      <c r="AR359" s="628"/>
      <c r="AS359" s="628"/>
      <c r="AT359" s="628"/>
      <c r="AU359" s="628"/>
      <c r="AV359" s="628"/>
      <c r="AW359" s="628"/>
      <c r="AX359" s="628"/>
      <c r="AY359" s="628"/>
      <c r="AZ359" s="628"/>
      <c r="BA359" s="628"/>
      <c r="BB359" s="628"/>
      <c r="BC359" s="628"/>
      <c r="BD359" s="629"/>
      <c r="BE359" s="693">
        <v>94.711068600000004</v>
      </c>
      <c r="BF359" s="694"/>
      <c r="BG359" s="694"/>
      <c r="BH359" s="694"/>
      <c r="BI359" s="694"/>
      <c r="BJ359" s="694"/>
      <c r="BK359" s="694"/>
      <c r="BL359" s="694"/>
      <c r="BM359" s="694"/>
      <c r="BN359" s="694"/>
      <c r="BO359" s="694"/>
      <c r="BP359" s="694"/>
      <c r="BQ359" s="694"/>
      <c r="BR359" s="694"/>
      <c r="BS359" s="694"/>
      <c r="BT359" s="695"/>
      <c r="BU359" s="696">
        <v>8.3000000000000004E-2</v>
      </c>
      <c r="BV359" s="697"/>
      <c r="BW359" s="697"/>
      <c r="BX359" s="697"/>
      <c r="BY359" s="697"/>
      <c r="BZ359" s="697"/>
      <c r="CA359" s="697"/>
      <c r="CB359" s="697"/>
      <c r="CC359" s="697"/>
      <c r="CD359" s="697"/>
      <c r="CE359" s="697"/>
      <c r="CF359" s="697"/>
      <c r="CG359" s="697"/>
      <c r="CH359" s="697"/>
      <c r="CI359" s="697"/>
      <c r="CJ359" s="698"/>
      <c r="CK359" s="702">
        <f t="shared" si="3"/>
        <v>0</v>
      </c>
      <c r="CL359" s="703"/>
      <c r="CM359" s="703"/>
      <c r="CN359" s="703"/>
      <c r="CO359" s="703"/>
      <c r="CP359" s="703"/>
      <c r="CQ359" s="703"/>
      <c r="CR359" s="703"/>
      <c r="CS359" s="703"/>
      <c r="CT359" s="703"/>
      <c r="CU359" s="703"/>
      <c r="CV359" s="703"/>
      <c r="CW359" s="703"/>
      <c r="CX359" s="703"/>
      <c r="CY359" s="703"/>
      <c r="CZ359" s="704"/>
      <c r="DA359" s="214"/>
    </row>
    <row r="360" spans="1:105" s="16" customFormat="1" ht="39" customHeight="1" x14ac:dyDescent="0.3">
      <c r="A360" s="630" t="s">
        <v>477</v>
      </c>
      <c r="B360" s="631"/>
      <c r="C360" s="631"/>
      <c r="D360" s="631"/>
      <c r="E360" s="631"/>
      <c r="F360" s="631"/>
      <c r="G360" s="632"/>
      <c r="H360" s="584" t="s">
        <v>600</v>
      </c>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5"/>
      <c r="AL360" s="585"/>
      <c r="AM360" s="585"/>
      <c r="AN360" s="586"/>
      <c r="AO360" s="627">
        <v>225</v>
      </c>
      <c r="AP360" s="628"/>
      <c r="AQ360" s="628"/>
      <c r="AR360" s="628"/>
      <c r="AS360" s="628"/>
      <c r="AT360" s="628"/>
      <c r="AU360" s="628"/>
      <c r="AV360" s="628"/>
      <c r="AW360" s="628"/>
      <c r="AX360" s="628"/>
      <c r="AY360" s="628"/>
      <c r="AZ360" s="628"/>
      <c r="BA360" s="628"/>
      <c r="BB360" s="628"/>
      <c r="BC360" s="628"/>
      <c r="BD360" s="629"/>
      <c r="BE360" s="693">
        <v>980.6</v>
      </c>
      <c r="BF360" s="694"/>
      <c r="BG360" s="694"/>
      <c r="BH360" s="694"/>
      <c r="BI360" s="694"/>
      <c r="BJ360" s="694"/>
      <c r="BK360" s="694"/>
      <c r="BL360" s="694"/>
      <c r="BM360" s="694"/>
      <c r="BN360" s="694"/>
      <c r="BO360" s="694"/>
      <c r="BP360" s="694"/>
      <c r="BQ360" s="694"/>
      <c r="BR360" s="694"/>
      <c r="BS360" s="694"/>
      <c r="BT360" s="695"/>
      <c r="BU360" s="696">
        <v>5.5E-2</v>
      </c>
      <c r="BV360" s="697"/>
      <c r="BW360" s="697"/>
      <c r="BX360" s="697"/>
      <c r="BY360" s="697"/>
      <c r="BZ360" s="697"/>
      <c r="CA360" s="697"/>
      <c r="CB360" s="697"/>
      <c r="CC360" s="697"/>
      <c r="CD360" s="697"/>
      <c r="CE360" s="697"/>
      <c r="CF360" s="697"/>
      <c r="CG360" s="697"/>
      <c r="CH360" s="697"/>
      <c r="CI360" s="697"/>
      <c r="CJ360" s="698"/>
      <c r="CK360" s="627">
        <f>ROUND(AO360*BE360*BU360+(AO360*BE360),2)</f>
        <v>232769.93</v>
      </c>
      <c r="CL360" s="628"/>
      <c r="CM360" s="628"/>
      <c r="CN360" s="628"/>
      <c r="CO360" s="628"/>
      <c r="CP360" s="628"/>
      <c r="CQ360" s="628"/>
      <c r="CR360" s="628"/>
      <c r="CS360" s="628"/>
      <c r="CT360" s="628"/>
      <c r="CU360" s="628"/>
      <c r="CV360" s="628"/>
      <c r="CW360" s="628"/>
      <c r="CX360" s="628"/>
      <c r="CY360" s="628"/>
      <c r="CZ360" s="629"/>
      <c r="DA360" s="214"/>
    </row>
    <row r="361" spans="1:105" s="16" customFormat="1" ht="15" customHeight="1" x14ac:dyDescent="0.3">
      <c r="A361" s="553" t="s">
        <v>292</v>
      </c>
      <c r="B361" s="554"/>
      <c r="C361" s="554"/>
      <c r="D361" s="554"/>
      <c r="E361" s="554"/>
      <c r="F361" s="554"/>
      <c r="G361" s="554"/>
      <c r="H361" s="554"/>
      <c r="I361" s="554"/>
      <c r="J361" s="554"/>
      <c r="K361" s="554"/>
      <c r="L361" s="554"/>
      <c r="M361" s="554"/>
      <c r="N361" s="554"/>
      <c r="O361" s="554"/>
      <c r="P361" s="554"/>
      <c r="Q361" s="554"/>
      <c r="R361" s="554"/>
      <c r="S361" s="554"/>
      <c r="T361" s="554"/>
      <c r="U361" s="554"/>
      <c r="V361" s="554"/>
      <c r="W361" s="554"/>
      <c r="X361" s="554"/>
      <c r="Y361" s="554"/>
      <c r="Z361" s="554"/>
      <c r="AA361" s="554"/>
      <c r="AB361" s="554"/>
      <c r="AC361" s="554"/>
      <c r="AD361" s="554"/>
      <c r="AE361" s="554"/>
      <c r="AF361" s="554"/>
      <c r="AG361" s="554"/>
      <c r="AH361" s="554"/>
      <c r="AI361" s="554"/>
      <c r="AJ361" s="554"/>
      <c r="AK361" s="554"/>
      <c r="AL361" s="554"/>
      <c r="AM361" s="554"/>
      <c r="AN361" s="555"/>
      <c r="AO361" s="544" t="s">
        <v>4</v>
      </c>
      <c r="AP361" s="545"/>
      <c r="AQ361" s="545"/>
      <c r="AR361" s="545"/>
      <c r="AS361" s="545"/>
      <c r="AT361" s="545"/>
      <c r="AU361" s="545"/>
      <c r="AV361" s="545"/>
      <c r="AW361" s="545"/>
      <c r="AX361" s="545"/>
      <c r="AY361" s="545"/>
      <c r="AZ361" s="545"/>
      <c r="BA361" s="545"/>
      <c r="BB361" s="545"/>
      <c r="BC361" s="545"/>
      <c r="BD361" s="546"/>
      <c r="BE361" s="544" t="s">
        <v>4</v>
      </c>
      <c r="BF361" s="545"/>
      <c r="BG361" s="545"/>
      <c r="BH361" s="545"/>
      <c r="BI361" s="545"/>
      <c r="BJ361" s="545"/>
      <c r="BK361" s="545"/>
      <c r="BL361" s="545"/>
      <c r="BM361" s="545"/>
      <c r="BN361" s="545"/>
      <c r="BO361" s="545"/>
      <c r="BP361" s="545"/>
      <c r="BQ361" s="545"/>
      <c r="BR361" s="545"/>
      <c r="BS361" s="545"/>
      <c r="BT361" s="546"/>
      <c r="BU361" s="544" t="s">
        <v>4</v>
      </c>
      <c r="BV361" s="545"/>
      <c r="BW361" s="545"/>
      <c r="BX361" s="545"/>
      <c r="BY361" s="545"/>
      <c r="BZ361" s="545"/>
      <c r="CA361" s="545"/>
      <c r="CB361" s="545"/>
      <c r="CC361" s="545"/>
      <c r="CD361" s="545"/>
      <c r="CE361" s="545"/>
      <c r="CF361" s="545"/>
      <c r="CG361" s="545"/>
      <c r="CH361" s="545"/>
      <c r="CI361" s="545"/>
      <c r="CJ361" s="546"/>
      <c r="CK361" s="636">
        <f>SUM(CK355:CZ360)</f>
        <v>462852.77</v>
      </c>
      <c r="CL361" s="654"/>
      <c r="CM361" s="654"/>
      <c r="CN361" s="654"/>
      <c r="CO361" s="654"/>
      <c r="CP361" s="654"/>
      <c r="CQ361" s="654"/>
      <c r="CR361" s="654"/>
      <c r="CS361" s="654"/>
      <c r="CT361" s="654"/>
      <c r="CU361" s="654"/>
      <c r="CV361" s="654"/>
      <c r="CW361" s="654"/>
      <c r="CX361" s="654"/>
      <c r="CY361" s="654"/>
      <c r="CZ361" s="655"/>
      <c r="DA361" s="214"/>
    </row>
    <row r="362" spans="1:105" s="16" customFormat="1" ht="15" customHeight="1" x14ac:dyDescent="0.3">
      <c r="A362" s="656" t="s">
        <v>591</v>
      </c>
      <c r="B362" s="657"/>
      <c r="C362" s="657"/>
      <c r="D362" s="657"/>
      <c r="E362" s="657"/>
      <c r="F362" s="657"/>
      <c r="G362" s="657"/>
      <c r="H362" s="657"/>
      <c r="I362" s="657"/>
      <c r="J362" s="657"/>
      <c r="K362" s="657"/>
      <c r="L362" s="657"/>
      <c r="M362" s="657"/>
      <c r="N362" s="657"/>
      <c r="O362" s="657"/>
      <c r="P362" s="657"/>
      <c r="Q362" s="657"/>
      <c r="R362" s="657"/>
      <c r="S362" s="657"/>
      <c r="T362" s="657"/>
      <c r="U362" s="657"/>
      <c r="V362" s="657"/>
      <c r="W362" s="657"/>
      <c r="X362" s="657"/>
      <c r="Y362" s="657"/>
      <c r="Z362" s="657"/>
      <c r="AA362" s="657"/>
      <c r="AB362" s="657"/>
      <c r="AC362" s="657"/>
      <c r="AD362" s="657"/>
      <c r="AE362" s="657"/>
      <c r="AF362" s="657"/>
      <c r="AG362" s="657"/>
      <c r="AH362" s="657"/>
      <c r="AI362" s="657"/>
      <c r="AJ362" s="657"/>
      <c r="AK362" s="657"/>
      <c r="AL362" s="657"/>
      <c r="AM362" s="657"/>
      <c r="AN362" s="657"/>
      <c r="AO362" s="65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57"/>
      <c r="BQ362" s="657"/>
      <c r="BR362" s="657"/>
      <c r="BS362" s="657"/>
      <c r="BT362" s="657"/>
      <c r="BU362" s="657"/>
      <c r="BV362" s="657"/>
      <c r="BW362" s="657"/>
      <c r="BX362" s="657"/>
      <c r="BY362" s="657"/>
      <c r="BZ362" s="657"/>
      <c r="CA362" s="657"/>
      <c r="CB362" s="657"/>
      <c r="CC362" s="657"/>
      <c r="CD362" s="657"/>
      <c r="CE362" s="657"/>
      <c r="CF362" s="657"/>
      <c r="CG362" s="657"/>
      <c r="CH362" s="657"/>
      <c r="CI362" s="657"/>
      <c r="CJ362" s="657"/>
      <c r="CK362" s="657"/>
      <c r="CL362" s="657"/>
      <c r="CM362" s="657"/>
      <c r="CN362" s="657"/>
      <c r="CO362" s="657"/>
      <c r="CP362" s="657"/>
      <c r="CQ362" s="657"/>
      <c r="CR362" s="657"/>
      <c r="CS362" s="657"/>
      <c r="CT362" s="657"/>
      <c r="CU362" s="657"/>
      <c r="CV362" s="657"/>
      <c r="CW362" s="657"/>
      <c r="CX362" s="657"/>
      <c r="CY362" s="657"/>
      <c r="CZ362" s="658"/>
      <c r="DA362" s="214"/>
    </row>
    <row r="363" spans="1:105" s="16" customFormat="1" ht="15" customHeight="1" x14ac:dyDescent="0.3">
      <c r="A363" s="630" t="s">
        <v>441</v>
      </c>
      <c r="B363" s="631"/>
      <c r="C363" s="631"/>
      <c r="D363" s="631"/>
      <c r="E363" s="631"/>
      <c r="F363" s="631"/>
      <c r="G363" s="632"/>
      <c r="H363" s="584" t="s">
        <v>593</v>
      </c>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5"/>
      <c r="AL363" s="585"/>
      <c r="AM363" s="585"/>
      <c r="AN363" s="586"/>
      <c r="AO363" s="544"/>
      <c r="AP363" s="545"/>
      <c r="AQ363" s="545"/>
      <c r="AR363" s="545"/>
      <c r="AS363" s="545"/>
      <c r="AT363" s="545"/>
      <c r="AU363" s="545"/>
      <c r="AV363" s="545"/>
      <c r="AW363" s="545"/>
      <c r="AX363" s="545"/>
      <c r="AY363" s="545"/>
      <c r="AZ363" s="545"/>
      <c r="BA363" s="545"/>
      <c r="BB363" s="545"/>
      <c r="BC363" s="545"/>
      <c r="BD363" s="546"/>
      <c r="BE363" s="627"/>
      <c r="BF363" s="628"/>
      <c r="BG363" s="628"/>
      <c r="BH363" s="628"/>
      <c r="BI363" s="628"/>
      <c r="BJ363" s="628"/>
      <c r="BK363" s="628"/>
      <c r="BL363" s="628"/>
      <c r="BM363" s="628"/>
      <c r="BN363" s="628"/>
      <c r="BO363" s="628"/>
      <c r="BP363" s="628"/>
      <c r="BQ363" s="628"/>
      <c r="BR363" s="628"/>
      <c r="BS363" s="628"/>
      <c r="BT363" s="629"/>
      <c r="BU363" s="696"/>
      <c r="BV363" s="697"/>
      <c r="BW363" s="697"/>
      <c r="BX363" s="697"/>
      <c r="BY363" s="697"/>
      <c r="BZ363" s="697"/>
      <c r="CA363" s="697"/>
      <c r="CB363" s="697"/>
      <c r="CC363" s="697"/>
      <c r="CD363" s="697"/>
      <c r="CE363" s="697"/>
      <c r="CF363" s="697"/>
      <c r="CG363" s="697"/>
      <c r="CH363" s="697"/>
      <c r="CI363" s="697"/>
      <c r="CJ363" s="698"/>
      <c r="CK363" s="627"/>
      <c r="CL363" s="628"/>
      <c r="CM363" s="628"/>
      <c r="CN363" s="628"/>
      <c r="CO363" s="628"/>
      <c r="CP363" s="628"/>
      <c r="CQ363" s="628"/>
      <c r="CR363" s="628"/>
      <c r="CS363" s="628"/>
      <c r="CT363" s="628"/>
      <c r="CU363" s="628"/>
      <c r="CV363" s="628"/>
      <c r="CW363" s="628"/>
      <c r="CX363" s="628"/>
      <c r="CY363" s="628"/>
      <c r="CZ363" s="629"/>
      <c r="DA363" s="214"/>
    </row>
    <row r="364" spans="1:105" s="16" customFormat="1" ht="43.95" customHeight="1" x14ac:dyDescent="0.3">
      <c r="A364" s="630" t="s">
        <v>71</v>
      </c>
      <c r="B364" s="631"/>
      <c r="C364" s="631"/>
      <c r="D364" s="631"/>
      <c r="E364" s="631"/>
      <c r="F364" s="631"/>
      <c r="G364" s="632"/>
      <c r="H364" s="584" t="s">
        <v>927</v>
      </c>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5"/>
      <c r="AL364" s="585"/>
      <c r="AM364" s="585"/>
      <c r="AN364" s="586"/>
      <c r="AO364" s="627">
        <v>70</v>
      </c>
      <c r="AP364" s="628"/>
      <c r="AQ364" s="628"/>
      <c r="AR364" s="628"/>
      <c r="AS364" s="628"/>
      <c r="AT364" s="628"/>
      <c r="AU364" s="628"/>
      <c r="AV364" s="628"/>
      <c r="AW364" s="628"/>
      <c r="AX364" s="628"/>
      <c r="AY364" s="628"/>
      <c r="AZ364" s="628"/>
      <c r="BA364" s="628"/>
      <c r="BB364" s="628"/>
      <c r="BC364" s="628"/>
      <c r="BD364" s="629"/>
      <c r="BE364" s="693">
        <v>980.6</v>
      </c>
      <c r="BF364" s="694"/>
      <c r="BG364" s="694"/>
      <c r="BH364" s="694"/>
      <c r="BI364" s="694"/>
      <c r="BJ364" s="694"/>
      <c r="BK364" s="694"/>
      <c r="BL364" s="694"/>
      <c r="BM364" s="694"/>
      <c r="BN364" s="694"/>
      <c r="BO364" s="694"/>
      <c r="BP364" s="694"/>
      <c r="BQ364" s="694"/>
      <c r="BR364" s="694"/>
      <c r="BS364" s="694"/>
      <c r="BT364" s="695"/>
      <c r="BU364" s="696">
        <v>5.5E-2</v>
      </c>
      <c r="BV364" s="697"/>
      <c r="BW364" s="697"/>
      <c r="BX364" s="697"/>
      <c r="BY364" s="697"/>
      <c r="BZ364" s="697"/>
      <c r="CA364" s="697"/>
      <c r="CB364" s="697"/>
      <c r="CC364" s="697"/>
      <c r="CD364" s="697"/>
      <c r="CE364" s="697"/>
      <c r="CF364" s="697"/>
      <c r="CG364" s="697"/>
      <c r="CH364" s="697"/>
      <c r="CI364" s="697"/>
      <c r="CJ364" s="698"/>
      <c r="CK364" s="627">
        <f>ROUND(AO364*BE364*BU364+(AO364*BE364),2)</f>
        <v>72417.31</v>
      </c>
      <c r="CL364" s="628"/>
      <c r="CM364" s="628"/>
      <c r="CN364" s="628"/>
      <c r="CO364" s="628"/>
      <c r="CP364" s="628"/>
      <c r="CQ364" s="628"/>
      <c r="CR364" s="628"/>
      <c r="CS364" s="628"/>
      <c r="CT364" s="628"/>
      <c r="CU364" s="628"/>
      <c r="CV364" s="628"/>
      <c r="CW364" s="628"/>
      <c r="CX364" s="628"/>
      <c r="CY364" s="628"/>
      <c r="CZ364" s="629"/>
      <c r="DA364" s="214"/>
    </row>
    <row r="365" spans="1:105" s="16" customFormat="1" ht="15" customHeight="1" x14ac:dyDescent="0.3">
      <c r="A365" s="630" t="s">
        <v>462</v>
      </c>
      <c r="B365" s="631"/>
      <c r="C365" s="631"/>
      <c r="D365" s="631"/>
      <c r="E365" s="631"/>
      <c r="F365" s="631"/>
      <c r="G365" s="632"/>
      <c r="H365" s="584" t="s">
        <v>824</v>
      </c>
      <c r="I365" s="585"/>
      <c r="J365" s="585"/>
      <c r="K365" s="585"/>
      <c r="L365" s="585"/>
      <c r="M365" s="585"/>
      <c r="N365" s="585"/>
      <c r="O365" s="585"/>
      <c r="P365" s="585"/>
      <c r="Q365" s="585"/>
      <c r="R365" s="585"/>
      <c r="S365" s="585"/>
      <c r="T365" s="585"/>
      <c r="U365" s="585"/>
      <c r="V365" s="585"/>
      <c r="W365" s="585"/>
      <c r="X365" s="585"/>
      <c r="Y365" s="585"/>
      <c r="Z365" s="585"/>
      <c r="AA365" s="585"/>
      <c r="AB365" s="585"/>
      <c r="AC365" s="585"/>
      <c r="AD365" s="585"/>
      <c r="AE365" s="585"/>
      <c r="AF365" s="585"/>
      <c r="AG365" s="585"/>
      <c r="AH365" s="585"/>
      <c r="AI365" s="585"/>
      <c r="AJ365" s="585"/>
      <c r="AK365" s="585"/>
      <c r="AL365" s="585"/>
      <c r="AM365" s="585"/>
      <c r="AN365" s="586"/>
      <c r="AO365" s="639">
        <v>2400</v>
      </c>
      <c r="AP365" s="640"/>
      <c r="AQ365" s="640"/>
      <c r="AR365" s="640"/>
      <c r="AS365" s="640"/>
      <c r="AT365" s="640"/>
      <c r="AU365" s="640"/>
      <c r="AV365" s="640"/>
      <c r="AW365" s="640"/>
      <c r="AX365" s="640"/>
      <c r="AY365" s="640"/>
      <c r="AZ365" s="640"/>
      <c r="BA365" s="640"/>
      <c r="BB365" s="640"/>
      <c r="BC365" s="640"/>
      <c r="BD365" s="641"/>
      <c r="BE365" s="693">
        <v>24.19</v>
      </c>
      <c r="BF365" s="694"/>
      <c r="BG365" s="694"/>
      <c r="BH365" s="694"/>
      <c r="BI365" s="694"/>
      <c r="BJ365" s="694"/>
      <c r="BK365" s="694"/>
      <c r="BL365" s="694"/>
      <c r="BM365" s="694"/>
      <c r="BN365" s="694"/>
      <c r="BO365" s="694"/>
      <c r="BP365" s="694"/>
      <c r="BQ365" s="694"/>
      <c r="BR365" s="694"/>
      <c r="BS365" s="694"/>
      <c r="BT365" s="695"/>
      <c r="BU365" s="696">
        <v>5.5E-2</v>
      </c>
      <c r="BV365" s="697"/>
      <c r="BW365" s="697"/>
      <c r="BX365" s="697"/>
      <c r="BY365" s="697"/>
      <c r="BZ365" s="697"/>
      <c r="CA365" s="697"/>
      <c r="CB365" s="697"/>
      <c r="CC365" s="697"/>
      <c r="CD365" s="697"/>
      <c r="CE365" s="697"/>
      <c r="CF365" s="697"/>
      <c r="CG365" s="697"/>
      <c r="CH365" s="697"/>
      <c r="CI365" s="697"/>
      <c r="CJ365" s="698"/>
      <c r="CK365" s="627">
        <f>ROUND(AO365*BE365*BU365+(AO365*BE365),2)</f>
        <v>61249.08</v>
      </c>
      <c r="CL365" s="628"/>
      <c r="CM365" s="628"/>
      <c r="CN365" s="628"/>
      <c r="CO365" s="628"/>
      <c r="CP365" s="628"/>
      <c r="CQ365" s="628"/>
      <c r="CR365" s="628"/>
      <c r="CS365" s="628"/>
      <c r="CT365" s="628"/>
      <c r="CU365" s="628"/>
      <c r="CV365" s="628"/>
      <c r="CW365" s="628"/>
      <c r="CX365" s="628"/>
      <c r="CY365" s="628"/>
      <c r="CZ365" s="629"/>
      <c r="DA365" s="214"/>
    </row>
    <row r="366" spans="1:105" s="16" customFormat="1" ht="15" hidden="1" customHeight="1" x14ac:dyDescent="0.3">
      <c r="A366" s="630" t="s">
        <v>444</v>
      </c>
      <c r="B366" s="631"/>
      <c r="C366" s="631"/>
      <c r="D366" s="631"/>
      <c r="E366" s="631"/>
      <c r="F366" s="631"/>
      <c r="G366" s="632"/>
      <c r="H366" s="584" t="s">
        <v>595</v>
      </c>
      <c r="I366" s="585"/>
      <c r="J366" s="585"/>
      <c r="K366" s="585"/>
      <c r="L366" s="585"/>
      <c r="M366" s="585"/>
      <c r="N366" s="585"/>
      <c r="O366" s="585"/>
      <c r="P366" s="585"/>
      <c r="Q366" s="585"/>
      <c r="R366" s="585"/>
      <c r="S366" s="585"/>
      <c r="T366" s="585"/>
      <c r="U366" s="585"/>
      <c r="V366" s="585"/>
      <c r="W366" s="585"/>
      <c r="X366" s="585"/>
      <c r="Y366" s="585"/>
      <c r="Z366" s="585"/>
      <c r="AA366" s="585"/>
      <c r="AB366" s="585"/>
      <c r="AC366" s="585"/>
      <c r="AD366" s="585"/>
      <c r="AE366" s="585"/>
      <c r="AF366" s="585"/>
      <c r="AG366" s="585"/>
      <c r="AH366" s="585"/>
      <c r="AI366" s="585"/>
      <c r="AJ366" s="585"/>
      <c r="AK366" s="585"/>
      <c r="AL366" s="585"/>
      <c r="AM366" s="585"/>
      <c r="AN366" s="586"/>
      <c r="AO366" s="699"/>
      <c r="AP366" s="700"/>
      <c r="AQ366" s="700"/>
      <c r="AR366" s="700"/>
      <c r="AS366" s="700"/>
      <c r="AT366" s="700"/>
      <c r="AU366" s="700"/>
      <c r="AV366" s="700"/>
      <c r="AW366" s="700"/>
      <c r="AX366" s="700"/>
      <c r="AY366" s="700"/>
      <c r="AZ366" s="700"/>
      <c r="BA366" s="700"/>
      <c r="BB366" s="700"/>
      <c r="BC366" s="700"/>
      <c r="BD366" s="701"/>
      <c r="BE366" s="693"/>
      <c r="BF366" s="694"/>
      <c r="BG366" s="694"/>
      <c r="BH366" s="694"/>
      <c r="BI366" s="694"/>
      <c r="BJ366" s="694"/>
      <c r="BK366" s="694"/>
      <c r="BL366" s="694"/>
      <c r="BM366" s="694"/>
      <c r="BN366" s="694"/>
      <c r="BO366" s="694"/>
      <c r="BP366" s="694"/>
      <c r="BQ366" s="694"/>
      <c r="BR366" s="694"/>
      <c r="BS366" s="694"/>
      <c r="BT366" s="695"/>
      <c r="BU366" s="696">
        <v>8.3000000000000004E-2</v>
      </c>
      <c r="BV366" s="697"/>
      <c r="BW366" s="697"/>
      <c r="BX366" s="697"/>
      <c r="BY366" s="697"/>
      <c r="BZ366" s="697"/>
      <c r="CA366" s="697"/>
      <c r="CB366" s="697"/>
      <c r="CC366" s="697"/>
      <c r="CD366" s="697"/>
      <c r="CE366" s="697"/>
      <c r="CF366" s="697"/>
      <c r="CG366" s="697"/>
      <c r="CH366" s="697"/>
      <c r="CI366" s="697"/>
      <c r="CJ366" s="698"/>
      <c r="CK366" s="627">
        <f t="shared" ref="CK366:CK368" si="4">ROUND(AO366*BE366*BU366+(AO366*BE366),2)</f>
        <v>0</v>
      </c>
      <c r="CL366" s="628"/>
      <c r="CM366" s="628"/>
      <c r="CN366" s="628"/>
      <c r="CO366" s="628"/>
      <c r="CP366" s="628"/>
      <c r="CQ366" s="628"/>
      <c r="CR366" s="628"/>
      <c r="CS366" s="628"/>
      <c r="CT366" s="628"/>
      <c r="CU366" s="628"/>
      <c r="CV366" s="628"/>
      <c r="CW366" s="628"/>
      <c r="CX366" s="628"/>
      <c r="CY366" s="628"/>
      <c r="CZ366" s="629"/>
      <c r="DA366" s="214"/>
    </row>
    <row r="367" spans="1:105" s="16" customFormat="1" ht="15" customHeight="1" x14ac:dyDescent="0.3">
      <c r="A367" s="630" t="s">
        <v>477</v>
      </c>
      <c r="B367" s="631"/>
      <c r="C367" s="631"/>
      <c r="D367" s="631"/>
      <c r="E367" s="631"/>
      <c r="F367" s="631"/>
      <c r="G367" s="632"/>
      <c r="H367" s="584" t="s">
        <v>596</v>
      </c>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5"/>
      <c r="AL367" s="585"/>
      <c r="AM367" s="585"/>
      <c r="AN367" s="586"/>
      <c r="AO367" s="639">
        <v>2400</v>
      </c>
      <c r="AP367" s="640"/>
      <c r="AQ367" s="640"/>
      <c r="AR367" s="640"/>
      <c r="AS367" s="640"/>
      <c r="AT367" s="640"/>
      <c r="AU367" s="640"/>
      <c r="AV367" s="640"/>
      <c r="AW367" s="640"/>
      <c r="AX367" s="640"/>
      <c r="AY367" s="640"/>
      <c r="AZ367" s="640"/>
      <c r="BA367" s="640"/>
      <c r="BB367" s="640"/>
      <c r="BC367" s="640"/>
      <c r="BD367" s="641"/>
      <c r="BE367" s="693">
        <v>44.46</v>
      </c>
      <c r="BF367" s="694"/>
      <c r="BG367" s="694"/>
      <c r="BH367" s="694"/>
      <c r="BI367" s="694"/>
      <c r="BJ367" s="694"/>
      <c r="BK367" s="694"/>
      <c r="BL367" s="694"/>
      <c r="BM367" s="694"/>
      <c r="BN367" s="694"/>
      <c r="BO367" s="694"/>
      <c r="BP367" s="694"/>
      <c r="BQ367" s="694"/>
      <c r="BR367" s="694"/>
      <c r="BS367" s="694"/>
      <c r="BT367" s="695"/>
      <c r="BU367" s="696">
        <v>5.5E-2</v>
      </c>
      <c r="BV367" s="697"/>
      <c r="BW367" s="697"/>
      <c r="BX367" s="697"/>
      <c r="BY367" s="697"/>
      <c r="BZ367" s="697"/>
      <c r="CA367" s="697"/>
      <c r="CB367" s="697"/>
      <c r="CC367" s="697"/>
      <c r="CD367" s="697"/>
      <c r="CE367" s="697"/>
      <c r="CF367" s="697"/>
      <c r="CG367" s="697"/>
      <c r="CH367" s="697"/>
      <c r="CI367" s="697"/>
      <c r="CJ367" s="698"/>
      <c r="CK367" s="627">
        <f t="shared" si="4"/>
        <v>112572.72</v>
      </c>
      <c r="CL367" s="628"/>
      <c r="CM367" s="628"/>
      <c r="CN367" s="628"/>
      <c r="CO367" s="628"/>
      <c r="CP367" s="628"/>
      <c r="CQ367" s="628"/>
      <c r="CR367" s="628"/>
      <c r="CS367" s="628"/>
      <c r="CT367" s="628"/>
      <c r="CU367" s="628"/>
      <c r="CV367" s="628"/>
      <c r="CW367" s="628"/>
      <c r="CX367" s="628"/>
      <c r="CY367" s="628"/>
      <c r="CZ367" s="629"/>
      <c r="DA367" s="214"/>
    </row>
    <row r="368" spans="1:105" s="16" customFormat="1" ht="40.5" customHeight="1" x14ac:dyDescent="0.3">
      <c r="A368" s="630" t="s">
        <v>479</v>
      </c>
      <c r="B368" s="631"/>
      <c r="C368" s="631"/>
      <c r="D368" s="631"/>
      <c r="E368" s="631"/>
      <c r="F368" s="631"/>
      <c r="G368" s="632"/>
      <c r="H368" s="584" t="s">
        <v>597</v>
      </c>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5"/>
      <c r="AL368" s="585"/>
      <c r="AM368" s="585"/>
      <c r="AN368" s="586"/>
      <c r="AO368" s="639">
        <v>2400</v>
      </c>
      <c r="AP368" s="640"/>
      <c r="AQ368" s="640"/>
      <c r="AR368" s="640"/>
      <c r="AS368" s="640"/>
      <c r="AT368" s="640"/>
      <c r="AU368" s="640"/>
      <c r="AV368" s="640"/>
      <c r="AW368" s="640"/>
      <c r="AX368" s="640"/>
      <c r="AY368" s="640"/>
      <c r="AZ368" s="640"/>
      <c r="BA368" s="640"/>
      <c r="BB368" s="640"/>
      <c r="BC368" s="640"/>
      <c r="BD368" s="641"/>
      <c r="BE368" s="693">
        <v>22.22</v>
      </c>
      <c r="BF368" s="694"/>
      <c r="BG368" s="694"/>
      <c r="BH368" s="694"/>
      <c r="BI368" s="694"/>
      <c r="BJ368" s="694"/>
      <c r="BK368" s="694"/>
      <c r="BL368" s="694"/>
      <c r="BM368" s="694"/>
      <c r="BN368" s="694"/>
      <c r="BO368" s="694"/>
      <c r="BP368" s="694"/>
      <c r="BQ368" s="694"/>
      <c r="BR368" s="694"/>
      <c r="BS368" s="694"/>
      <c r="BT368" s="695"/>
      <c r="BU368" s="696">
        <v>5.5E-2</v>
      </c>
      <c r="BV368" s="697"/>
      <c r="BW368" s="697"/>
      <c r="BX368" s="697"/>
      <c r="BY368" s="697"/>
      <c r="BZ368" s="697"/>
      <c r="CA368" s="697"/>
      <c r="CB368" s="697"/>
      <c r="CC368" s="697"/>
      <c r="CD368" s="697"/>
      <c r="CE368" s="697"/>
      <c r="CF368" s="697"/>
      <c r="CG368" s="697"/>
      <c r="CH368" s="697"/>
      <c r="CI368" s="697"/>
      <c r="CJ368" s="698"/>
      <c r="CK368" s="627">
        <f t="shared" si="4"/>
        <v>56261.04</v>
      </c>
      <c r="CL368" s="628"/>
      <c r="CM368" s="628"/>
      <c r="CN368" s="628"/>
      <c r="CO368" s="628"/>
      <c r="CP368" s="628"/>
      <c r="CQ368" s="628"/>
      <c r="CR368" s="628"/>
      <c r="CS368" s="628"/>
      <c r="CT368" s="628"/>
      <c r="CU368" s="628"/>
      <c r="CV368" s="628"/>
      <c r="CW368" s="628"/>
      <c r="CX368" s="628"/>
      <c r="CY368" s="628"/>
      <c r="CZ368" s="629"/>
      <c r="DA368" s="214"/>
    </row>
    <row r="369" spans="1:105" s="16" customFormat="1" ht="52.5" hidden="1" customHeight="1" x14ac:dyDescent="0.3">
      <c r="A369" s="630" t="s">
        <v>599</v>
      </c>
      <c r="B369" s="631"/>
      <c r="C369" s="631"/>
      <c r="D369" s="631"/>
      <c r="E369" s="631"/>
      <c r="F369" s="631"/>
      <c r="G369" s="632"/>
      <c r="H369" s="584" t="s">
        <v>891</v>
      </c>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5"/>
      <c r="AL369" s="585"/>
      <c r="AM369" s="585"/>
      <c r="AN369" s="586"/>
      <c r="AO369" s="544"/>
      <c r="AP369" s="545"/>
      <c r="AQ369" s="545"/>
      <c r="AR369" s="545"/>
      <c r="AS369" s="545"/>
      <c r="AT369" s="545"/>
      <c r="AU369" s="545"/>
      <c r="AV369" s="545"/>
      <c r="AW369" s="545"/>
      <c r="AX369" s="545"/>
      <c r="AY369" s="545"/>
      <c r="AZ369" s="545"/>
      <c r="BA369" s="545"/>
      <c r="BB369" s="545"/>
      <c r="BC369" s="545"/>
      <c r="BD369" s="546"/>
      <c r="BE369" s="627">
        <v>0</v>
      </c>
      <c r="BF369" s="628"/>
      <c r="BG369" s="628"/>
      <c r="BH369" s="628"/>
      <c r="BI369" s="628"/>
      <c r="BJ369" s="628"/>
      <c r="BK369" s="628"/>
      <c r="BL369" s="628"/>
      <c r="BM369" s="628"/>
      <c r="BN369" s="628"/>
      <c r="BO369" s="628"/>
      <c r="BP369" s="628"/>
      <c r="BQ369" s="628"/>
      <c r="BR369" s="628"/>
      <c r="BS369" s="628"/>
      <c r="BT369" s="629"/>
      <c r="BU369" s="696"/>
      <c r="BV369" s="697"/>
      <c r="BW369" s="697"/>
      <c r="BX369" s="697"/>
      <c r="BY369" s="697"/>
      <c r="BZ369" s="697"/>
      <c r="CA369" s="697"/>
      <c r="CB369" s="697"/>
      <c r="CC369" s="697"/>
      <c r="CD369" s="697"/>
      <c r="CE369" s="697"/>
      <c r="CF369" s="697"/>
      <c r="CG369" s="697"/>
      <c r="CH369" s="697"/>
      <c r="CI369" s="697"/>
      <c r="CJ369" s="698"/>
      <c r="CK369" s="627">
        <v>0</v>
      </c>
      <c r="CL369" s="628"/>
      <c r="CM369" s="628"/>
      <c r="CN369" s="628"/>
      <c r="CO369" s="628"/>
      <c r="CP369" s="628"/>
      <c r="CQ369" s="628"/>
      <c r="CR369" s="628"/>
      <c r="CS369" s="628"/>
      <c r="CT369" s="628"/>
      <c r="CU369" s="628"/>
      <c r="CV369" s="628"/>
      <c r="CW369" s="628"/>
      <c r="CX369" s="628"/>
      <c r="CY369" s="628"/>
      <c r="CZ369" s="629"/>
      <c r="DA369" s="214"/>
    </row>
    <row r="370" spans="1:105" s="16" customFormat="1" ht="15" customHeight="1" x14ac:dyDescent="0.3">
      <c r="A370" s="553" t="s">
        <v>292</v>
      </c>
      <c r="B370" s="554"/>
      <c r="C370" s="554"/>
      <c r="D370" s="554"/>
      <c r="E370" s="554"/>
      <c r="F370" s="554"/>
      <c r="G370" s="554"/>
      <c r="H370" s="554"/>
      <c r="I370" s="554"/>
      <c r="J370" s="554"/>
      <c r="K370" s="554"/>
      <c r="L370" s="554"/>
      <c r="M370" s="554"/>
      <c r="N370" s="554"/>
      <c r="O370" s="554"/>
      <c r="P370" s="554"/>
      <c r="Q370" s="554"/>
      <c r="R370" s="554"/>
      <c r="S370" s="554"/>
      <c r="T370" s="554"/>
      <c r="U370" s="554"/>
      <c r="V370" s="554"/>
      <c r="W370" s="554"/>
      <c r="X370" s="554"/>
      <c r="Y370" s="554"/>
      <c r="Z370" s="554"/>
      <c r="AA370" s="554"/>
      <c r="AB370" s="554"/>
      <c r="AC370" s="554"/>
      <c r="AD370" s="554"/>
      <c r="AE370" s="554"/>
      <c r="AF370" s="554"/>
      <c r="AG370" s="554"/>
      <c r="AH370" s="554"/>
      <c r="AI370" s="554"/>
      <c r="AJ370" s="554"/>
      <c r="AK370" s="554"/>
      <c r="AL370" s="554"/>
      <c r="AM370" s="554"/>
      <c r="AN370" s="555"/>
      <c r="AO370" s="544" t="s">
        <v>4</v>
      </c>
      <c r="AP370" s="545"/>
      <c r="AQ370" s="545"/>
      <c r="AR370" s="545"/>
      <c r="AS370" s="545"/>
      <c r="AT370" s="545"/>
      <c r="AU370" s="545"/>
      <c r="AV370" s="545"/>
      <c r="AW370" s="545"/>
      <c r="AX370" s="545"/>
      <c r="AY370" s="545"/>
      <c r="AZ370" s="545"/>
      <c r="BA370" s="545"/>
      <c r="BB370" s="545"/>
      <c r="BC370" s="545"/>
      <c r="BD370" s="546"/>
      <c r="BE370" s="544" t="s">
        <v>4</v>
      </c>
      <c r="BF370" s="545"/>
      <c r="BG370" s="545"/>
      <c r="BH370" s="545"/>
      <c r="BI370" s="545"/>
      <c r="BJ370" s="545"/>
      <c r="BK370" s="545"/>
      <c r="BL370" s="545"/>
      <c r="BM370" s="545"/>
      <c r="BN370" s="545"/>
      <c r="BO370" s="545"/>
      <c r="BP370" s="545"/>
      <c r="BQ370" s="545"/>
      <c r="BR370" s="545"/>
      <c r="BS370" s="545"/>
      <c r="BT370" s="546"/>
      <c r="BU370" s="544" t="s">
        <v>4</v>
      </c>
      <c r="BV370" s="545"/>
      <c r="BW370" s="545"/>
      <c r="BX370" s="545"/>
      <c r="BY370" s="545"/>
      <c r="BZ370" s="545"/>
      <c r="CA370" s="545"/>
      <c r="CB370" s="545"/>
      <c r="CC370" s="545"/>
      <c r="CD370" s="545"/>
      <c r="CE370" s="545"/>
      <c r="CF370" s="545"/>
      <c r="CG370" s="545"/>
      <c r="CH370" s="545"/>
      <c r="CI370" s="545"/>
      <c r="CJ370" s="546"/>
      <c r="CK370" s="636">
        <f>SUM(CK363:CZ369)</f>
        <v>302500.15000000002</v>
      </c>
      <c r="CL370" s="654"/>
      <c r="CM370" s="654"/>
      <c r="CN370" s="654"/>
      <c r="CO370" s="654"/>
      <c r="CP370" s="654"/>
      <c r="CQ370" s="654"/>
      <c r="CR370" s="654"/>
      <c r="CS370" s="654"/>
      <c r="CT370" s="654"/>
      <c r="CU370" s="654"/>
      <c r="CV370" s="654"/>
      <c r="CW370" s="654"/>
      <c r="CX370" s="654"/>
      <c r="CY370" s="654"/>
      <c r="CZ370" s="655"/>
      <c r="DA370" s="214"/>
    </row>
    <row r="371" spans="1:105" s="16" customFormat="1" ht="15" customHeight="1" x14ac:dyDescent="0.3">
      <c r="A371" s="553" t="s">
        <v>56</v>
      </c>
      <c r="B371" s="554"/>
      <c r="C371" s="554"/>
      <c r="D371" s="554"/>
      <c r="E371" s="554"/>
      <c r="F371" s="554"/>
      <c r="G371" s="554"/>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554"/>
      <c r="AM371" s="554"/>
      <c r="AN371" s="555"/>
      <c r="AO371" s="544" t="s">
        <v>4</v>
      </c>
      <c r="AP371" s="545"/>
      <c r="AQ371" s="545"/>
      <c r="AR371" s="545"/>
      <c r="AS371" s="545"/>
      <c r="AT371" s="545"/>
      <c r="AU371" s="545"/>
      <c r="AV371" s="545"/>
      <c r="AW371" s="545"/>
      <c r="AX371" s="545"/>
      <c r="AY371" s="545"/>
      <c r="AZ371" s="545"/>
      <c r="BA371" s="545"/>
      <c r="BB371" s="545"/>
      <c r="BC371" s="545"/>
      <c r="BD371" s="546"/>
      <c r="BE371" s="544" t="s">
        <v>4</v>
      </c>
      <c r="BF371" s="545"/>
      <c r="BG371" s="545"/>
      <c r="BH371" s="545"/>
      <c r="BI371" s="545"/>
      <c r="BJ371" s="545"/>
      <c r="BK371" s="545"/>
      <c r="BL371" s="545"/>
      <c r="BM371" s="545"/>
      <c r="BN371" s="545"/>
      <c r="BO371" s="545"/>
      <c r="BP371" s="545"/>
      <c r="BQ371" s="545"/>
      <c r="BR371" s="545"/>
      <c r="BS371" s="545"/>
      <c r="BT371" s="546"/>
      <c r="BU371" s="544" t="s">
        <v>4</v>
      </c>
      <c r="BV371" s="545"/>
      <c r="BW371" s="545"/>
      <c r="BX371" s="545"/>
      <c r="BY371" s="545"/>
      <c r="BZ371" s="545"/>
      <c r="CA371" s="545"/>
      <c r="CB371" s="545"/>
      <c r="CC371" s="545"/>
      <c r="CD371" s="545"/>
      <c r="CE371" s="545"/>
      <c r="CF371" s="545"/>
      <c r="CG371" s="545"/>
      <c r="CH371" s="545"/>
      <c r="CI371" s="545"/>
      <c r="CJ371" s="546"/>
      <c r="CK371" s="636">
        <f>CK361+CK370</f>
        <v>765352.92</v>
      </c>
      <c r="CL371" s="637"/>
      <c r="CM371" s="637"/>
      <c r="CN371" s="637"/>
      <c r="CO371" s="637"/>
      <c r="CP371" s="637"/>
      <c r="CQ371" s="637"/>
      <c r="CR371" s="637"/>
      <c r="CS371" s="637"/>
      <c r="CT371" s="637"/>
      <c r="CU371" s="637"/>
      <c r="CV371" s="637"/>
      <c r="CW371" s="637"/>
      <c r="CX371" s="637"/>
      <c r="CY371" s="637"/>
      <c r="CZ371" s="638"/>
      <c r="DA371" s="220"/>
    </row>
    <row r="372" spans="1:105" ht="12" customHeight="1" x14ac:dyDescent="0.25"/>
    <row r="373" spans="1:105" s="20" customFormat="1" ht="14.25" hidden="1" customHeight="1" x14ac:dyDescent="0.25">
      <c r="A373" s="594" t="s">
        <v>601</v>
      </c>
      <c r="B373" s="594"/>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4"/>
      <c r="AL373" s="594"/>
      <c r="AM373" s="594"/>
      <c r="AN373" s="594"/>
      <c r="AO373" s="594"/>
      <c r="AP373" s="594"/>
      <c r="AQ373" s="594"/>
      <c r="AR373" s="594"/>
      <c r="AS373" s="594"/>
      <c r="AT373" s="594"/>
      <c r="AU373" s="594"/>
      <c r="AV373" s="594"/>
      <c r="AW373" s="594"/>
      <c r="AX373" s="594"/>
      <c r="AY373" s="594"/>
      <c r="AZ373" s="594"/>
      <c r="BA373" s="594"/>
      <c r="BB373" s="594"/>
      <c r="BC373" s="594"/>
      <c r="BD373" s="594"/>
      <c r="BE373" s="594"/>
      <c r="BF373" s="594"/>
      <c r="BG373" s="594"/>
      <c r="BH373" s="594"/>
      <c r="BI373" s="594"/>
      <c r="BJ373" s="594"/>
      <c r="BK373" s="594"/>
      <c r="BL373" s="594"/>
      <c r="BM373" s="594"/>
      <c r="BN373" s="594"/>
      <c r="BO373" s="594"/>
      <c r="BP373" s="594"/>
      <c r="BQ373" s="594"/>
      <c r="BR373" s="594"/>
      <c r="BS373" s="594"/>
      <c r="BT373" s="594"/>
      <c r="BU373" s="594"/>
      <c r="BV373" s="594"/>
      <c r="BW373" s="594"/>
      <c r="BX373" s="594"/>
      <c r="BY373" s="594"/>
      <c r="BZ373" s="594"/>
      <c r="CA373" s="594"/>
      <c r="CB373" s="594"/>
      <c r="CC373" s="594"/>
      <c r="CD373" s="594"/>
      <c r="CE373" s="594"/>
      <c r="CF373" s="594"/>
      <c r="CG373" s="594"/>
      <c r="CH373" s="594"/>
      <c r="CI373" s="594"/>
      <c r="CJ373" s="594"/>
      <c r="CK373" s="594"/>
      <c r="CL373" s="594"/>
      <c r="CM373" s="594"/>
      <c r="CN373" s="594"/>
      <c r="CO373" s="594"/>
      <c r="CP373" s="594"/>
      <c r="CQ373" s="594"/>
      <c r="CR373" s="594"/>
      <c r="CS373" s="594"/>
      <c r="CT373" s="594"/>
      <c r="CU373" s="594"/>
      <c r="CV373" s="594"/>
      <c r="CW373" s="594"/>
      <c r="CX373" s="594"/>
      <c r="CY373" s="594"/>
      <c r="CZ373" s="594"/>
    </row>
    <row r="374" spans="1:105"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t="13.95" hidden="1" customHeight="1" x14ac:dyDescent="0.25">
      <c r="A375" s="20" t="s">
        <v>47</v>
      </c>
      <c r="W375" s="595" t="s">
        <v>602</v>
      </c>
      <c r="X375" s="595"/>
      <c r="Y375" s="595"/>
      <c r="Z375" s="595"/>
      <c r="AA375" s="595"/>
      <c r="AB375" s="595"/>
      <c r="AC375" s="595"/>
      <c r="AD375" s="595"/>
      <c r="AE375" s="595"/>
      <c r="AF375" s="595"/>
      <c r="AG375" s="595"/>
      <c r="AH375" s="595"/>
      <c r="AI375" s="595"/>
      <c r="AJ375" s="595"/>
      <c r="AK375" s="595"/>
      <c r="AL375" s="595"/>
      <c r="AM375" s="595"/>
      <c r="AN375" s="595"/>
      <c r="AO375" s="595"/>
      <c r="AP375" s="595"/>
      <c r="AQ375" s="595"/>
      <c r="AR375" s="595"/>
      <c r="AS375" s="595"/>
      <c r="AT375" s="595"/>
      <c r="AU375" s="595"/>
      <c r="AV375" s="595"/>
      <c r="AW375" s="595"/>
      <c r="AX375" s="595"/>
      <c r="AY375" s="595"/>
      <c r="AZ375" s="595"/>
      <c r="BA375" s="595"/>
      <c r="BB375" s="595"/>
      <c r="BC375" s="595"/>
      <c r="BD375" s="595"/>
      <c r="BE375" s="595"/>
      <c r="BF375" s="595"/>
      <c r="BG375" s="595"/>
      <c r="BH375" s="595"/>
      <c r="BI375" s="595"/>
      <c r="BJ375" s="595"/>
      <c r="BK375" s="595"/>
      <c r="BL375" s="595"/>
      <c r="BM375" s="595"/>
      <c r="BN375" s="595"/>
      <c r="BO375" s="595"/>
      <c r="BP375" s="595"/>
      <c r="BQ375" s="595"/>
      <c r="BR375" s="595"/>
      <c r="BS375" s="595"/>
      <c r="BT375" s="595"/>
      <c r="BU375" s="595"/>
      <c r="BV375" s="595"/>
      <c r="BW375" s="595"/>
      <c r="BX375" s="595"/>
      <c r="BY375" s="595"/>
      <c r="BZ375" s="595"/>
      <c r="CA375" s="595"/>
      <c r="CB375" s="595"/>
      <c r="CC375" s="595"/>
      <c r="CD375" s="595"/>
      <c r="CE375" s="595"/>
      <c r="CF375" s="595"/>
      <c r="CG375" s="595"/>
      <c r="CH375" s="595"/>
      <c r="CI375" s="595"/>
      <c r="CJ375" s="595"/>
      <c r="CK375" s="595"/>
      <c r="CL375" s="595"/>
      <c r="CM375" s="595"/>
      <c r="CN375" s="595"/>
      <c r="CO375" s="595"/>
      <c r="CP375" s="595"/>
      <c r="CQ375" s="595"/>
      <c r="CR375" s="595"/>
      <c r="CS375" s="595"/>
      <c r="CT375" s="595"/>
      <c r="CU375" s="595"/>
      <c r="CV375" s="595"/>
      <c r="CW375" s="595"/>
      <c r="CX375" s="595"/>
      <c r="CY375" s="595"/>
      <c r="CZ375" s="595"/>
    </row>
    <row r="376" spans="1:105"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75" t="s">
        <v>49</v>
      </c>
      <c r="B377" s="476"/>
      <c r="C377" s="476"/>
      <c r="D377" s="476"/>
      <c r="E377" s="476"/>
      <c r="F377" s="476"/>
      <c r="G377" s="477"/>
      <c r="H377" s="475" t="s">
        <v>0</v>
      </c>
      <c r="I377" s="476"/>
      <c r="J377" s="476"/>
      <c r="K377" s="476"/>
      <c r="L377" s="476"/>
      <c r="M377" s="476"/>
      <c r="N377" s="476"/>
      <c r="O377" s="476"/>
      <c r="P377" s="476"/>
      <c r="Q377" s="476"/>
      <c r="R377" s="476"/>
      <c r="S377" s="476"/>
      <c r="T377" s="476"/>
      <c r="U377" s="476"/>
      <c r="V377" s="476"/>
      <c r="W377" s="476"/>
      <c r="X377" s="476"/>
      <c r="Y377" s="476"/>
      <c r="Z377" s="476"/>
      <c r="AA377" s="476"/>
      <c r="AB377" s="476"/>
      <c r="AC377" s="476"/>
      <c r="AD377" s="476"/>
      <c r="AE377" s="476"/>
      <c r="AF377" s="476"/>
      <c r="AG377" s="476"/>
      <c r="AH377" s="476"/>
      <c r="AI377" s="476"/>
      <c r="AJ377" s="476"/>
      <c r="AK377" s="476"/>
      <c r="AL377" s="476"/>
      <c r="AM377" s="476"/>
      <c r="AN377" s="477"/>
      <c r="AO377" s="475" t="s">
        <v>88</v>
      </c>
      <c r="AP377" s="476"/>
      <c r="AQ377" s="476"/>
      <c r="AR377" s="476"/>
      <c r="AS377" s="476"/>
      <c r="AT377" s="476"/>
      <c r="AU377" s="476"/>
      <c r="AV377" s="476"/>
      <c r="AW377" s="476"/>
      <c r="AX377" s="476"/>
      <c r="AY377" s="476"/>
      <c r="AZ377" s="476"/>
      <c r="BA377" s="476"/>
      <c r="BB377" s="476"/>
      <c r="BC377" s="476"/>
      <c r="BD377" s="477"/>
      <c r="BE377" s="475" t="s">
        <v>89</v>
      </c>
      <c r="BF377" s="476"/>
      <c r="BG377" s="476"/>
      <c r="BH377" s="476"/>
      <c r="BI377" s="476"/>
      <c r="BJ377" s="476"/>
      <c r="BK377" s="476"/>
      <c r="BL377" s="476"/>
      <c r="BM377" s="476"/>
      <c r="BN377" s="476"/>
      <c r="BO377" s="476"/>
      <c r="BP377" s="476"/>
      <c r="BQ377" s="476"/>
      <c r="BR377" s="476"/>
      <c r="BS377" s="476"/>
      <c r="BT377" s="477"/>
      <c r="BU377" s="475" t="s">
        <v>90</v>
      </c>
      <c r="BV377" s="476"/>
      <c r="BW377" s="476"/>
      <c r="BX377" s="476"/>
      <c r="BY377" s="476"/>
      <c r="BZ377" s="476"/>
      <c r="CA377" s="476"/>
      <c r="CB377" s="476"/>
      <c r="CC377" s="476"/>
      <c r="CD377" s="476"/>
      <c r="CE377" s="476"/>
      <c r="CF377" s="476"/>
      <c r="CG377" s="476"/>
      <c r="CH377" s="476"/>
      <c r="CI377" s="476"/>
      <c r="CJ377" s="477"/>
      <c r="CK377" s="475" t="s">
        <v>98</v>
      </c>
      <c r="CL377" s="476"/>
      <c r="CM377" s="476"/>
      <c r="CN377" s="476"/>
      <c r="CO377" s="476"/>
      <c r="CP377" s="476"/>
      <c r="CQ377" s="476"/>
      <c r="CR377" s="476"/>
      <c r="CS377" s="476"/>
      <c r="CT377" s="476"/>
      <c r="CU377" s="476"/>
      <c r="CV377" s="476"/>
      <c r="CW377" s="476"/>
      <c r="CX377" s="476"/>
      <c r="CY377" s="476"/>
      <c r="CZ377" s="477"/>
      <c r="DA377" s="218"/>
    </row>
    <row r="378" spans="1:105" s="15" customFormat="1" ht="13.2" hidden="1" customHeight="1" x14ac:dyDescent="0.3">
      <c r="A378" s="661">
        <v>1</v>
      </c>
      <c r="B378" s="662"/>
      <c r="C378" s="662"/>
      <c r="D378" s="662"/>
      <c r="E378" s="662"/>
      <c r="F378" s="662"/>
      <c r="G378" s="663"/>
      <c r="H378" s="661">
        <v>2</v>
      </c>
      <c r="I378" s="662"/>
      <c r="J378" s="662"/>
      <c r="K378" s="662"/>
      <c r="L378" s="662"/>
      <c r="M378" s="662"/>
      <c r="N378" s="662"/>
      <c r="O378" s="662"/>
      <c r="P378" s="662"/>
      <c r="Q378" s="662"/>
      <c r="R378" s="662"/>
      <c r="S378" s="662"/>
      <c r="T378" s="662"/>
      <c r="U378" s="662"/>
      <c r="V378" s="662"/>
      <c r="W378" s="662"/>
      <c r="X378" s="662"/>
      <c r="Y378" s="662"/>
      <c r="Z378" s="662"/>
      <c r="AA378" s="662"/>
      <c r="AB378" s="662"/>
      <c r="AC378" s="662"/>
      <c r="AD378" s="662"/>
      <c r="AE378" s="662"/>
      <c r="AF378" s="662"/>
      <c r="AG378" s="662"/>
      <c r="AH378" s="662"/>
      <c r="AI378" s="662"/>
      <c r="AJ378" s="662"/>
      <c r="AK378" s="662"/>
      <c r="AL378" s="662"/>
      <c r="AM378" s="662"/>
      <c r="AN378" s="663"/>
      <c r="AO378" s="661">
        <v>3</v>
      </c>
      <c r="AP378" s="662"/>
      <c r="AQ378" s="662"/>
      <c r="AR378" s="662"/>
      <c r="AS378" s="662"/>
      <c r="AT378" s="662"/>
      <c r="AU378" s="662"/>
      <c r="AV378" s="662"/>
      <c r="AW378" s="662"/>
      <c r="AX378" s="662"/>
      <c r="AY378" s="662"/>
      <c r="AZ378" s="662"/>
      <c r="BA378" s="662"/>
      <c r="BB378" s="662"/>
      <c r="BC378" s="662"/>
      <c r="BD378" s="663"/>
      <c r="BE378" s="661">
        <v>4</v>
      </c>
      <c r="BF378" s="662"/>
      <c r="BG378" s="662"/>
      <c r="BH378" s="662"/>
      <c r="BI378" s="662"/>
      <c r="BJ378" s="662"/>
      <c r="BK378" s="662"/>
      <c r="BL378" s="662"/>
      <c r="BM378" s="662"/>
      <c r="BN378" s="662"/>
      <c r="BO378" s="662"/>
      <c r="BP378" s="662"/>
      <c r="BQ378" s="662"/>
      <c r="BR378" s="662"/>
      <c r="BS378" s="662"/>
      <c r="BT378" s="663"/>
      <c r="BU378" s="661">
        <v>5</v>
      </c>
      <c r="BV378" s="662"/>
      <c r="BW378" s="662"/>
      <c r="BX378" s="662"/>
      <c r="BY378" s="662"/>
      <c r="BZ378" s="662"/>
      <c r="CA378" s="662"/>
      <c r="CB378" s="662"/>
      <c r="CC378" s="662"/>
      <c r="CD378" s="662"/>
      <c r="CE378" s="662"/>
      <c r="CF378" s="662"/>
      <c r="CG378" s="662"/>
      <c r="CH378" s="662"/>
      <c r="CI378" s="662"/>
      <c r="CJ378" s="663"/>
      <c r="CK378" s="661">
        <v>6</v>
      </c>
      <c r="CL378" s="662"/>
      <c r="CM378" s="662"/>
      <c r="CN378" s="662"/>
      <c r="CO378" s="662"/>
      <c r="CP378" s="662"/>
      <c r="CQ378" s="662"/>
      <c r="CR378" s="662"/>
      <c r="CS378" s="662"/>
      <c r="CT378" s="662"/>
      <c r="CU378" s="662"/>
      <c r="CV378" s="662"/>
      <c r="CW378" s="662"/>
      <c r="CX378" s="662"/>
      <c r="CY378" s="662"/>
      <c r="CZ378" s="663"/>
      <c r="DA378" s="219"/>
    </row>
    <row r="379" spans="1:105" s="16" customFormat="1" ht="15" hidden="1" customHeight="1" x14ac:dyDescent="0.3">
      <c r="A379" s="648" t="s">
        <v>569</v>
      </c>
      <c r="B379" s="649"/>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9"/>
      <c r="AL379" s="649"/>
      <c r="AM379" s="649"/>
      <c r="AN379" s="649"/>
      <c r="AO379" s="649"/>
      <c r="AP379" s="649"/>
      <c r="AQ379" s="649"/>
      <c r="AR379" s="649"/>
      <c r="AS379" s="649"/>
      <c r="AT379" s="649"/>
      <c r="AU379" s="649"/>
      <c r="AV379" s="649"/>
      <c r="AW379" s="649"/>
      <c r="AX379" s="649"/>
      <c r="AY379" s="649"/>
      <c r="AZ379" s="649"/>
      <c r="BA379" s="649"/>
      <c r="BB379" s="649"/>
      <c r="BC379" s="649"/>
      <c r="BD379" s="649"/>
      <c r="BE379" s="649"/>
      <c r="BF379" s="649"/>
      <c r="BG379" s="649"/>
      <c r="BH379" s="649"/>
      <c r="BI379" s="649"/>
      <c r="BJ379" s="649"/>
      <c r="BK379" s="649"/>
      <c r="BL379" s="649"/>
      <c r="BM379" s="649"/>
      <c r="BN379" s="649"/>
      <c r="BO379" s="649"/>
      <c r="BP379" s="649"/>
      <c r="BQ379" s="649"/>
      <c r="BR379" s="649"/>
      <c r="BS379" s="649"/>
      <c r="BT379" s="649"/>
      <c r="BU379" s="649"/>
      <c r="BV379" s="649"/>
      <c r="BW379" s="649"/>
      <c r="BX379" s="649"/>
      <c r="BY379" s="649"/>
      <c r="BZ379" s="649"/>
      <c r="CA379" s="649"/>
      <c r="CB379" s="649"/>
      <c r="CC379" s="649"/>
      <c r="CD379" s="649"/>
      <c r="CE379" s="649"/>
      <c r="CF379" s="649"/>
      <c r="CG379" s="649"/>
      <c r="CH379" s="649"/>
      <c r="CI379" s="649"/>
      <c r="CJ379" s="649"/>
      <c r="CK379" s="649"/>
      <c r="CL379" s="649"/>
      <c r="CM379" s="649"/>
      <c r="CN379" s="649"/>
      <c r="CO379" s="649"/>
      <c r="CP379" s="649"/>
      <c r="CQ379" s="649"/>
      <c r="CR379" s="649"/>
      <c r="CS379" s="649"/>
      <c r="CT379" s="649"/>
      <c r="CU379" s="649"/>
      <c r="CV379" s="649"/>
      <c r="CW379" s="649"/>
      <c r="CX379" s="649"/>
      <c r="CY379" s="649"/>
      <c r="CZ379" s="649"/>
      <c r="DA379" s="214"/>
    </row>
    <row r="380" spans="1:105" s="16" customFormat="1" ht="15" hidden="1" customHeight="1" x14ac:dyDescent="0.3">
      <c r="A380" s="630"/>
      <c r="B380" s="631"/>
      <c r="C380" s="631"/>
      <c r="D380" s="631"/>
      <c r="E380" s="631"/>
      <c r="F380" s="631"/>
      <c r="G380" s="632"/>
      <c r="H380" s="584"/>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5"/>
      <c r="AL380" s="585"/>
      <c r="AM380" s="585"/>
      <c r="AN380" s="586"/>
      <c r="AO380" s="627"/>
      <c r="AP380" s="628"/>
      <c r="AQ380" s="628"/>
      <c r="AR380" s="628"/>
      <c r="AS380" s="628"/>
      <c r="AT380" s="628"/>
      <c r="AU380" s="628"/>
      <c r="AV380" s="628"/>
      <c r="AW380" s="628"/>
      <c r="AX380" s="628"/>
      <c r="AY380" s="628"/>
      <c r="AZ380" s="628"/>
      <c r="BA380" s="628"/>
      <c r="BB380" s="628"/>
      <c r="BC380" s="628"/>
      <c r="BD380" s="629"/>
      <c r="BE380" s="627"/>
      <c r="BF380" s="628"/>
      <c r="BG380" s="628"/>
      <c r="BH380" s="628"/>
      <c r="BI380" s="628"/>
      <c r="BJ380" s="628"/>
      <c r="BK380" s="628"/>
      <c r="BL380" s="628"/>
      <c r="BM380" s="628"/>
      <c r="BN380" s="628"/>
      <c r="BO380" s="628"/>
      <c r="BP380" s="628"/>
      <c r="BQ380" s="628"/>
      <c r="BR380" s="628"/>
      <c r="BS380" s="628"/>
      <c r="BT380" s="629"/>
      <c r="BU380" s="696"/>
      <c r="BV380" s="697"/>
      <c r="BW380" s="697"/>
      <c r="BX380" s="697"/>
      <c r="BY380" s="697"/>
      <c r="BZ380" s="697"/>
      <c r="CA380" s="697"/>
      <c r="CB380" s="697"/>
      <c r="CC380" s="697"/>
      <c r="CD380" s="697"/>
      <c r="CE380" s="697"/>
      <c r="CF380" s="697"/>
      <c r="CG380" s="697"/>
      <c r="CH380" s="697"/>
      <c r="CI380" s="697"/>
      <c r="CJ380" s="698"/>
      <c r="CK380" s="627"/>
      <c r="CL380" s="628"/>
      <c r="CM380" s="628"/>
      <c r="CN380" s="628"/>
      <c r="CO380" s="628"/>
      <c r="CP380" s="628"/>
      <c r="CQ380" s="628"/>
      <c r="CR380" s="628"/>
      <c r="CS380" s="628"/>
      <c r="CT380" s="628"/>
      <c r="CU380" s="628"/>
      <c r="CV380" s="628"/>
      <c r="CW380" s="628"/>
      <c r="CX380" s="628"/>
      <c r="CY380" s="628"/>
      <c r="CZ380" s="629"/>
      <c r="DA380" s="240"/>
    </row>
    <row r="381" spans="1:105" s="16" customFormat="1" ht="15" hidden="1" customHeight="1" x14ac:dyDescent="0.3">
      <c r="A381" s="630"/>
      <c r="B381" s="631"/>
      <c r="C381" s="631"/>
      <c r="D381" s="631"/>
      <c r="E381" s="631"/>
      <c r="F381" s="631"/>
      <c r="G381" s="632"/>
      <c r="H381" s="584"/>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5"/>
      <c r="AL381" s="585"/>
      <c r="AM381" s="585"/>
      <c r="AN381" s="586"/>
      <c r="AO381" s="627"/>
      <c r="AP381" s="628"/>
      <c r="AQ381" s="628"/>
      <c r="AR381" s="628"/>
      <c r="AS381" s="628"/>
      <c r="AT381" s="628"/>
      <c r="AU381" s="628"/>
      <c r="AV381" s="628"/>
      <c r="AW381" s="628"/>
      <c r="AX381" s="628"/>
      <c r="AY381" s="628"/>
      <c r="AZ381" s="628"/>
      <c r="BA381" s="628"/>
      <c r="BB381" s="628"/>
      <c r="BC381" s="628"/>
      <c r="BD381" s="629"/>
      <c r="BE381" s="627"/>
      <c r="BF381" s="628"/>
      <c r="BG381" s="628"/>
      <c r="BH381" s="628"/>
      <c r="BI381" s="628"/>
      <c r="BJ381" s="628"/>
      <c r="BK381" s="628"/>
      <c r="BL381" s="628"/>
      <c r="BM381" s="628"/>
      <c r="BN381" s="628"/>
      <c r="BO381" s="628"/>
      <c r="BP381" s="628"/>
      <c r="BQ381" s="628"/>
      <c r="BR381" s="628"/>
      <c r="BS381" s="628"/>
      <c r="BT381" s="629"/>
      <c r="BU381" s="696"/>
      <c r="BV381" s="697"/>
      <c r="BW381" s="697"/>
      <c r="BX381" s="697"/>
      <c r="BY381" s="697"/>
      <c r="BZ381" s="697"/>
      <c r="CA381" s="697"/>
      <c r="CB381" s="697"/>
      <c r="CC381" s="697"/>
      <c r="CD381" s="697"/>
      <c r="CE381" s="697"/>
      <c r="CF381" s="697"/>
      <c r="CG381" s="697"/>
      <c r="CH381" s="697"/>
      <c r="CI381" s="697"/>
      <c r="CJ381" s="698"/>
      <c r="CK381" s="627"/>
      <c r="CL381" s="628"/>
      <c r="CM381" s="628"/>
      <c r="CN381" s="628"/>
      <c r="CO381" s="628"/>
      <c r="CP381" s="628"/>
      <c r="CQ381" s="628"/>
      <c r="CR381" s="628"/>
      <c r="CS381" s="628"/>
      <c r="CT381" s="628"/>
      <c r="CU381" s="628"/>
      <c r="CV381" s="628"/>
      <c r="CW381" s="628"/>
      <c r="CX381" s="628"/>
      <c r="CY381" s="628"/>
      <c r="CZ381" s="629"/>
      <c r="DA381" s="240"/>
    </row>
    <row r="382" spans="1:105" s="16" customFormat="1" ht="15" hidden="1" customHeight="1" x14ac:dyDescent="0.3">
      <c r="A382" s="630"/>
      <c r="B382" s="631"/>
      <c r="C382" s="631"/>
      <c r="D382" s="631"/>
      <c r="E382" s="631"/>
      <c r="F382" s="631"/>
      <c r="G382" s="632"/>
      <c r="H382" s="584"/>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5"/>
      <c r="AL382" s="585"/>
      <c r="AM382" s="585"/>
      <c r="AN382" s="586"/>
      <c r="AO382" s="627"/>
      <c r="AP382" s="628"/>
      <c r="AQ382" s="628"/>
      <c r="AR382" s="628"/>
      <c r="AS382" s="628"/>
      <c r="AT382" s="628"/>
      <c r="AU382" s="628"/>
      <c r="AV382" s="628"/>
      <c r="AW382" s="628"/>
      <c r="AX382" s="628"/>
      <c r="AY382" s="628"/>
      <c r="AZ382" s="628"/>
      <c r="BA382" s="628"/>
      <c r="BB382" s="628"/>
      <c r="BC382" s="628"/>
      <c r="BD382" s="629"/>
      <c r="BE382" s="627"/>
      <c r="BF382" s="628"/>
      <c r="BG382" s="628"/>
      <c r="BH382" s="628"/>
      <c r="BI382" s="628"/>
      <c r="BJ382" s="628"/>
      <c r="BK382" s="628"/>
      <c r="BL382" s="628"/>
      <c r="BM382" s="628"/>
      <c r="BN382" s="628"/>
      <c r="BO382" s="628"/>
      <c r="BP382" s="628"/>
      <c r="BQ382" s="628"/>
      <c r="BR382" s="628"/>
      <c r="BS382" s="628"/>
      <c r="BT382" s="629"/>
      <c r="BU382" s="696"/>
      <c r="BV382" s="697"/>
      <c r="BW382" s="697"/>
      <c r="BX382" s="697"/>
      <c r="BY382" s="697"/>
      <c r="BZ382" s="697"/>
      <c r="CA382" s="697"/>
      <c r="CB382" s="697"/>
      <c r="CC382" s="697"/>
      <c r="CD382" s="697"/>
      <c r="CE382" s="697"/>
      <c r="CF382" s="697"/>
      <c r="CG382" s="697"/>
      <c r="CH382" s="697"/>
      <c r="CI382" s="697"/>
      <c r="CJ382" s="698"/>
      <c r="CK382" s="627"/>
      <c r="CL382" s="628"/>
      <c r="CM382" s="628"/>
      <c r="CN382" s="628"/>
      <c r="CO382" s="628"/>
      <c r="CP382" s="628"/>
      <c r="CQ382" s="628"/>
      <c r="CR382" s="628"/>
      <c r="CS382" s="628"/>
      <c r="CT382" s="628"/>
      <c r="CU382" s="628"/>
      <c r="CV382" s="628"/>
      <c r="CW382" s="628"/>
      <c r="CX382" s="628"/>
      <c r="CY382" s="628"/>
      <c r="CZ382" s="629"/>
      <c r="DA382" s="240"/>
    </row>
    <row r="383" spans="1:105" s="16" customFormat="1" ht="15" hidden="1" customHeight="1" x14ac:dyDescent="0.3">
      <c r="A383" s="630"/>
      <c r="B383" s="631"/>
      <c r="C383" s="631"/>
      <c r="D383" s="631"/>
      <c r="E383" s="631"/>
      <c r="F383" s="631"/>
      <c r="G383" s="632"/>
      <c r="H383" s="584"/>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5"/>
      <c r="AL383" s="585"/>
      <c r="AM383" s="585"/>
      <c r="AN383" s="586"/>
      <c r="AO383" s="627"/>
      <c r="AP383" s="628"/>
      <c r="AQ383" s="628"/>
      <c r="AR383" s="628"/>
      <c r="AS383" s="628"/>
      <c r="AT383" s="628"/>
      <c r="AU383" s="628"/>
      <c r="AV383" s="628"/>
      <c r="AW383" s="628"/>
      <c r="AX383" s="628"/>
      <c r="AY383" s="628"/>
      <c r="AZ383" s="628"/>
      <c r="BA383" s="628"/>
      <c r="BB383" s="628"/>
      <c r="BC383" s="628"/>
      <c r="BD383" s="629"/>
      <c r="BE383" s="627"/>
      <c r="BF383" s="628"/>
      <c r="BG383" s="628"/>
      <c r="BH383" s="628"/>
      <c r="BI383" s="628"/>
      <c r="BJ383" s="628"/>
      <c r="BK383" s="628"/>
      <c r="BL383" s="628"/>
      <c r="BM383" s="628"/>
      <c r="BN383" s="628"/>
      <c r="BO383" s="628"/>
      <c r="BP383" s="628"/>
      <c r="BQ383" s="628"/>
      <c r="BR383" s="628"/>
      <c r="BS383" s="628"/>
      <c r="BT383" s="629"/>
      <c r="BU383" s="696"/>
      <c r="BV383" s="697"/>
      <c r="BW383" s="697"/>
      <c r="BX383" s="697"/>
      <c r="BY383" s="697"/>
      <c r="BZ383" s="697"/>
      <c r="CA383" s="697"/>
      <c r="CB383" s="697"/>
      <c r="CC383" s="697"/>
      <c r="CD383" s="697"/>
      <c r="CE383" s="697"/>
      <c r="CF383" s="697"/>
      <c r="CG383" s="697"/>
      <c r="CH383" s="697"/>
      <c r="CI383" s="697"/>
      <c r="CJ383" s="698"/>
      <c r="CK383" s="627"/>
      <c r="CL383" s="628"/>
      <c r="CM383" s="628"/>
      <c r="CN383" s="628"/>
      <c r="CO383" s="628"/>
      <c r="CP383" s="628"/>
      <c r="CQ383" s="628"/>
      <c r="CR383" s="628"/>
      <c r="CS383" s="628"/>
      <c r="CT383" s="628"/>
      <c r="CU383" s="628"/>
      <c r="CV383" s="628"/>
      <c r="CW383" s="628"/>
      <c r="CX383" s="628"/>
      <c r="CY383" s="628"/>
      <c r="CZ383" s="629"/>
      <c r="DA383" s="240"/>
    </row>
    <row r="384" spans="1:105" s="16" customFormat="1" ht="15" hidden="1" customHeight="1" x14ac:dyDescent="0.3">
      <c r="A384" s="553" t="s">
        <v>292</v>
      </c>
      <c r="B384" s="554"/>
      <c r="C384" s="554"/>
      <c r="D384" s="554"/>
      <c r="E384" s="554"/>
      <c r="F384" s="554"/>
      <c r="G384" s="554"/>
      <c r="H384" s="554"/>
      <c r="I384" s="554"/>
      <c r="J384" s="554"/>
      <c r="K384" s="554"/>
      <c r="L384" s="554"/>
      <c r="M384" s="554"/>
      <c r="N384" s="554"/>
      <c r="O384" s="554"/>
      <c r="P384" s="554"/>
      <c r="Q384" s="554"/>
      <c r="R384" s="554"/>
      <c r="S384" s="554"/>
      <c r="T384" s="554"/>
      <c r="U384" s="554"/>
      <c r="V384" s="554"/>
      <c r="W384" s="554"/>
      <c r="X384" s="554"/>
      <c r="Y384" s="554"/>
      <c r="Z384" s="554"/>
      <c r="AA384" s="554"/>
      <c r="AB384" s="554"/>
      <c r="AC384" s="554"/>
      <c r="AD384" s="554"/>
      <c r="AE384" s="554"/>
      <c r="AF384" s="554"/>
      <c r="AG384" s="554"/>
      <c r="AH384" s="554"/>
      <c r="AI384" s="554"/>
      <c r="AJ384" s="554"/>
      <c r="AK384" s="554"/>
      <c r="AL384" s="554"/>
      <c r="AM384" s="554"/>
      <c r="AN384" s="555"/>
      <c r="AO384" s="544" t="s">
        <v>4</v>
      </c>
      <c r="AP384" s="545"/>
      <c r="AQ384" s="545"/>
      <c r="AR384" s="545"/>
      <c r="AS384" s="545"/>
      <c r="AT384" s="545"/>
      <c r="AU384" s="545"/>
      <c r="AV384" s="545"/>
      <c r="AW384" s="545"/>
      <c r="AX384" s="545"/>
      <c r="AY384" s="545"/>
      <c r="AZ384" s="545"/>
      <c r="BA384" s="545"/>
      <c r="BB384" s="545"/>
      <c r="BC384" s="545"/>
      <c r="BD384" s="546"/>
      <c r="BE384" s="544" t="s">
        <v>4</v>
      </c>
      <c r="BF384" s="545"/>
      <c r="BG384" s="545"/>
      <c r="BH384" s="545"/>
      <c r="BI384" s="545"/>
      <c r="BJ384" s="545"/>
      <c r="BK384" s="545"/>
      <c r="BL384" s="545"/>
      <c r="BM384" s="545"/>
      <c r="BN384" s="545"/>
      <c r="BO384" s="545"/>
      <c r="BP384" s="545"/>
      <c r="BQ384" s="545"/>
      <c r="BR384" s="545"/>
      <c r="BS384" s="545"/>
      <c r="BT384" s="546"/>
      <c r="BU384" s="544" t="s">
        <v>4</v>
      </c>
      <c r="BV384" s="545"/>
      <c r="BW384" s="545"/>
      <c r="BX384" s="545"/>
      <c r="BY384" s="545"/>
      <c r="BZ384" s="545"/>
      <c r="CA384" s="545"/>
      <c r="CB384" s="545"/>
      <c r="CC384" s="545"/>
      <c r="CD384" s="545"/>
      <c r="CE384" s="545"/>
      <c r="CF384" s="545"/>
      <c r="CG384" s="545"/>
      <c r="CH384" s="545"/>
      <c r="CI384" s="545"/>
      <c r="CJ384" s="546"/>
      <c r="CK384" s="636">
        <f>CK380+CK381+CK382+CK383</f>
        <v>0</v>
      </c>
      <c r="CL384" s="654"/>
      <c r="CM384" s="654"/>
      <c r="CN384" s="654"/>
      <c r="CO384" s="654"/>
      <c r="CP384" s="654"/>
      <c r="CQ384" s="654"/>
      <c r="CR384" s="654"/>
      <c r="CS384" s="654"/>
      <c r="CT384" s="654"/>
      <c r="CU384" s="654"/>
      <c r="CV384" s="654"/>
      <c r="CW384" s="654"/>
      <c r="CX384" s="654"/>
      <c r="CY384" s="654"/>
      <c r="CZ384" s="655"/>
      <c r="DA384" s="214"/>
    </row>
    <row r="385" spans="1:105" s="16" customFormat="1" ht="15" hidden="1" customHeight="1" x14ac:dyDescent="0.3">
      <c r="A385" s="648" t="s">
        <v>258</v>
      </c>
      <c r="B385" s="649"/>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9"/>
      <c r="AL385" s="649"/>
      <c r="AM385" s="649"/>
      <c r="AN385" s="649"/>
      <c r="AO385" s="649"/>
      <c r="AP385" s="649"/>
      <c r="AQ385" s="649"/>
      <c r="AR385" s="649"/>
      <c r="AS385" s="649"/>
      <c r="AT385" s="649"/>
      <c r="AU385" s="649"/>
      <c r="AV385" s="649"/>
      <c r="AW385" s="649"/>
      <c r="AX385" s="649"/>
      <c r="AY385" s="649"/>
      <c r="AZ385" s="649"/>
      <c r="BA385" s="649"/>
      <c r="BB385" s="649"/>
      <c r="BC385" s="649"/>
      <c r="BD385" s="649"/>
      <c r="BE385" s="649"/>
      <c r="BF385" s="649"/>
      <c r="BG385" s="649"/>
      <c r="BH385" s="649"/>
      <c r="BI385" s="649"/>
      <c r="BJ385" s="649"/>
      <c r="BK385" s="649"/>
      <c r="BL385" s="649"/>
      <c r="BM385" s="649"/>
      <c r="BN385" s="649"/>
      <c r="BO385" s="649"/>
      <c r="BP385" s="649"/>
      <c r="BQ385" s="649"/>
      <c r="BR385" s="649"/>
      <c r="BS385" s="649"/>
      <c r="BT385" s="649"/>
      <c r="BU385" s="649"/>
      <c r="BV385" s="649"/>
      <c r="BW385" s="649"/>
      <c r="BX385" s="649"/>
      <c r="BY385" s="649"/>
      <c r="BZ385" s="649"/>
      <c r="CA385" s="649"/>
      <c r="CB385" s="649"/>
      <c r="CC385" s="649"/>
      <c r="CD385" s="649"/>
      <c r="CE385" s="649"/>
      <c r="CF385" s="649"/>
      <c r="CG385" s="649"/>
      <c r="CH385" s="649"/>
      <c r="CI385" s="649"/>
      <c r="CJ385" s="649"/>
      <c r="CK385" s="649"/>
      <c r="CL385" s="649"/>
      <c r="CM385" s="649"/>
      <c r="CN385" s="649"/>
      <c r="CO385" s="649"/>
      <c r="CP385" s="649"/>
      <c r="CQ385" s="649"/>
      <c r="CR385" s="649"/>
      <c r="CS385" s="649"/>
      <c r="CT385" s="649"/>
      <c r="CU385" s="649"/>
      <c r="CV385" s="649"/>
      <c r="CW385" s="649"/>
      <c r="CX385" s="649"/>
      <c r="CY385" s="649"/>
      <c r="CZ385" s="649"/>
      <c r="DA385" s="214"/>
    </row>
    <row r="386" spans="1:105" s="16" customFormat="1" ht="15" hidden="1" customHeight="1" x14ac:dyDescent="0.3">
      <c r="A386" s="630"/>
      <c r="B386" s="631"/>
      <c r="C386" s="631"/>
      <c r="D386" s="631"/>
      <c r="E386" s="631"/>
      <c r="F386" s="631"/>
      <c r="G386" s="632"/>
      <c r="H386" s="584"/>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5"/>
      <c r="AL386" s="585"/>
      <c r="AM386" s="585"/>
      <c r="AN386" s="585"/>
      <c r="AO386" s="585"/>
      <c r="AP386" s="585"/>
      <c r="AQ386" s="585"/>
      <c r="AR386" s="585"/>
      <c r="AS386" s="585"/>
      <c r="AT386" s="585"/>
      <c r="AU386" s="585"/>
      <c r="AV386" s="585"/>
      <c r="AW386" s="585"/>
      <c r="AX386" s="585"/>
      <c r="AY386" s="585"/>
      <c r="AZ386" s="585"/>
      <c r="BA386" s="585"/>
      <c r="BB386" s="586"/>
      <c r="BC386" s="544"/>
      <c r="BD386" s="545"/>
      <c r="BE386" s="545"/>
      <c r="BF386" s="545"/>
      <c r="BG386" s="545"/>
      <c r="BH386" s="545"/>
      <c r="BI386" s="545"/>
      <c r="BJ386" s="545"/>
      <c r="BK386" s="545"/>
      <c r="BL386" s="545"/>
      <c r="BM386" s="545"/>
      <c r="BN386" s="545"/>
      <c r="BO386" s="545"/>
      <c r="BP386" s="545"/>
      <c r="BQ386" s="545"/>
      <c r="BR386" s="546"/>
      <c r="BS386" s="544"/>
      <c r="BT386" s="545"/>
      <c r="BU386" s="545"/>
      <c r="BV386" s="545"/>
      <c r="BW386" s="545"/>
      <c r="BX386" s="545"/>
      <c r="BY386" s="545"/>
      <c r="BZ386" s="545"/>
      <c r="CA386" s="545"/>
      <c r="CB386" s="545"/>
      <c r="CC386" s="545"/>
      <c r="CD386" s="545"/>
      <c r="CE386" s="545"/>
      <c r="CF386" s="545"/>
      <c r="CG386" s="545"/>
      <c r="CH386" s="546"/>
      <c r="CI386" s="544"/>
      <c r="CJ386" s="545"/>
      <c r="CK386" s="545"/>
      <c r="CL386" s="545"/>
      <c r="CM386" s="545"/>
      <c r="CN386" s="545"/>
      <c r="CO386" s="545"/>
      <c r="CP386" s="545"/>
      <c r="CQ386" s="545"/>
      <c r="CR386" s="545"/>
      <c r="CS386" s="545"/>
      <c r="CT386" s="545"/>
      <c r="CU386" s="545"/>
      <c r="CV386" s="545"/>
      <c r="CW386" s="545"/>
      <c r="CX386" s="545"/>
      <c r="CY386" s="545"/>
      <c r="CZ386" s="546"/>
      <c r="DA386" s="214"/>
    </row>
    <row r="387" spans="1:105" s="16" customFormat="1" ht="15" hidden="1" customHeight="1" x14ac:dyDescent="0.3">
      <c r="A387" s="633" t="s">
        <v>292</v>
      </c>
      <c r="B387" s="634"/>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4"/>
      <c r="AL387" s="634"/>
      <c r="AM387" s="634"/>
      <c r="AN387" s="634"/>
      <c r="AO387" s="634"/>
      <c r="AP387" s="634"/>
      <c r="AQ387" s="634"/>
      <c r="AR387" s="634"/>
      <c r="AS387" s="634"/>
      <c r="AT387" s="634"/>
      <c r="AU387" s="634"/>
      <c r="AV387" s="634"/>
      <c r="AW387" s="634"/>
      <c r="AX387" s="634"/>
      <c r="AY387" s="634"/>
      <c r="AZ387" s="634"/>
      <c r="BA387" s="634"/>
      <c r="BB387" s="635"/>
      <c r="BC387" s="582" t="s">
        <v>4</v>
      </c>
      <c r="BD387" s="582"/>
      <c r="BE387" s="582"/>
      <c r="BF387" s="582"/>
      <c r="BG387" s="582"/>
      <c r="BH387" s="582"/>
      <c r="BI387" s="582"/>
      <c r="BJ387" s="582"/>
      <c r="BK387" s="582"/>
      <c r="BL387" s="582"/>
      <c r="BM387" s="582"/>
      <c r="BN387" s="582"/>
      <c r="BO387" s="582"/>
      <c r="BP387" s="582"/>
      <c r="BQ387" s="582"/>
      <c r="BR387" s="582"/>
      <c r="BS387" s="582" t="s">
        <v>4</v>
      </c>
      <c r="BT387" s="582"/>
      <c r="BU387" s="582"/>
      <c r="BV387" s="582"/>
      <c r="BW387" s="582"/>
      <c r="BX387" s="582"/>
      <c r="BY387" s="582"/>
      <c r="BZ387" s="582"/>
      <c r="CA387" s="582"/>
      <c r="CB387" s="582"/>
      <c r="CC387" s="582"/>
      <c r="CD387" s="582"/>
      <c r="CE387" s="582"/>
      <c r="CF387" s="582"/>
      <c r="CG387" s="582"/>
      <c r="CH387" s="582"/>
      <c r="CI387" s="544"/>
      <c r="CJ387" s="545"/>
      <c r="CK387" s="545"/>
      <c r="CL387" s="545"/>
      <c r="CM387" s="545"/>
      <c r="CN387" s="545"/>
      <c r="CO387" s="545"/>
      <c r="CP387" s="545"/>
      <c r="CQ387" s="545"/>
      <c r="CR387" s="545"/>
      <c r="CS387" s="545"/>
      <c r="CT387" s="545"/>
      <c r="CU387" s="545"/>
      <c r="CV387" s="545"/>
      <c r="CW387" s="545"/>
      <c r="CX387" s="545"/>
      <c r="CY387" s="545"/>
      <c r="CZ387" s="546"/>
      <c r="DA387" s="214"/>
    </row>
    <row r="388" spans="1:105" s="16" customFormat="1" ht="15" hidden="1" customHeight="1" x14ac:dyDescent="0.3">
      <c r="A388" s="553" t="s">
        <v>56</v>
      </c>
      <c r="B388" s="554"/>
      <c r="C388" s="554"/>
      <c r="D388" s="554"/>
      <c r="E388" s="554"/>
      <c r="F388" s="554"/>
      <c r="G388" s="554"/>
      <c r="H388" s="554"/>
      <c r="I388" s="554"/>
      <c r="J388" s="554"/>
      <c r="K388" s="554"/>
      <c r="L388" s="554"/>
      <c r="M388" s="554"/>
      <c r="N388" s="554"/>
      <c r="O388" s="554"/>
      <c r="P388" s="554"/>
      <c r="Q388" s="554"/>
      <c r="R388" s="554"/>
      <c r="S388" s="554"/>
      <c r="T388" s="554"/>
      <c r="U388" s="554"/>
      <c r="V388" s="554"/>
      <c r="W388" s="554"/>
      <c r="X388" s="554"/>
      <c r="Y388" s="554"/>
      <c r="Z388" s="554"/>
      <c r="AA388" s="554"/>
      <c r="AB388" s="554"/>
      <c r="AC388" s="554"/>
      <c r="AD388" s="554"/>
      <c r="AE388" s="554"/>
      <c r="AF388" s="554"/>
      <c r="AG388" s="554"/>
      <c r="AH388" s="554"/>
      <c r="AI388" s="554"/>
      <c r="AJ388" s="554"/>
      <c r="AK388" s="554"/>
      <c r="AL388" s="554"/>
      <c r="AM388" s="554"/>
      <c r="AN388" s="555"/>
      <c r="AO388" s="544" t="s">
        <v>4</v>
      </c>
      <c r="AP388" s="545"/>
      <c r="AQ388" s="545"/>
      <c r="AR388" s="545"/>
      <c r="AS388" s="545"/>
      <c r="AT388" s="545"/>
      <c r="AU388" s="545"/>
      <c r="AV388" s="545"/>
      <c r="AW388" s="545"/>
      <c r="AX388" s="545"/>
      <c r="AY388" s="545"/>
      <c r="AZ388" s="545"/>
      <c r="BA388" s="545"/>
      <c r="BB388" s="545"/>
      <c r="BC388" s="545"/>
      <c r="BD388" s="546"/>
      <c r="BE388" s="544" t="s">
        <v>4</v>
      </c>
      <c r="BF388" s="545"/>
      <c r="BG388" s="545"/>
      <c r="BH388" s="545"/>
      <c r="BI388" s="545"/>
      <c r="BJ388" s="545"/>
      <c r="BK388" s="545"/>
      <c r="BL388" s="545"/>
      <c r="BM388" s="545"/>
      <c r="BN388" s="545"/>
      <c r="BO388" s="545"/>
      <c r="BP388" s="545"/>
      <c r="BQ388" s="545"/>
      <c r="BR388" s="545"/>
      <c r="BS388" s="545"/>
      <c r="BT388" s="546"/>
      <c r="BU388" s="544" t="s">
        <v>4</v>
      </c>
      <c r="BV388" s="545"/>
      <c r="BW388" s="545"/>
      <c r="BX388" s="545"/>
      <c r="BY388" s="545"/>
      <c r="BZ388" s="545"/>
      <c r="CA388" s="545"/>
      <c r="CB388" s="545"/>
      <c r="CC388" s="545"/>
      <c r="CD388" s="545"/>
      <c r="CE388" s="545"/>
      <c r="CF388" s="545"/>
      <c r="CG388" s="545"/>
      <c r="CH388" s="545"/>
      <c r="CI388" s="545"/>
      <c r="CJ388" s="546"/>
      <c r="CK388" s="636">
        <f>CK384</f>
        <v>0</v>
      </c>
      <c r="CL388" s="637"/>
      <c r="CM388" s="637"/>
      <c r="CN388" s="637"/>
      <c r="CO388" s="637"/>
      <c r="CP388" s="637"/>
      <c r="CQ388" s="637"/>
      <c r="CR388" s="637"/>
      <c r="CS388" s="637"/>
      <c r="CT388" s="637"/>
      <c r="CU388" s="637"/>
      <c r="CV388" s="637"/>
      <c r="CW388" s="637"/>
      <c r="CX388" s="637"/>
      <c r="CY388" s="637"/>
      <c r="CZ388" s="638"/>
      <c r="DA388" s="220"/>
    </row>
    <row r="389" spans="1:105" s="16" customFormat="1" ht="15" hidden="1" customHeight="1" x14ac:dyDescent="0.3">
      <c r="A389" s="656" t="s">
        <v>591</v>
      </c>
      <c r="B389" s="657"/>
      <c r="C389" s="657"/>
      <c r="D389" s="657"/>
      <c r="E389" s="657"/>
      <c r="F389" s="657"/>
      <c r="G389" s="657"/>
      <c r="H389" s="657"/>
      <c r="I389" s="657"/>
      <c r="J389" s="657"/>
      <c r="K389" s="657"/>
      <c r="L389" s="657"/>
      <c r="M389" s="657"/>
      <c r="N389" s="657"/>
      <c r="O389" s="657"/>
      <c r="P389" s="657"/>
      <c r="Q389" s="657"/>
      <c r="R389" s="657"/>
      <c r="S389" s="657"/>
      <c r="T389" s="657"/>
      <c r="U389" s="657"/>
      <c r="V389" s="657"/>
      <c r="W389" s="657"/>
      <c r="X389" s="657"/>
      <c r="Y389" s="657"/>
      <c r="Z389" s="657"/>
      <c r="AA389" s="657"/>
      <c r="AB389" s="657"/>
      <c r="AC389" s="657"/>
      <c r="AD389" s="657"/>
      <c r="AE389" s="657"/>
      <c r="AF389" s="657"/>
      <c r="AG389" s="657"/>
      <c r="AH389" s="657"/>
      <c r="AI389" s="657"/>
      <c r="AJ389" s="657"/>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57"/>
      <c r="BQ389" s="657"/>
      <c r="BR389" s="657"/>
      <c r="BS389" s="657"/>
      <c r="BT389" s="657"/>
      <c r="BU389" s="657"/>
      <c r="BV389" s="657"/>
      <c r="BW389" s="657"/>
      <c r="BX389" s="657"/>
      <c r="BY389" s="657"/>
      <c r="BZ389" s="657"/>
      <c r="CA389" s="657"/>
      <c r="CB389" s="657"/>
      <c r="CC389" s="657"/>
      <c r="CD389" s="657"/>
      <c r="CE389" s="657"/>
      <c r="CF389" s="657"/>
      <c r="CG389" s="657"/>
      <c r="CH389" s="657"/>
      <c r="CI389" s="657"/>
      <c r="CJ389" s="657"/>
      <c r="CK389" s="657"/>
      <c r="CL389" s="657"/>
      <c r="CM389" s="657"/>
      <c r="CN389" s="657"/>
      <c r="CO389" s="657"/>
      <c r="CP389" s="657"/>
      <c r="CQ389" s="657"/>
      <c r="CR389" s="657"/>
      <c r="CS389" s="657"/>
      <c r="CT389" s="657"/>
      <c r="CU389" s="657"/>
      <c r="CV389" s="657"/>
      <c r="CW389" s="657"/>
      <c r="CX389" s="657"/>
      <c r="CY389" s="657"/>
      <c r="CZ389" s="658"/>
      <c r="DA389" s="220"/>
    </row>
    <row r="390" spans="1:105" s="16" customFormat="1" ht="15" hidden="1" customHeight="1" x14ac:dyDescent="0.3">
      <c r="A390" s="630"/>
      <c r="B390" s="631"/>
      <c r="C390" s="631"/>
      <c r="D390" s="631"/>
      <c r="E390" s="631"/>
      <c r="F390" s="631"/>
      <c r="G390" s="632"/>
      <c r="H390" s="584"/>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5"/>
      <c r="AL390" s="585"/>
      <c r="AM390" s="585"/>
      <c r="AN390" s="586"/>
      <c r="AO390" s="639"/>
      <c r="AP390" s="640"/>
      <c r="AQ390" s="640"/>
      <c r="AR390" s="640"/>
      <c r="AS390" s="640"/>
      <c r="AT390" s="640"/>
      <c r="AU390" s="640"/>
      <c r="AV390" s="640"/>
      <c r="AW390" s="640"/>
      <c r="AX390" s="640"/>
      <c r="AY390" s="640"/>
      <c r="AZ390" s="640"/>
      <c r="BA390" s="640"/>
      <c r="BB390" s="640"/>
      <c r="BC390" s="640"/>
      <c r="BD390" s="641"/>
      <c r="BE390" s="627"/>
      <c r="BF390" s="628"/>
      <c r="BG390" s="628"/>
      <c r="BH390" s="628"/>
      <c r="BI390" s="628"/>
      <c r="BJ390" s="628"/>
      <c r="BK390" s="628"/>
      <c r="BL390" s="628"/>
      <c r="BM390" s="628"/>
      <c r="BN390" s="628"/>
      <c r="BO390" s="628"/>
      <c r="BP390" s="628"/>
      <c r="BQ390" s="628"/>
      <c r="BR390" s="628"/>
      <c r="BS390" s="628"/>
      <c r="BT390" s="629"/>
      <c r="BU390" s="696"/>
      <c r="BV390" s="697"/>
      <c r="BW390" s="697"/>
      <c r="BX390" s="697"/>
      <c r="BY390" s="697"/>
      <c r="BZ390" s="697"/>
      <c r="CA390" s="697"/>
      <c r="CB390" s="697"/>
      <c r="CC390" s="697"/>
      <c r="CD390" s="697"/>
      <c r="CE390" s="697"/>
      <c r="CF390" s="697"/>
      <c r="CG390" s="697"/>
      <c r="CH390" s="697"/>
      <c r="CI390" s="697"/>
      <c r="CJ390" s="698"/>
      <c r="CK390" s="627"/>
      <c r="CL390" s="628"/>
      <c r="CM390" s="628"/>
      <c r="CN390" s="628"/>
      <c r="CO390" s="628"/>
      <c r="CP390" s="628"/>
      <c r="CQ390" s="628"/>
      <c r="CR390" s="628"/>
      <c r="CS390" s="628"/>
      <c r="CT390" s="628"/>
      <c r="CU390" s="628"/>
      <c r="CV390" s="628"/>
      <c r="CW390" s="628"/>
      <c r="CX390" s="628"/>
      <c r="CY390" s="628"/>
      <c r="CZ390" s="629"/>
      <c r="DA390" s="214"/>
    </row>
    <row r="391" spans="1:105" s="16" customFormat="1" ht="15" hidden="1" customHeight="1" x14ac:dyDescent="0.3">
      <c r="A391" s="630"/>
      <c r="B391" s="631"/>
      <c r="C391" s="631"/>
      <c r="D391" s="631"/>
      <c r="E391" s="631"/>
      <c r="F391" s="631"/>
      <c r="G391" s="632"/>
      <c r="H391" s="584"/>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5"/>
      <c r="AL391" s="585"/>
      <c r="AM391" s="585"/>
      <c r="AN391" s="586"/>
      <c r="AO391" s="639"/>
      <c r="AP391" s="640"/>
      <c r="AQ391" s="640"/>
      <c r="AR391" s="640"/>
      <c r="AS391" s="640"/>
      <c r="AT391" s="640"/>
      <c r="AU391" s="640"/>
      <c r="AV391" s="640"/>
      <c r="AW391" s="640"/>
      <c r="AX391" s="640"/>
      <c r="AY391" s="640"/>
      <c r="AZ391" s="640"/>
      <c r="BA391" s="640"/>
      <c r="BB391" s="640"/>
      <c r="BC391" s="640"/>
      <c r="BD391" s="641"/>
      <c r="BE391" s="627"/>
      <c r="BF391" s="628"/>
      <c r="BG391" s="628"/>
      <c r="BH391" s="628"/>
      <c r="BI391" s="628"/>
      <c r="BJ391" s="628"/>
      <c r="BK391" s="628"/>
      <c r="BL391" s="628"/>
      <c r="BM391" s="628"/>
      <c r="BN391" s="628"/>
      <c r="BO391" s="628"/>
      <c r="BP391" s="628"/>
      <c r="BQ391" s="628"/>
      <c r="BR391" s="628"/>
      <c r="BS391" s="628"/>
      <c r="BT391" s="629"/>
      <c r="BU391" s="696"/>
      <c r="BV391" s="697"/>
      <c r="BW391" s="697"/>
      <c r="BX391" s="697"/>
      <c r="BY391" s="697"/>
      <c r="BZ391" s="697"/>
      <c r="CA391" s="697"/>
      <c r="CB391" s="697"/>
      <c r="CC391" s="697"/>
      <c r="CD391" s="697"/>
      <c r="CE391" s="697"/>
      <c r="CF391" s="697"/>
      <c r="CG391" s="697"/>
      <c r="CH391" s="697"/>
      <c r="CI391" s="697"/>
      <c r="CJ391" s="698"/>
      <c r="CK391" s="627"/>
      <c r="CL391" s="628"/>
      <c r="CM391" s="628"/>
      <c r="CN391" s="628"/>
      <c r="CO391" s="628"/>
      <c r="CP391" s="628"/>
      <c r="CQ391" s="628"/>
      <c r="CR391" s="628"/>
      <c r="CS391" s="628"/>
      <c r="CT391" s="628"/>
      <c r="CU391" s="628"/>
      <c r="CV391" s="628"/>
      <c r="CW391" s="628"/>
      <c r="CX391" s="628"/>
      <c r="CY391" s="628"/>
      <c r="CZ391" s="629"/>
      <c r="DA391" s="214"/>
    </row>
    <row r="392" spans="1:105" s="16" customFormat="1" ht="15" hidden="1" customHeight="1" x14ac:dyDescent="0.3">
      <c r="A392" s="630"/>
      <c r="B392" s="631"/>
      <c r="C392" s="631"/>
      <c r="D392" s="631"/>
      <c r="E392" s="631"/>
      <c r="F392" s="631"/>
      <c r="G392" s="632"/>
      <c r="H392" s="584"/>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5"/>
      <c r="AL392" s="585"/>
      <c r="AM392" s="585"/>
      <c r="AN392" s="586"/>
      <c r="AO392" s="639"/>
      <c r="AP392" s="640"/>
      <c r="AQ392" s="640"/>
      <c r="AR392" s="640"/>
      <c r="AS392" s="640"/>
      <c r="AT392" s="640"/>
      <c r="AU392" s="640"/>
      <c r="AV392" s="640"/>
      <c r="AW392" s="640"/>
      <c r="AX392" s="640"/>
      <c r="AY392" s="640"/>
      <c r="AZ392" s="640"/>
      <c r="BA392" s="640"/>
      <c r="BB392" s="640"/>
      <c r="BC392" s="640"/>
      <c r="BD392" s="641"/>
      <c r="BE392" s="627"/>
      <c r="BF392" s="628"/>
      <c r="BG392" s="628"/>
      <c r="BH392" s="628"/>
      <c r="BI392" s="628"/>
      <c r="BJ392" s="628"/>
      <c r="BK392" s="628"/>
      <c r="BL392" s="628"/>
      <c r="BM392" s="628"/>
      <c r="BN392" s="628"/>
      <c r="BO392" s="628"/>
      <c r="BP392" s="628"/>
      <c r="BQ392" s="628"/>
      <c r="BR392" s="628"/>
      <c r="BS392" s="628"/>
      <c r="BT392" s="629"/>
      <c r="BU392" s="696"/>
      <c r="BV392" s="697"/>
      <c r="BW392" s="697"/>
      <c r="BX392" s="697"/>
      <c r="BY392" s="697"/>
      <c r="BZ392" s="697"/>
      <c r="CA392" s="697"/>
      <c r="CB392" s="697"/>
      <c r="CC392" s="697"/>
      <c r="CD392" s="697"/>
      <c r="CE392" s="697"/>
      <c r="CF392" s="697"/>
      <c r="CG392" s="697"/>
      <c r="CH392" s="697"/>
      <c r="CI392" s="697"/>
      <c r="CJ392" s="698"/>
      <c r="CK392" s="627"/>
      <c r="CL392" s="628"/>
      <c r="CM392" s="628"/>
      <c r="CN392" s="628"/>
      <c r="CO392" s="628"/>
      <c r="CP392" s="628"/>
      <c r="CQ392" s="628"/>
      <c r="CR392" s="628"/>
      <c r="CS392" s="628"/>
      <c r="CT392" s="628"/>
      <c r="CU392" s="628"/>
      <c r="CV392" s="628"/>
      <c r="CW392" s="628"/>
      <c r="CX392" s="628"/>
      <c r="CY392" s="628"/>
      <c r="CZ392" s="629"/>
      <c r="DA392" s="214"/>
    </row>
    <row r="393" spans="1:105" s="16" customFormat="1" ht="15" hidden="1" customHeight="1" x14ac:dyDescent="0.3">
      <c r="A393" s="553" t="s">
        <v>292</v>
      </c>
      <c r="B393" s="554"/>
      <c r="C393" s="554"/>
      <c r="D393" s="554"/>
      <c r="E393" s="554"/>
      <c r="F393" s="554"/>
      <c r="G393" s="554"/>
      <c r="H393" s="554"/>
      <c r="I393" s="554"/>
      <c r="J393" s="554"/>
      <c r="K393" s="554"/>
      <c r="L393" s="554"/>
      <c r="M393" s="554"/>
      <c r="N393" s="554"/>
      <c r="O393" s="554"/>
      <c r="P393" s="554"/>
      <c r="Q393" s="554"/>
      <c r="R393" s="554"/>
      <c r="S393" s="554"/>
      <c r="T393" s="554"/>
      <c r="U393" s="554"/>
      <c r="V393" s="554"/>
      <c r="W393" s="554"/>
      <c r="X393" s="554"/>
      <c r="Y393" s="554"/>
      <c r="Z393" s="554"/>
      <c r="AA393" s="554"/>
      <c r="AB393" s="554"/>
      <c r="AC393" s="554"/>
      <c r="AD393" s="554"/>
      <c r="AE393" s="554"/>
      <c r="AF393" s="554"/>
      <c r="AG393" s="554"/>
      <c r="AH393" s="554"/>
      <c r="AI393" s="554"/>
      <c r="AJ393" s="554"/>
      <c r="AK393" s="554"/>
      <c r="AL393" s="554"/>
      <c r="AM393" s="554"/>
      <c r="AN393" s="555"/>
      <c r="AO393" s="544" t="s">
        <v>4</v>
      </c>
      <c r="AP393" s="545"/>
      <c r="AQ393" s="545"/>
      <c r="AR393" s="545"/>
      <c r="AS393" s="545"/>
      <c r="AT393" s="545"/>
      <c r="AU393" s="545"/>
      <c r="AV393" s="545"/>
      <c r="AW393" s="545"/>
      <c r="AX393" s="545"/>
      <c r="AY393" s="545"/>
      <c r="AZ393" s="545"/>
      <c r="BA393" s="545"/>
      <c r="BB393" s="545"/>
      <c r="BC393" s="545"/>
      <c r="BD393" s="546"/>
      <c r="BE393" s="544" t="s">
        <v>4</v>
      </c>
      <c r="BF393" s="545"/>
      <c r="BG393" s="545"/>
      <c r="BH393" s="545"/>
      <c r="BI393" s="545"/>
      <c r="BJ393" s="545"/>
      <c r="BK393" s="545"/>
      <c r="BL393" s="545"/>
      <c r="BM393" s="545"/>
      <c r="BN393" s="545"/>
      <c r="BO393" s="545"/>
      <c r="BP393" s="545"/>
      <c r="BQ393" s="545"/>
      <c r="BR393" s="545"/>
      <c r="BS393" s="545"/>
      <c r="BT393" s="546"/>
      <c r="BU393" s="544" t="s">
        <v>4</v>
      </c>
      <c r="BV393" s="545"/>
      <c r="BW393" s="545"/>
      <c r="BX393" s="545"/>
      <c r="BY393" s="545"/>
      <c r="BZ393" s="545"/>
      <c r="CA393" s="545"/>
      <c r="CB393" s="545"/>
      <c r="CC393" s="545"/>
      <c r="CD393" s="545"/>
      <c r="CE393" s="545"/>
      <c r="CF393" s="545"/>
      <c r="CG393" s="545"/>
      <c r="CH393" s="545"/>
      <c r="CI393" s="545"/>
      <c r="CJ393" s="546"/>
      <c r="CK393" s="636">
        <f>SUM(CK390:CK392)</f>
        <v>0</v>
      </c>
      <c r="CL393" s="654"/>
      <c r="CM393" s="654"/>
      <c r="CN393" s="654"/>
      <c r="CO393" s="654"/>
      <c r="CP393" s="654"/>
      <c r="CQ393" s="654"/>
      <c r="CR393" s="654"/>
      <c r="CS393" s="654"/>
      <c r="CT393" s="654"/>
      <c r="CU393" s="654"/>
      <c r="CV393" s="654"/>
      <c r="CW393" s="654"/>
      <c r="CX393" s="654"/>
      <c r="CY393" s="654"/>
      <c r="CZ393" s="655"/>
      <c r="DA393" s="214"/>
    </row>
    <row r="394" spans="1:105" s="16" customFormat="1" ht="15" hidden="1" customHeight="1" x14ac:dyDescent="0.3">
      <c r="A394" s="553" t="s">
        <v>56</v>
      </c>
      <c r="B394" s="554"/>
      <c r="C394" s="554"/>
      <c r="D394" s="554"/>
      <c r="E394" s="554"/>
      <c r="F394" s="554"/>
      <c r="G394" s="554"/>
      <c r="H394" s="554"/>
      <c r="I394" s="554"/>
      <c r="J394" s="554"/>
      <c r="K394" s="554"/>
      <c r="L394" s="554"/>
      <c r="M394" s="554"/>
      <c r="N394" s="554"/>
      <c r="O394" s="554"/>
      <c r="P394" s="554"/>
      <c r="Q394" s="554"/>
      <c r="R394" s="554"/>
      <c r="S394" s="554"/>
      <c r="T394" s="554"/>
      <c r="U394" s="554"/>
      <c r="V394" s="554"/>
      <c r="W394" s="554"/>
      <c r="X394" s="554"/>
      <c r="Y394" s="554"/>
      <c r="Z394" s="554"/>
      <c r="AA394" s="554"/>
      <c r="AB394" s="554"/>
      <c r="AC394" s="554"/>
      <c r="AD394" s="554"/>
      <c r="AE394" s="554"/>
      <c r="AF394" s="554"/>
      <c r="AG394" s="554"/>
      <c r="AH394" s="554"/>
      <c r="AI394" s="554"/>
      <c r="AJ394" s="554"/>
      <c r="AK394" s="554"/>
      <c r="AL394" s="554"/>
      <c r="AM394" s="554"/>
      <c r="AN394" s="555"/>
      <c r="AO394" s="544" t="s">
        <v>4</v>
      </c>
      <c r="AP394" s="545"/>
      <c r="AQ394" s="545"/>
      <c r="AR394" s="545"/>
      <c r="AS394" s="545"/>
      <c r="AT394" s="545"/>
      <c r="AU394" s="545"/>
      <c r="AV394" s="545"/>
      <c r="AW394" s="545"/>
      <c r="AX394" s="545"/>
      <c r="AY394" s="545"/>
      <c r="AZ394" s="545"/>
      <c r="BA394" s="545"/>
      <c r="BB394" s="545"/>
      <c r="BC394" s="545"/>
      <c r="BD394" s="546"/>
      <c r="BE394" s="544" t="s">
        <v>4</v>
      </c>
      <c r="BF394" s="545"/>
      <c r="BG394" s="545"/>
      <c r="BH394" s="545"/>
      <c r="BI394" s="545"/>
      <c r="BJ394" s="545"/>
      <c r="BK394" s="545"/>
      <c r="BL394" s="545"/>
      <c r="BM394" s="545"/>
      <c r="BN394" s="545"/>
      <c r="BO394" s="545"/>
      <c r="BP394" s="545"/>
      <c r="BQ394" s="545"/>
      <c r="BR394" s="545"/>
      <c r="BS394" s="545"/>
      <c r="BT394" s="546"/>
      <c r="BU394" s="544" t="s">
        <v>4</v>
      </c>
      <c r="BV394" s="545"/>
      <c r="BW394" s="545"/>
      <c r="BX394" s="545"/>
      <c r="BY394" s="545"/>
      <c r="BZ394" s="545"/>
      <c r="CA394" s="545"/>
      <c r="CB394" s="545"/>
      <c r="CC394" s="545"/>
      <c r="CD394" s="545"/>
      <c r="CE394" s="545"/>
      <c r="CF394" s="545"/>
      <c r="CG394" s="545"/>
      <c r="CH394" s="545"/>
      <c r="CI394" s="545"/>
      <c r="CJ394" s="546"/>
      <c r="CK394" s="636">
        <f>CK388+CK393</f>
        <v>0</v>
      </c>
      <c r="CL394" s="637"/>
      <c r="CM394" s="637"/>
      <c r="CN394" s="637"/>
      <c r="CO394" s="637"/>
      <c r="CP394" s="637"/>
      <c r="CQ394" s="637"/>
      <c r="CR394" s="637"/>
      <c r="CS394" s="637"/>
      <c r="CT394" s="637"/>
      <c r="CU394" s="637"/>
      <c r="CV394" s="637"/>
      <c r="CW394" s="637"/>
      <c r="CX394" s="637"/>
      <c r="CY394" s="637"/>
      <c r="CZ394" s="638"/>
      <c r="DA394" s="214"/>
    </row>
    <row r="395" spans="1:105" s="16" customFormat="1" ht="15" hidden="1"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0"/>
    </row>
    <row r="396" spans="1:105" s="16" customFormat="1" ht="15" customHeight="1" x14ac:dyDescent="0.25">
      <c r="A396" s="594" t="s">
        <v>364</v>
      </c>
      <c r="B396" s="594"/>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4"/>
      <c r="AL396" s="594"/>
      <c r="AM396" s="594"/>
      <c r="AN396" s="594"/>
      <c r="AO396" s="594"/>
      <c r="AP396" s="594"/>
      <c r="AQ396" s="594"/>
      <c r="AR396" s="594"/>
      <c r="AS396" s="594"/>
      <c r="AT396" s="594"/>
      <c r="AU396" s="594"/>
      <c r="AV396" s="594"/>
      <c r="AW396" s="594"/>
      <c r="AX396" s="594"/>
      <c r="AY396" s="594"/>
      <c r="AZ396" s="594"/>
      <c r="BA396" s="594"/>
      <c r="BB396" s="594"/>
      <c r="BC396" s="594"/>
      <c r="BD396" s="594"/>
      <c r="BE396" s="594"/>
      <c r="BF396" s="594"/>
      <c r="BG396" s="594"/>
      <c r="BH396" s="594"/>
      <c r="BI396" s="594"/>
      <c r="BJ396" s="594"/>
      <c r="BK396" s="594"/>
      <c r="BL396" s="594"/>
      <c r="BM396" s="594"/>
      <c r="BN396" s="594"/>
      <c r="BO396" s="594"/>
      <c r="BP396" s="594"/>
      <c r="BQ396" s="594"/>
      <c r="BR396" s="594"/>
      <c r="BS396" s="594"/>
      <c r="BT396" s="594"/>
      <c r="BU396" s="594"/>
      <c r="BV396" s="594"/>
      <c r="BW396" s="594"/>
      <c r="BX396" s="594"/>
      <c r="BY396" s="594"/>
      <c r="BZ396" s="594"/>
      <c r="CA396" s="594"/>
      <c r="CB396" s="594"/>
      <c r="CC396" s="594"/>
      <c r="CD396" s="594"/>
      <c r="CE396" s="594"/>
      <c r="CF396" s="594"/>
      <c r="CG396" s="594"/>
      <c r="CH396" s="594"/>
      <c r="CI396" s="594"/>
      <c r="CJ396" s="594"/>
      <c r="CK396" s="594"/>
      <c r="CL396" s="594"/>
      <c r="CM396" s="594"/>
      <c r="CN396" s="594"/>
      <c r="CO396" s="594"/>
      <c r="CP396" s="594"/>
      <c r="CQ396" s="594"/>
      <c r="CR396" s="594"/>
      <c r="CS396" s="594"/>
      <c r="CT396" s="594"/>
      <c r="CU396" s="594"/>
      <c r="CV396" s="594"/>
      <c r="CW396" s="594"/>
      <c r="CX396" s="594"/>
      <c r="CY396" s="594"/>
      <c r="CZ396" s="594"/>
      <c r="DA396" s="220"/>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4"/>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95" t="s">
        <v>603</v>
      </c>
      <c r="X398" s="595"/>
      <c r="Y398" s="595"/>
      <c r="Z398" s="595"/>
      <c r="AA398" s="595"/>
      <c r="AB398" s="595"/>
      <c r="AC398" s="595"/>
      <c r="AD398" s="595"/>
      <c r="AE398" s="595"/>
      <c r="AF398" s="595"/>
      <c r="AG398" s="595"/>
      <c r="AH398" s="595"/>
      <c r="AI398" s="595"/>
      <c r="AJ398" s="595"/>
      <c r="AK398" s="595"/>
      <c r="AL398" s="595"/>
      <c r="AM398" s="595"/>
      <c r="AN398" s="595"/>
      <c r="AO398" s="595"/>
      <c r="AP398" s="595"/>
      <c r="AQ398" s="595"/>
      <c r="AR398" s="595"/>
      <c r="AS398" s="595"/>
      <c r="AT398" s="595"/>
      <c r="AU398" s="595"/>
      <c r="AV398" s="595"/>
      <c r="AW398" s="595"/>
      <c r="AX398" s="595"/>
      <c r="AY398" s="595"/>
      <c r="AZ398" s="595"/>
      <c r="BA398" s="595"/>
      <c r="BB398" s="595"/>
      <c r="BC398" s="595"/>
      <c r="BD398" s="595"/>
      <c r="BE398" s="595"/>
      <c r="BF398" s="595"/>
      <c r="BG398" s="595"/>
      <c r="BH398" s="595"/>
      <c r="BI398" s="595"/>
      <c r="BJ398" s="595"/>
      <c r="BK398" s="595"/>
      <c r="BL398" s="595"/>
      <c r="BM398" s="595"/>
      <c r="BN398" s="595"/>
      <c r="BO398" s="595"/>
      <c r="BP398" s="595"/>
      <c r="BQ398" s="595"/>
      <c r="BR398" s="595"/>
      <c r="BS398" s="595"/>
      <c r="BT398" s="595"/>
      <c r="BU398" s="595"/>
      <c r="BV398" s="595"/>
      <c r="BW398" s="595"/>
      <c r="BX398" s="595"/>
      <c r="BY398" s="595"/>
      <c r="BZ398" s="595"/>
      <c r="CA398" s="595"/>
      <c r="CB398" s="595"/>
      <c r="CC398" s="595"/>
      <c r="CD398" s="595"/>
      <c r="CE398" s="595"/>
      <c r="CF398" s="595"/>
      <c r="CG398" s="595"/>
      <c r="CH398" s="595"/>
      <c r="CI398" s="595"/>
      <c r="CJ398" s="595"/>
      <c r="CK398" s="595"/>
      <c r="CL398" s="595"/>
      <c r="CM398" s="595"/>
      <c r="CN398" s="595"/>
      <c r="CO398" s="595"/>
      <c r="CP398" s="595"/>
      <c r="CQ398" s="595"/>
      <c r="CR398" s="595"/>
      <c r="CS398" s="595"/>
      <c r="CT398" s="595"/>
      <c r="CU398" s="595"/>
      <c r="CV398" s="595"/>
      <c r="CW398" s="595"/>
      <c r="CX398" s="595"/>
      <c r="CY398" s="595"/>
      <c r="CZ398" s="595"/>
      <c r="DA398" s="227">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4"/>
    </row>
    <row r="400" spans="1:105" s="16" customFormat="1" ht="41.25" customHeight="1" x14ac:dyDescent="0.3">
      <c r="A400" s="475" t="s">
        <v>49</v>
      </c>
      <c r="B400" s="476"/>
      <c r="C400" s="476"/>
      <c r="D400" s="476"/>
      <c r="E400" s="476"/>
      <c r="F400" s="476"/>
      <c r="G400" s="477"/>
      <c r="H400" s="475" t="s">
        <v>0</v>
      </c>
      <c r="I400" s="476"/>
      <c r="J400" s="476"/>
      <c r="K400" s="476"/>
      <c r="L400" s="476"/>
      <c r="M400" s="476"/>
      <c r="N400" s="476"/>
      <c r="O400" s="476"/>
      <c r="P400" s="476"/>
      <c r="Q400" s="476"/>
      <c r="R400" s="476"/>
      <c r="S400" s="476"/>
      <c r="T400" s="476"/>
      <c r="U400" s="476"/>
      <c r="V400" s="476"/>
      <c r="W400" s="476"/>
      <c r="X400" s="476"/>
      <c r="Y400" s="476"/>
      <c r="Z400" s="476"/>
      <c r="AA400" s="476"/>
      <c r="AB400" s="476"/>
      <c r="AC400" s="476"/>
      <c r="AD400" s="476"/>
      <c r="AE400" s="476"/>
      <c r="AF400" s="476"/>
      <c r="AG400" s="476"/>
      <c r="AH400" s="476"/>
      <c r="AI400" s="476"/>
      <c r="AJ400" s="476"/>
      <c r="AK400" s="476"/>
      <c r="AL400" s="476"/>
      <c r="AM400" s="476"/>
      <c r="AN400" s="477"/>
      <c r="AO400" s="475" t="s">
        <v>88</v>
      </c>
      <c r="AP400" s="476"/>
      <c r="AQ400" s="476"/>
      <c r="AR400" s="476"/>
      <c r="AS400" s="476"/>
      <c r="AT400" s="476"/>
      <c r="AU400" s="476"/>
      <c r="AV400" s="476"/>
      <c r="AW400" s="476"/>
      <c r="AX400" s="476"/>
      <c r="AY400" s="476"/>
      <c r="AZ400" s="476"/>
      <c r="BA400" s="476"/>
      <c r="BB400" s="476"/>
      <c r="BC400" s="476"/>
      <c r="BD400" s="477"/>
      <c r="BE400" s="475" t="s">
        <v>89</v>
      </c>
      <c r="BF400" s="476"/>
      <c r="BG400" s="476"/>
      <c r="BH400" s="476"/>
      <c r="BI400" s="476"/>
      <c r="BJ400" s="476"/>
      <c r="BK400" s="476"/>
      <c r="BL400" s="476"/>
      <c r="BM400" s="476"/>
      <c r="BN400" s="476"/>
      <c r="BO400" s="476"/>
      <c r="BP400" s="476"/>
      <c r="BQ400" s="476"/>
      <c r="BR400" s="476"/>
      <c r="BS400" s="476"/>
      <c r="BT400" s="477"/>
      <c r="BU400" s="475" t="s">
        <v>90</v>
      </c>
      <c r="BV400" s="476"/>
      <c r="BW400" s="476"/>
      <c r="BX400" s="476"/>
      <c r="BY400" s="476"/>
      <c r="BZ400" s="476"/>
      <c r="CA400" s="476"/>
      <c r="CB400" s="476"/>
      <c r="CC400" s="476"/>
      <c r="CD400" s="476"/>
      <c r="CE400" s="476"/>
      <c r="CF400" s="476"/>
      <c r="CG400" s="476"/>
      <c r="CH400" s="476"/>
      <c r="CI400" s="476"/>
      <c r="CJ400" s="477"/>
      <c r="CK400" s="475" t="s">
        <v>98</v>
      </c>
      <c r="CL400" s="476"/>
      <c r="CM400" s="476"/>
      <c r="CN400" s="476"/>
      <c r="CO400" s="476"/>
      <c r="CP400" s="476"/>
      <c r="CQ400" s="476"/>
      <c r="CR400" s="476"/>
      <c r="CS400" s="476"/>
      <c r="CT400" s="476"/>
      <c r="CU400" s="476"/>
      <c r="CV400" s="476"/>
      <c r="CW400" s="476"/>
      <c r="CX400" s="476"/>
      <c r="CY400" s="476"/>
      <c r="CZ400" s="477"/>
      <c r="DA400" s="214"/>
    </row>
    <row r="401" spans="1:105" s="16" customFormat="1" ht="15" customHeight="1" x14ac:dyDescent="0.3">
      <c r="A401" s="591">
        <v>1</v>
      </c>
      <c r="B401" s="591"/>
      <c r="C401" s="591"/>
      <c r="D401" s="591"/>
      <c r="E401" s="591"/>
      <c r="F401" s="591"/>
      <c r="G401" s="591"/>
      <c r="H401" s="591">
        <v>2</v>
      </c>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1"/>
      <c r="AL401" s="591"/>
      <c r="AM401" s="591"/>
      <c r="AN401" s="591"/>
      <c r="AO401" s="591">
        <v>3</v>
      </c>
      <c r="AP401" s="591"/>
      <c r="AQ401" s="591"/>
      <c r="AR401" s="591"/>
      <c r="AS401" s="591"/>
      <c r="AT401" s="591"/>
      <c r="AU401" s="591"/>
      <c r="AV401" s="591"/>
      <c r="AW401" s="591"/>
      <c r="AX401" s="591"/>
      <c r="AY401" s="591"/>
      <c r="AZ401" s="591"/>
      <c r="BA401" s="591"/>
      <c r="BB401" s="591"/>
      <c r="BC401" s="591"/>
      <c r="BD401" s="591"/>
      <c r="BE401" s="591">
        <v>4</v>
      </c>
      <c r="BF401" s="591"/>
      <c r="BG401" s="591"/>
      <c r="BH401" s="591"/>
      <c r="BI401" s="591"/>
      <c r="BJ401" s="591"/>
      <c r="BK401" s="591"/>
      <c r="BL401" s="591"/>
      <c r="BM401" s="591"/>
      <c r="BN401" s="591"/>
      <c r="BO401" s="591"/>
      <c r="BP401" s="591"/>
      <c r="BQ401" s="591"/>
      <c r="BR401" s="591"/>
      <c r="BS401" s="591"/>
      <c r="BT401" s="591"/>
      <c r="BU401" s="591">
        <v>5</v>
      </c>
      <c r="BV401" s="591"/>
      <c r="BW401" s="591"/>
      <c r="BX401" s="591"/>
      <c r="BY401" s="591"/>
      <c r="BZ401" s="591"/>
      <c r="CA401" s="591"/>
      <c r="CB401" s="591"/>
      <c r="CC401" s="591"/>
      <c r="CD401" s="591"/>
      <c r="CE401" s="591"/>
      <c r="CF401" s="591"/>
      <c r="CG401" s="591"/>
      <c r="CH401" s="591"/>
      <c r="CI401" s="591"/>
      <c r="CJ401" s="591"/>
      <c r="CK401" s="591">
        <v>6</v>
      </c>
      <c r="CL401" s="591"/>
      <c r="CM401" s="591"/>
      <c r="CN401" s="591"/>
      <c r="CO401" s="591"/>
      <c r="CP401" s="591"/>
      <c r="CQ401" s="591"/>
      <c r="CR401" s="591"/>
      <c r="CS401" s="591"/>
      <c r="CT401" s="591"/>
      <c r="CU401" s="591"/>
      <c r="CV401" s="591"/>
      <c r="CW401" s="591"/>
      <c r="CX401" s="591"/>
      <c r="CY401" s="591"/>
      <c r="CZ401" s="591"/>
      <c r="DA401" s="214"/>
    </row>
    <row r="402" spans="1:105" s="16" customFormat="1" ht="15" customHeight="1" x14ac:dyDescent="0.3">
      <c r="A402" s="656" t="s">
        <v>604</v>
      </c>
      <c r="B402" s="657"/>
      <c r="C402" s="657"/>
      <c r="D402" s="657"/>
      <c r="E402" s="657"/>
      <c r="F402" s="657"/>
      <c r="G402" s="657"/>
      <c r="H402" s="657"/>
      <c r="I402" s="657"/>
      <c r="J402" s="657"/>
      <c r="K402" s="657"/>
      <c r="L402" s="657"/>
      <c r="M402" s="657"/>
      <c r="N402" s="657"/>
      <c r="O402" s="657"/>
      <c r="P402" s="657"/>
      <c r="Q402" s="657"/>
      <c r="R402" s="657"/>
      <c r="S402" s="657"/>
      <c r="T402" s="657"/>
      <c r="U402" s="657"/>
      <c r="V402" s="657"/>
      <c r="W402" s="657"/>
      <c r="X402" s="657"/>
      <c r="Y402" s="657"/>
      <c r="Z402" s="657"/>
      <c r="AA402" s="657"/>
      <c r="AB402" s="657"/>
      <c r="AC402" s="657"/>
      <c r="AD402" s="657"/>
      <c r="AE402" s="657"/>
      <c r="AF402" s="657"/>
      <c r="AG402" s="657"/>
      <c r="AH402" s="657"/>
      <c r="AI402" s="657"/>
      <c r="AJ402" s="657"/>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57"/>
      <c r="BQ402" s="657"/>
      <c r="BR402" s="657"/>
      <c r="BS402" s="657"/>
      <c r="BT402" s="657"/>
      <c r="BU402" s="657"/>
      <c r="BV402" s="657"/>
      <c r="BW402" s="657"/>
      <c r="BX402" s="657"/>
      <c r="BY402" s="657"/>
      <c r="BZ402" s="657"/>
      <c r="CA402" s="657"/>
      <c r="CB402" s="657"/>
      <c r="CC402" s="657"/>
      <c r="CD402" s="657"/>
      <c r="CE402" s="657"/>
      <c r="CF402" s="657"/>
      <c r="CG402" s="657"/>
      <c r="CH402" s="657"/>
      <c r="CI402" s="657"/>
      <c r="CJ402" s="657"/>
      <c r="CK402" s="657"/>
      <c r="CL402" s="657"/>
      <c r="CM402" s="657"/>
      <c r="CN402" s="657"/>
      <c r="CO402" s="657"/>
      <c r="CP402" s="657"/>
      <c r="CQ402" s="657"/>
      <c r="CR402" s="657"/>
      <c r="CS402" s="657"/>
      <c r="CT402" s="657"/>
      <c r="CU402" s="657"/>
      <c r="CV402" s="657"/>
      <c r="CW402" s="657"/>
      <c r="CX402" s="657"/>
      <c r="CY402" s="657"/>
      <c r="CZ402" s="658"/>
      <c r="DA402" s="220"/>
    </row>
    <row r="403" spans="1:105" s="16" customFormat="1" ht="15" customHeight="1" x14ac:dyDescent="0.3">
      <c r="A403" s="630" t="s">
        <v>441</v>
      </c>
      <c r="B403" s="631"/>
      <c r="C403" s="631"/>
      <c r="D403" s="631"/>
      <c r="E403" s="631"/>
      <c r="F403" s="631"/>
      <c r="G403" s="632"/>
      <c r="H403" s="584" t="s">
        <v>593</v>
      </c>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5"/>
      <c r="AL403" s="585"/>
      <c r="AM403" s="585"/>
      <c r="AN403" s="586"/>
      <c r="AO403" s="627">
        <v>400</v>
      </c>
      <c r="AP403" s="628"/>
      <c r="AQ403" s="628"/>
      <c r="AR403" s="628"/>
      <c r="AS403" s="628"/>
      <c r="AT403" s="628"/>
      <c r="AU403" s="628"/>
      <c r="AV403" s="628"/>
      <c r="AW403" s="628"/>
      <c r="AX403" s="628"/>
      <c r="AY403" s="628"/>
      <c r="AZ403" s="628"/>
      <c r="BA403" s="628"/>
      <c r="BB403" s="628"/>
      <c r="BC403" s="628"/>
      <c r="BD403" s="629"/>
      <c r="BE403" s="693">
        <v>3656.26</v>
      </c>
      <c r="BF403" s="694"/>
      <c r="BG403" s="694"/>
      <c r="BH403" s="694"/>
      <c r="BI403" s="694"/>
      <c r="BJ403" s="694"/>
      <c r="BK403" s="694"/>
      <c r="BL403" s="694"/>
      <c r="BM403" s="694"/>
      <c r="BN403" s="694"/>
      <c r="BO403" s="694"/>
      <c r="BP403" s="694"/>
      <c r="BQ403" s="694"/>
      <c r="BR403" s="694"/>
      <c r="BS403" s="694"/>
      <c r="BT403" s="695"/>
      <c r="BU403" s="696">
        <v>5.5E-2</v>
      </c>
      <c r="BV403" s="697"/>
      <c r="BW403" s="697"/>
      <c r="BX403" s="697"/>
      <c r="BY403" s="697"/>
      <c r="BZ403" s="697"/>
      <c r="CA403" s="697"/>
      <c r="CB403" s="697"/>
      <c r="CC403" s="697"/>
      <c r="CD403" s="697"/>
      <c r="CE403" s="697"/>
      <c r="CF403" s="697"/>
      <c r="CG403" s="697"/>
      <c r="CH403" s="697"/>
      <c r="CI403" s="697"/>
      <c r="CJ403" s="698"/>
      <c r="CK403" s="627">
        <f>ROUND(AO403*BE403*BU403+(AO403*BE403),2)</f>
        <v>1542941.72</v>
      </c>
      <c r="CL403" s="628"/>
      <c r="CM403" s="628"/>
      <c r="CN403" s="628"/>
      <c r="CO403" s="628"/>
      <c r="CP403" s="628"/>
      <c r="CQ403" s="628"/>
      <c r="CR403" s="628"/>
      <c r="CS403" s="628"/>
      <c r="CT403" s="628"/>
      <c r="CU403" s="628"/>
      <c r="CV403" s="628"/>
      <c r="CW403" s="628"/>
      <c r="CX403" s="628"/>
      <c r="CY403" s="628"/>
      <c r="CZ403" s="629"/>
      <c r="DA403" s="220"/>
    </row>
    <row r="404" spans="1:105" s="16" customFormat="1" ht="15" customHeight="1" x14ac:dyDescent="0.3">
      <c r="A404" s="630" t="s">
        <v>444</v>
      </c>
      <c r="B404" s="631"/>
      <c r="C404" s="631"/>
      <c r="D404" s="631"/>
      <c r="E404" s="631"/>
      <c r="F404" s="631"/>
      <c r="G404" s="632"/>
      <c r="H404" s="584" t="s">
        <v>595</v>
      </c>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5"/>
      <c r="AL404" s="585"/>
      <c r="AM404" s="585"/>
      <c r="AN404" s="586"/>
      <c r="AO404" s="627">
        <v>140</v>
      </c>
      <c r="AP404" s="628"/>
      <c r="AQ404" s="628"/>
      <c r="AR404" s="628"/>
      <c r="AS404" s="628"/>
      <c r="AT404" s="628"/>
      <c r="AU404" s="628"/>
      <c r="AV404" s="628"/>
      <c r="AW404" s="628"/>
      <c r="AX404" s="628"/>
      <c r="AY404" s="628"/>
      <c r="AZ404" s="628"/>
      <c r="BA404" s="628"/>
      <c r="BB404" s="628"/>
      <c r="BC404" s="628"/>
      <c r="BD404" s="629"/>
      <c r="BE404" s="693">
        <v>24.19</v>
      </c>
      <c r="BF404" s="694"/>
      <c r="BG404" s="694"/>
      <c r="BH404" s="694"/>
      <c r="BI404" s="694"/>
      <c r="BJ404" s="694"/>
      <c r="BK404" s="694"/>
      <c r="BL404" s="694"/>
      <c r="BM404" s="694"/>
      <c r="BN404" s="694"/>
      <c r="BO404" s="694"/>
      <c r="BP404" s="694"/>
      <c r="BQ404" s="694"/>
      <c r="BR404" s="694"/>
      <c r="BS404" s="694"/>
      <c r="BT404" s="695"/>
      <c r="BU404" s="696">
        <v>5.5E-2</v>
      </c>
      <c r="BV404" s="697"/>
      <c r="BW404" s="697"/>
      <c r="BX404" s="697"/>
      <c r="BY404" s="697"/>
      <c r="BZ404" s="697"/>
      <c r="CA404" s="697"/>
      <c r="CB404" s="697"/>
      <c r="CC404" s="697"/>
      <c r="CD404" s="697"/>
      <c r="CE404" s="697"/>
      <c r="CF404" s="697"/>
      <c r="CG404" s="697"/>
      <c r="CH404" s="697"/>
      <c r="CI404" s="697"/>
      <c r="CJ404" s="698"/>
      <c r="CK404" s="627">
        <f>ROUND(AO404*BE404*BU404+(AO404*BE404),2)</f>
        <v>3572.86</v>
      </c>
      <c r="CL404" s="628"/>
      <c r="CM404" s="628"/>
      <c r="CN404" s="628"/>
      <c r="CO404" s="628"/>
      <c r="CP404" s="628"/>
      <c r="CQ404" s="628"/>
      <c r="CR404" s="628"/>
      <c r="CS404" s="628"/>
      <c r="CT404" s="628"/>
      <c r="CU404" s="628"/>
      <c r="CV404" s="628"/>
      <c r="CW404" s="628"/>
      <c r="CX404" s="628"/>
      <c r="CY404" s="628"/>
      <c r="CZ404" s="629"/>
      <c r="DA404" s="220"/>
    </row>
    <row r="405" spans="1:105" s="16" customFormat="1" ht="15" customHeight="1" x14ac:dyDescent="0.3">
      <c r="A405" s="630" t="s">
        <v>446</v>
      </c>
      <c r="B405" s="631"/>
      <c r="C405" s="631"/>
      <c r="D405" s="631"/>
      <c r="E405" s="631"/>
      <c r="F405" s="631"/>
      <c r="G405" s="632"/>
      <c r="H405" s="584" t="s">
        <v>605</v>
      </c>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5"/>
      <c r="AL405" s="585"/>
      <c r="AM405" s="585"/>
      <c r="AN405" s="586"/>
      <c r="AO405" s="627">
        <v>30000</v>
      </c>
      <c r="AP405" s="628"/>
      <c r="AQ405" s="628"/>
      <c r="AR405" s="628"/>
      <c r="AS405" s="628"/>
      <c r="AT405" s="628"/>
      <c r="AU405" s="628"/>
      <c r="AV405" s="628"/>
      <c r="AW405" s="628"/>
      <c r="AX405" s="628"/>
      <c r="AY405" s="628"/>
      <c r="AZ405" s="628"/>
      <c r="BA405" s="628"/>
      <c r="BB405" s="628"/>
      <c r="BC405" s="628"/>
      <c r="BD405" s="629"/>
      <c r="BE405" s="693">
        <v>7.65</v>
      </c>
      <c r="BF405" s="694"/>
      <c r="BG405" s="694"/>
      <c r="BH405" s="694"/>
      <c r="BI405" s="694"/>
      <c r="BJ405" s="694"/>
      <c r="BK405" s="694"/>
      <c r="BL405" s="694"/>
      <c r="BM405" s="694"/>
      <c r="BN405" s="694"/>
      <c r="BO405" s="694"/>
      <c r="BP405" s="694"/>
      <c r="BQ405" s="694"/>
      <c r="BR405" s="694"/>
      <c r="BS405" s="694"/>
      <c r="BT405" s="695"/>
      <c r="BU405" s="696">
        <v>5.5E-2</v>
      </c>
      <c r="BV405" s="697"/>
      <c r="BW405" s="697"/>
      <c r="BX405" s="697"/>
      <c r="BY405" s="697"/>
      <c r="BZ405" s="697"/>
      <c r="CA405" s="697"/>
      <c r="CB405" s="697"/>
      <c r="CC405" s="697"/>
      <c r="CD405" s="697"/>
      <c r="CE405" s="697"/>
      <c r="CF405" s="697"/>
      <c r="CG405" s="697"/>
      <c r="CH405" s="697"/>
      <c r="CI405" s="697"/>
      <c r="CJ405" s="698"/>
      <c r="CK405" s="627">
        <f>ROUND(AO405*BE405*BU405+(AO405*BE405),2)</f>
        <v>242122.5</v>
      </c>
      <c r="CL405" s="628"/>
      <c r="CM405" s="628"/>
      <c r="CN405" s="628"/>
      <c r="CO405" s="628"/>
      <c r="CP405" s="628"/>
      <c r="CQ405" s="628"/>
      <c r="CR405" s="628"/>
      <c r="CS405" s="628"/>
      <c r="CT405" s="628"/>
      <c r="CU405" s="628"/>
      <c r="CV405" s="628"/>
      <c r="CW405" s="628"/>
      <c r="CX405" s="628"/>
      <c r="CY405" s="628"/>
      <c r="CZ405" s="629"/>
      <c r="DA405" s="214"/>
    </row>
    <row r="406" spans="1:105" s="16" customFormat="1" ht="23.25" customHeight="1" x14ac:dyDescent="0.3">
      <c r="A406" s="630" t="s">
        <v>551</v>
      </c>
      <c r="B406" s="631"/>
      <c r="C406" s="631"/>
      <c r="D406" s="631"/>
      <c r="E406" s="631"/>
      <c r="F406" s="631"/>
      <c r="G406" s="632"/>
      <c r="H406" s="584" t="s">
        <v>606</v>
      </c>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5"/>
      <c r="AL406" s="585"/>
      <c r="AM406" s="585"/>
      <c r="AN406" s="586"/>
      <c r="AO406" s="627">
        <f>CK406/BE406</f>
        <v>150.42693900324375</v>
      </c>
      <c r="AP406" s="628"/>
      <c r="AQ406" s="628"/>
      <c r="AR406" s="628"/>
      <c r="AS406" s="628"/>
      <c r="AT406" s="628"/>
      <c r="AU406" s="628"/>
      <c r="AV406" s="628"/>
      <c r="AW406" s="628"/>
      <c r="AX406" s="628"/>
      <c r="AY406" s="628"/>
      <c r="AZ406" s="628"/>
      <c r="BA406" s="628"/>
      <c r="BB406" s="628"/>
      <c r="BC406" s="628"/>
      <c r="BD406" s="629"/>
      <c r="BE406" s="693">
        <v>3656.26</v>
      </c>
      <c r="BF406" s="694"/>
      <c r="BG406" s="694"/>
      <c r="BH406" s="694"/>
      <c r="BI406" s="694"/>
      <c r="BJ406" s="694"/>
      <c r="BK406" s="694"/>
      <c r="BL406" s="694"/>
      <c r="BM406" s="694"/>
      <c r="BN406" s="694"/>
      <c r="BO406" s="694"/>
      <c r="BP406" s="694"/>
      <c r="BQ406" s="694"/>
      <c r="BR406" s="694"/>
      <c r="BS406" s="694"/>
      <c r="BT406" s="695"/>
      <c r="BU406" s="696"/>
      <c r="BV406" s="697"/>
      <c r="BW406" s="697"/>
      <c r="BX406" s="697"/>
      <c r="BY406" s="697"/>
      <c r="BZ406" s="697"/>
      <c r="CA406" s="697"/>
      <c r="CB406" s="697"/>
      <c r="CC406" s="697"/>
      <c r="CD406" s="697"/>
      <c r="CE406" s="697"/>
      <c r="CF406" s="697"/>
      <c r="CG406" s="697"/>
      <c r="CH406" s="697"/>
      <c r="CI406" s="697"/>
      <c r="CJ406" s="698"/>
      <c r="CK406" s="627">
        <v>550000</v>
      </c>
      <c r="CL406" s="628"/>
      <c r="CM406" s="628"/>
      <c r="CN406" s="628"/>
      <c r="CO406" s="628"/>
      <c r="CP406" s="628"/>
      <c r="CQ406" s="628"/>
      <c r="CR406" s="628"/>
      <c r="CS406" s="628"/>
      <c r="CT406" s="628"/>
      <c r="CU406" s="628"/>
      <c r="CV406" s="628"/>
      <c r="CW406" s="628"/>
      <c r="CX406" s="628"/>
      <c r="CY406" s="628"/>
      <c r="CZ406" s="629"/>
      <c r="DA406" s="220"/>
    </row>
    <row r="407" spans="1:105" s="16" customFormat="1" ht="15" customHeight="1" x14ac:dyDescent="0.3">
      <c r="A407" s="553" t="s">
        <v>292</v>
      </c>
      <c r="B407" s="554"/>
      <c r="C407" s="554"/>
      <c r="D407" s="554"/>
      <c r="E407" s="554"/>
      <c r="F407" s="554"/>
      <c r="G407" s="554"/>
      <c r="H407" s="554"/>
      <c r="I407" s="554"/>
      <c r="J407" s="554"/>
      <c r="K407" s="554"/>
      <c r="L407" s="554"/>
      <c r="M407" s="554"/>
      <c r="N407" s="554"/>
      <c r="O407" s="554"/>
      <c r="P407" s="554"/>
      <c r="Q407" s="554"/>
      <c r="R407" s="554"/>
      <c r="S407" s="554"/>
      <c r="T407" s="554"/>
      <c r="U407" s="554"/>
      <c r="V407" s="554"/>
      <c r="W407" s="554"/>
      <c r="X407" s="554"/>
      <c r="Y407" s="554"/>
      <c r="Z407" s="554"/>
      <c r="AA407" s="554"/>
      <c r="AB407" s="554"/>
      <c r="AC407" s="554"/>
      <c r="AD407" s="554"/>
      <c r="AE407" s="554"/>
      <c r="AF407" s="554"/>
      <c r="AG407" s="554"/>
      <c r="AH407" s="554"/>
      <c r="AI407" s="554"/>
      <c r="AJ407" s="554"/>
      <c r="AK407" s="554"/>
      <c r="AL407" s="554"/>
      <c r="AM407" s="554"/>
      <c r="AN407" s="555"/>
      <c r="AO407" s="544" t="s">
        <v>4</v>
      </c>
      <c r="AP407" s="545"/>
      <c r="AQ407" s="545"/>
      <c r="AR407" s="545"/>
      <c r="AS407" s="545"/>
      <c r="AT407" s="545"/>
      <c r="AU407" s="545"/>
      <c r="AV407" s="545"/>
      <c r="AW407" s="545"/>
      <c r="AX407" s="545"/>
      <c r="AY407" s="545"/>
      <c r="AZ407" s="545"/>
      <c r="BA407" s="545"/>
      <c r="BB407" s="545"/>
      <c r="BC407" s="545"/>
      <c r="BD407" s="546"/>
      <c r="BE407" s="544" t="s">
        <v>4</v>
      </c>
      <c r="BF407" s="545"/>
      <c r="BG407" s="545"/>
      <c r="BH407" s="545"/>
      <c r="BI407" s="545"/>
      <c r="BJ407" s="545"/>
      <c r="BK407" s="545"/>
      <c r="BL407" s="545"/>
      <c r="BM407" s="545"/>
      <c r="BN407" s="545"/>
      <c r="BO407" s="545"/>
      <c r="BP407" s="545"/>
      <c r="BQ407" s="545"/>
      <c r="BR407" s="545"/>
      <c r="BS407" s="545"/>
      <c r="BT407" s="546"/>
      <c r="BU407" s="544" t="s">
        <v>4</v>
      </c>
      <c r="BV407" s="545"/>
      <c r="BW407" s="545"/>
      <c r="BX407" s="545"/>
      <c r="BY407" s="545"/>
      <c r="BZ407" s="545"/>
      <c r="CA407" s="545"/>
      <c r="CB407" s="545"/>
      <c r="CC407" s="545"/>
      <c r="CD407" s="545"/>
      <c r="CE407" s="545"/>
      <c r="CF407" s="545"/>
      <c r="CG407" s="545"/>
      <c r="CH407" s="545"/>
      <c r="CI407" s="545"/>
      <c r="CJ407" s="546"/>
      <c r="CK407" s="636">
        <f>SUM(CK403:CZ406)</f>
        <v>2338637.08</v>
      </c>
      <c r="CL407" s="654"/>
      <c r="CM407" s="654"/>
      <c r="CN407" s="654"/>
      <c r="CO407" s="654"/>
      <c r="CP407" s="654"/>
      <c r="CQ407" s="654"/>
      <c r="CR407" s="654"/>
      <c r="CS407" s="654"/>
      <c r="CT407" s="654"/>
      <c r="CU407" s="654"/>
      <c r="CV407" s="654"/>
      <c r="CW407" s="654"/>
      <c r="CX407" s="654"/>
      <c r="CY407" s="654"/>
      <c r="CZ407" s="655"/>
      <c r="DA407" s="220"/>
    </row>
    <row r="408" spans="1:105" s="16" customFormat="1" ht="15" customHeight="1" x14ac:dyDescent="0.3">
      <c r="A408" s="656" t="s">
        <v>591</v>
      </c>
      <c r="B408" s="657"/>
      <c r="C408" s="657"/>
      <c r="D408" s="657"/>
      <c r="E408" s="657"/>
      <c r="F408" s="657"/>
      <c r="G408" s="657"/>
      <c r="H408" s="657"/>
      <c r="I408" s="657"/>
      <c r="J408" s="657"/>
      <c r="K408" s="657"/>
      <c r="L408" s="657"/>
      <c r="M408" s="657"/>
      <c r="N408" s="657"/>
      <c r="O408" s="657"/>
      <c r="P408" s="657"/>
      <c r="Q408" s="657"/>
      <c r="R408" s="657"/>
      <c r="S408" s="657"/>
      <c r="T408" s="657"/>
      <c r="U408" s="657"/>
      <c r="V408" s="657"/>
      <c r="W408" s="657"/>
      <c r="X408" s="657"/>
      <c r="Y408" s="657"/>
      <c r="Z408" s="657"/>
      <c r="AA408" s="657"/>
      <c r="AB408" s="657"/>
      <c r="AC408" s="657"/>
      <c r="AD408" s="657"/>
      <c r="AE408" s="657"/>
      <c r="AF408" s="657"/>
      <c r="AG408" s="657"/>
      <c r="AH408" s="657"/>
      <c r="AI408" s="657"/>
      <c r="AJ408" s="657"/>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57"/>
      <c r="BQ408" s="657"/>
      <c r="BR408" s="657"/>
      <c r="BS408" s="657"/>
      <c r="BT408" s="657"/>
      <c r="BU408" s="657"/>
      <c r="BV408" s="657"/>
      <c r="BW408" s="657"/>
      <c r="BX408" s="657"/>
      <c r="BY408" s="657"/>
      <c r="BZ408" s="657"/>
      <c r="CA408" s="657"/>
      <c r="CB408" s="657"/>
      <c r="CC408" s="657"/>
      <c r="CD408" s="657"/>
      <c r="CE408" s="657"/>
      <c r="CF408" s="657"/>
      <c r="CG408" s="657"/>
      <c r="CH408" s="657"/>
      <c r="CI408" s="657"/>
      <c r="CJ408" s="657"/>
      <c r="CK408" s="657"/>
      <c r="CL408" s="657"/>
      <c r="CM408" s="657"/>
      <c r="CN408" s="657"/>
      <c r="CO408" s="657"/>
      <c r="CP408" s="657"/>
      <c r="CQ408" s="657"/>
      <c r="CR408" s="657"/>
      <c r="CS408" s="657"/>
      <c r="CT408" s="657"/>
      <c r="CU408" s="657"/>
      <c r="CV408" s="657"/>
      <c r="CW408" s="657"/>
      <c r="CX408" s="657"/>
      <c r="CY408" s="657"/>
      <c r="CZ408" s="658"/>
      <c r="DA408" s="214"/>
    </row>
    <row r="409" spans="1:105" s="16" customFormat="1" ht="15" customHeight="1" x14ac:dyDescent="0.3">
      <c r="A409" s="630" t="s">
        <v>441</v>
      </c>
      <c r="B409" s="631"/>
      <c r="C409" s="631"/>
      <c r="D409" s="631"/>
      <c r="E409" s="631"/>
      <c r="F409" s="631"/>
      <c r="G409" s="632"/>
      <c r="H409" s="584" t="s">
        <v>593</v>
      </c>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5"/>
      <c r="AL409" s="585"/>
      <c r="AM409" s="585"/>
      <c r="AN409" s="586"/>
      <c r="AO409" s="627">
        <v>500</v>
      </c>
      <c r="AP409" s="628"/>
      <c r="AQ409" s="628"/>
      <c r="AR409" s="628"/>
      <c r="AS409" s="628"/>
      <c r="AT409" s="628"/>
      <c r="AU409" s="628"/>
      <c r="AV409" s="628"/>
      <c r="AW409" s="628"/>
      <c r="AX409" s="628"/>
      <c r="AY409" s="628"/>
      <c r="AZ409" s="628"/>
      <c r="BA409" s="628"/>
      <c r="BB409" s="628"/>
      <c r="BC409" s="628"/>
      <c r="BD409" s="629"/>
      <c r="BE409" s="693">
        <v>3656.26</v>
      </c>
      <c r="BF409" s="694"/>
      <c r="BG409" s="694"/>
      <c r="BH409" s="694"/>
      <c r="BI409" s="694"/>
      <c r="BJ409" s="694"/>
      <c r="BK409" s="694"/>
      <c r="BL409" s="694"/>
      <c r="BM409" s="694"/>
      <c r="BN409" s="694"/>
      <c r="BO409" s="694"/>
      <c r="BP409" s="694"/>
      <c r="BQ409" s="694"/>
      <c r="BR409" s="694"/>
      <c r="BS409" s="694"/>
      <c r="BT409" s="695"/>
      <c r="BU409" s="696">
        <v>5.5E-2</v>
      </c>
      <c r="BV409" s="697"/>
      <c r="BW409" s="697"/>
      <c r="BX409" s="697"/>
      <c r="BY409" s="697"/>
      <c r="BZ409" s="697"/>
      <c r="CA409" s="697"/>
      <c r="CB409" s="697"/>
      <c r="CC409" s="697"/>
      <c r="CD409" s="697"/>
      <c r="CE409" s="697"/>
      <c r="CF409" s="697"/>
      <c r="CG409" s="697"/>
      <c r="CH409" s="697"/>
      <c r="CI409" s="697"/>
      <c r="CJ409" s="698"/>
      <c r="CK409" s="627">
        <f>ROUND(AO409*BE409*BU409+(AO409*BE409),2)</f>
        <v>1928677.15</v>
      </c>
      <c r="CL409" s="628"/>
      <c r="CM409" s="628"/>
      <c r="CN409" s="628"/>
      <c r="CO409" s="628"/>
      <c r="CP409" s="628"/>
      <c r="CQ409" s="628"/>
      <c r="CR409" s="628"/>
      <c r="CS409" s="628"/>
      <c r="CT409" s="628"/>
      <c r="CU409" s="628"/>
      <c r="CV409" s="628"/>
      <c r="CW409" s="628"/>
      <c r="CX409" s="628"/>
      <c r="CY409" s="628"/>
      <c r="CZ409" s="629"/>
      <c r="DA409" s="214"/>
    </row>
    <row r="410" spans="1:105" s="16" customFormat="1" ht="15" customHeight="1" x14ac:dyDescent="0.3">
      <c r="A410" s="630" t="s">
        <v>444</v>
      </c>
      <c r="B410" s="631"/>
      <c r="C410" s="631"/>
      <c r="D410" s="631"/>
      <c r="E410" s="631"/>
      <c r="F410" s="631"/>
      <c r="G410" s="632"/>
      <c r="H410" s="584" t="s">
        <v>595</v>
      </c>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5"/>
      <c r="AL410" s="585"/>
      <c r="AM410" s="585"/>
      <c r="AN410" s="586"/>
      <c r="AO410" s="627">
        <v>500</v>
      </c>
      <c r="AP410" s="628"/>
      <c r="AQ410" s="628"/>
      <c r="AR410" s="628"/>
      <c r="AS410" s="628"/>
      <c r="AT410" s="628"/>
      <c r="AU410" s="628"/>
      <c r="AV410" s="628"/>
      <c r="AW410" s="628"/>
      <c r="AX410" s="628"/>
      <c r="AY410" s="628"/>
      <c r="AZ410" s="628"/>
      <c r="BA410" s="628"/>
      <c r="BB410" s="628"/>
      <c r="BC410" s="628"/>
      <c r="BD410" s="629"/>
      <c r="BE410" s="693">
        <v>24.19</v>
      </c>
      <c r="BF410" s="694"/>
      <c r="BG410" s="694"/>
      <c r="BH410" s="694"/>
      <c r="BI410" s="694"/>
      <c r="BJ410" s="694"/>
      <c r="BK410" s="694"/>
      <c r="BL410" s="694"/>
      <c r="BM410" s="694"/>
      <c r="BN410" s="694"/>
      <c r="BO410" s="694"/>
      <c r="BP410" s="694"/>
      <c r="BQ410" s="694"/>
      <c r="BR410" s="694"/>
      <c r="BS410" s="694"/>
      <c r="BT410" s="695"/>
      <c r="BU410" s="696">
        <v>5.5E-2</v>
      </c>
      <c r="BV410" s="697"/>
      <c r="BW410" s="697"/>
      <c r="BX410" s="697"/>
      <c r="BY410" s="697"/>
      <c r="BZ410" s="697"/>
      <c r="CA410" s="697"/>
      <c r="CB410" s="697"/>
      <c r="CC410" s="697"/>
      <c r="CD410" s="697"/>
      <c r="CE410" s="697"/>
      <c r="CF410" s="697"/>
      <c r="CG410" s="697"/>
      <c r="CH410" s="697"/>
      <c r="CI410" s="697"/>
      <c r="CJ410" s="698"/>
      <c r="CK410" s="627">
        <f t="shared" ref="CK410" si="5">ROUND(AO410*BE410*BU410+(AO410*BE410),2)</f>
        <v>12760.23</v>
      </c>
      <c r="CL410" s="628"/>
      <c r="CM410" s="628"/>
      <c r="CN410" s="628"/>
      <c r="CO410" s="628"/>
      <c r="CP410" s="628"/>
      <c r="CQ410" s="628"/>
      <c r="CR410" s="628"/>
      <c r="CS410" s="628"/>
      <c r="CT410" s="628"/>
      <c r="CU410" s="628"/>
      <c r="CV410" s="628"/>
      <c r="CW410" s="628"/>
      <c r="CX410" s="628"/>
      <c r="CY410" s="628"/>
      <c r="CZ410" s="629"/>
      <c r="DA410" s="214"/>
    </row>
    <row r="411" spans="1:105" s="16" customFormat="1" ht="15" customHeight="1" x14ac:dyDescent="0.3">
      <c r="A411" s="630" t="s">
        <v>446</v>
      </c>
      <c r="B411" s="631"/>
      <c r="C411" s="631"/>
      <c r="D411" s="631"/>
      <c r="E411" s="631"/>
      <c r="F411" s="631"/>
      <c r="G411" s="632"/>
      <c r="H411" s="584" t="s">
        <v>605</v>
      </c>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5"/>
      <c r="AL411" s="585"/>
      <c r="AM411" s="585"/>
      <c r="AN411" s="586"/>
      <c r="AO411" s="627">
        <v>50000</v>
      </c>
      <c r="AP411" s="628"/>
      <c r="AQ411" s="628"/>
      <c r="AR411" s="628"/>
      <c r="AS411" s="628"/>
      <c r="AT411" s="628"/>
      <c r="AU411" s="628"/>
      <c r="AV411" s="628"/>
      <c r="AW411" s="628"/>
      <c r="AX411" s="628"/>
      <c r="AY411" s="628"/>
      <c r="AZ411" s="628"/>
      <c r="BA411" s="628"/>
      <c r="BB411" s="628"/>
      <c r="BC411" s="628"/>
      <c r="BD411" s="629"/>
      <c r="BE411" s="693">
        <v>7.65</v>
      </c>
      <c r="BF411" s="694"/>
      <c r="BG411" s="694"/>
      <c r="BH411" s="694"/>
      <c r="BI411" s="694"/>
      <c r="BJ411" s="694"/>
      <c r="BK411" s="694"/>
      <c r="BL411" s="694"/>
      <c r="BM411" s="694"/>
      <c r="BN411" s="694"/>
      <c r="BO411" s="694"/>
      <c r="BP411" s="694"/>
      <c r="BQ411" s="694"/>
      <c r="BR411" s="694"/>
      <c r="BS411" s="694"/>
      <c r="BT411" s="695"/>
      <c r="BU411" s="696">
        <v>5.5E-2</v>
      </c>
      <c r="BV411" s="697"/>
      <c r="BW411" s="697"/>
      <c r="BX411" s="697"/>
      <c r="BY411" s="697"/>
      <c r="BZ411" s="697"/>
      <c r="CA411" s="697"/>
      <c r="CB411" s="697"/>
      <c r="CC411" s="697"/>
      <c r="CD411" s="697"/>
      <c r="CE411" s="697"/>
      <c r="CF411" s="697"/>
      <c r="CG411" s="697"/>
      <c r="CH411" s="697"/>
      <c r="CI411" s="697"/>
      <c r="CJ411" s="698"/>
      <c r="CK411" s="627">
        <f>ROUND(AO411*BE411*BU411+(AO411*BE411),2)</f>
        <v>403537.5</v>
      </c>
      <c r="CL411" s="628"/>
      <c r="CM411" s="628"/>
      <c r="CN411" s="628"/>
      <c r="CO411" s="628"/>
      <c r="CP411" s="628"/>
      <c r="CQ411" s="628"/>
      <c r="CR411" s="628"/>
      <c r="CS411" s="628"/>
      <c r="CT411" s="628"/>
      <c r="CU411" s="628"/>
      <c r="CV411" s="628"/>
      <c r="CW411" s="628"/>
      <c r="CX411" s="628"/>
      <c r="CY411" s="628"/>
      <c r="CZ411" s="629"/>
      <c r="DA411" s="214"/>
    </row>
    <row r="412" spans="1:105" s="16" customFormat="1" ht="15" customHeight="1" x14ac:dyDescent="0.3">
      <c r="A412" s="553" t="s">
        <v>292</v>
      </c>
      <c r="B412" s="554"/>
      <c r="C412" s="554"/>
      <c r="D412" s="554"/>
      <c r="E412" s="554"/>
      <c r="F412" s="554"/>
      <c r="G412" s="554"/>
      <c r="H412" s="554"/>
      <c r="I412" s="554"/>
      <c r="J412" s="554"/>
      <c r="K412" s="554"/>
      <c r="L412" s="554"/>
      <c r="M412" s="554"/>
      <c r="N412" s="554"/>
      <c r="O412" s="554"/>
      <c r="P412" s="554"/>
      <c r="Q412" s="554"/>
      <c r="R412" s="554"/>
      <c r="S412" s="554"/>
      <c r="T412" s="554"/>
      <c r="U412" s="554"/>
      <c r="V412" s="554"/>
      <c r="W412" s="554"/>
      <c r="X412" s="554"/>
      <c r="Y412" s="554"/>
      <c r="Z412" s="554"/>
      <c r="AA412" s="554"/>
      <c r="AB412" s="554"/>
      <c r="AC412" s="554"/>
      <c r="AD412" s="554"/>
      <c r="AE412" s="554"/>
      <c r="AF412" s="554"/>
      <c r="AG412" s="554"/>
      <c r="AH412" s="554"/>
      <c r="AI412" s="554"/>
      <c r="AJ412" s="554"/>
      <c r="AK412" s="554"/>
      <c r="AL412" s="554"/>
      <c r="AM412" s="554"/>
      <c r="AN412" s="555"/>
      <c r="AO412" s="544" t="s">
        <v>4</v>
      </c>
      <c r="AP412" s="545"/>
      <c r="AQ412" s="545"/>
      <c r="AR412" s="545"/>
      <c r="AS412" s="545"/>
      <c r="AT412" s="545"/>
      <c r="AU412" s="545"/>
      <c r="AV412" s="545"/>
      <c r="AW412" s="545"/>
      <c r="AX412" s="545"/>
      <c r="AY412" s="545"/>
      <c r="AZ412" s="545"/>
      <c r="BA412" s="545"/>
      <c r="BB412" s="545"/>
      <c r="BC412" s="545"/>
      <c r="BD412" s="546"/>
      <c r="BE412" s="544" t="s">
        <v>4</v>
      </c>
      <c r="BF412" s="545"/>
      <c r="BG412" s="545"/>
      <c r="BH412" s="545"/>
      <c r="BI412" s="545"/>
      <c r="BJ412" s="545"/>
      <c r="BK412" s="545"/>
      <c r="BL412" s="545"/>
      <c r="BM412" s="545"/>
      <c r="BN412" s="545"/>
      <c r="BO412" s="545"/>
      <c r="BP412" s="545"/>
      <c r="BQ412" s="545"/>
      <c r="BR412" s="545"/>
      <c r="BS412" s="545"/>
      <c r="BT412" s="546"/>
      <c r="BU412" s="544" t="s">
        <v>4</v>
      </c>
      <c r="BV412" s="545"/>
      <c r="BW412" s="545"/>
      <c r="BX412" s="545"/>
      <c r="BY412" s="545"/>
      <c r="BZ412" s="545"/>
      <c r="CA412" s="545"/>
      <c r="CB412" s="545"/>
      <c r="CC412" s="545"/>
      <c r="CD412" s="545"/>
      <c r="CE412" s="545"/>
      <c r="CF412" s="545"/>
      <c r="CG412" s="545"/>
      <c r="CH412" s="545"/>
      <c r="CI412" s="545"/>
      <c r="CJ412" s="546"/>
      <c r="CK412" s="636">
        <f>SUM(CK409:CZ411)</f>
        <v>2344974.88</v>
      </c>
      <c r="CL412" s="654"/>
      <c r="CM412" s="654"/>
      <c r="CN412" s="654"/>
      <c r="CO412" s="654"/>
      <c r="CP412" s="654"/>
      <c r="CQ412" s="654"/>
      <c r="CR412" s="654"/>
      <c r="CS412" s="654"/>
      <c r="CT412" s="654"/>
      <c r="CU412" s="654"/>
      <c r="CV412" s="654"/>
      <c r="CW412" s="654"/>
      <c r="CX412" s="654"/>
      <c r="CY412" s="654"/>
      <c r="CZ412" s="655"/>
      <c r="DA412" s="214"/>
    </row>
    <row r="413" spans="1:105" s="16" customFormat="1" ht="15" customHeight="1" x14ac:dyDescent="0.3">
      <c r="A413" s="553" t="s">
        <v>56</v>
      </c>
      <c r="B413" s="554"/>
      <c r="C413" s="554"/>
      <c r="D413" s="554"/>
      <c r="E413" s="554"/>
      <c r="F413" s="554"/>
      <c r="G413" s="554"/>
      <c r="H413" s="554"/>
      <c r="I413" s="554"/>
      <c r="J413" s="554"/>
      <c r="K413" s="554"/>
      <c r="L413" s="554"/>
      <c r="M413" s="554"/>
      <c r="N413" s="554"/>
      <c r="O413" s="554"/>
      <c r="P413" s="554"/>
      <c r="Q413" s="554"/>
      <c r="R413" s="554"/>
      <c r="S413" s="554"/>
      <c r="T413" s="554"/>
      <c r="U413" s="554"/>
      <c r="V413" s="554"/>
      <c r="W413" s="554"/>
      <c r="X413" s="554"/>
      <c r="Y413" s="554"/>
      <c r="Z413" s="554"/>
      <c r="AA413" s="554"/>
      <c r="AB413" s="554"/>
      <c r="AC413" s="554"/>
      <c r="AD413" s="554"/>
      <c r="AE413" s="554"/>
      <c r="AF413" s="554"/>
      <c r="AG413" s="554"/>
      <c r="AH413" s="554"/>
      <c r="AI413" s="554"/>
      <c r="AJ413" s="554"/>
      <c r="AK413" s="554"/>
      <c r="AL413" s="554"/>
      <c r="AM413" s="554"/>
      <c r="AN413" s="555"/>
      <c r="AO413" s="544" t="s">
        <v>4</v>
      </c>
      <c r="AP413" s="545"/>
      <c r="AQ413" s="545"/>
      <c r="AR413" s="545"/>
      <c r="AS413" s="545"/>
      <c r="AT413" s="545"/>
      <c r="AU413" s="545"/>
      <c r="AV413" s="545"/>
      <c r="AW413" s="545"/>
      <c r="AX413" s="545"/>
      <c r="AY413" s="545"/>
      <c r="AZ413" s="545"/>
      <c r="BA413" s="545"/>
      <c r="BB413" s="545"/>
      <c r="BC413" s="545"/>
      <c r="BD413" s="546"/>
      <c r="BE413" s="544" t="s">
        <v>4</v>
      </c>
      <c r="BF413" s="545"/>
      <c r="BG413" s="545"/>
      <c r="BH413" s="545"/>
      <c r="BI413" s="545"/>
      <c r="BJ413" s="545"/>
      <c r="BK413" s="545"/>
      <c r="BL413" s="545"/>
      <c r="BM413" s="545"/>
      <c r="BN413" s="545"/>
      <c r="BO413" s="545"/>
      <c r="BP413" s="545"/>
      <c r="BQ413" s="545"/>
      <c r="BR413" s="545"/>
      <c r="BS413" s="545"/>
      <c r="BT413" s="546"/>
      <c r="BU413" s="544" t="s">
        <v>4</v>
      </c>
      <c r="BV413" s="545"/>
      <c r="BW413" s="545"/>
      <c r="BX413" s="545"/>
      <c r="BY413" s="545"/>
      <c r="BZ413" s="545"/>
      <c r="CA413" s="545"/>
      <c r="CB413" s="545"/>
      <c r="CC413" s="545"/>
      <c r="CD413" s="545"/>
      <c r="CE413" s="545"/>
      <c r="CF413" s="545"/>
      <c r="CG413" s="545"/>
      <c r="CH413" s="545"/>
      <c r="CI413" s="545"/>
      <c r="CJ413" s="546"/>
      <c r="CK413" s="636">
        <f>CK407+CK412</f>
        <v>4683611.96</v>
      </c>
      <c r="CL413" s="654"/>
      <c r="CM413" s="654"/>
      <c r="CN413" s="654"/>
      <c r="CO413" s="654"/>
      <c r="CP413" s="654"/>
      <c r="CQ413" s="654"/>
      <c r="CR413" s="654"/>
      <c r="CS413" s="654"/>
      <c r="CT413" s="654"/>
      <c r="CU413" s="654"/>
      <c r="CV413" s="654"/>
      <c r="CW413" s="654"/>
      <c r="CX413" s="654"/>
      <c r="CY413" s="654"/>
      <c r="CZ413" s="655"/>
      <c r="DA413" s="220"/>
    </row>
    <row r="414" spans="1:105" s="16" customFormat="1" ht="1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3"/>
      <c r="BD414" s="223"/>
      <c r="BE414" s="223"/>
      <c r="BF414" s="223"/>
      <c r="BG414" s="223"/>
      <c r="BH414" s="223"/>
      <c r="BI414" s="223"/>
      <c r="BJ414" s="241"/>
      <c r="BK414" s="242"/>
      <c r="BL414" s="242"/>
      <c r="BM414" s="242"/>
      <c r="BN414" s="242"/>
      <c r="BO414" s="242"/>
      <c r="BP414" s="242"/>
      <c r="BQ414" s="242"/>
      <c r="BR414" s="242"/>
      <c r="BS414" s="242"/>
      <c r="BT414" s="242"/>
      <c r="BU414" s="241"/>
      <c r="BV414" s="242"/>
      <c r="BW414" s="242"/>
      <c r="BX414" s="242"/>
      <c r="BY414" s="242"/>
      <c r="BZ414" s="242"/>
      <c r="CA414" s="242"/>
      <c r="CB414" s="242"/>
      <c r="CC414" s="242"/>
      <c r="CD414" s="242"/>
      <c r="CE414" s="242"/>
      <c r="CF414" s="242"/>
      <c r="CG414" s="242"/>
      <c r="CH414" s="241"/>
      <c r="CI414" s="242"/>
      <c r="CJ414" s="242"/>
      <c r="CK414" s="242"/>
      <c r="CL414" s="242"/>
      <c r="CM414" s="242"/>
      <c r="CN414" s="242"/>
      <c r="CO414" s="242"/>
      <c r="CP414" s="242"/>
      <c r="CQ414" s="242"/>
      <c r="CR414" s="242"/>
      <c r="CS414" s="242"/>
      <c r="CT414" s="242"/>
      <c r="CU414" s="242"/>
      <c r="CV414" s="242"/>
      <c r="CW414" s="223"/>
      <c r="CX414" s="223"/>
      <c r="CY414" s="223"/>
      <c r="CZ414" s="223"/>
      <c r="DA414" s="214"/>
    </row>
    <row r="415" spans="1:105" s="16" customFormat="1" ht="15" customHeight="1" x14ac:dyDescent="0.25">
      <c r="A415" s="594" t="s">
        <v>358</v>
      </c>
      <c r="B415" s="594"/>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4"/>
      <c r="AL415" s="594"/>
      <c r="AM415" s="594"/>
      <c r="AN415" s="594"/>
      <c r="AO415" s="594"/>
      <c r="AP415" s="594"/>
      <c r="AQ415" s="594"/>
      <c r="AR415" s="594"/>
      <c r="AS415" s="594"/>
      <c r="AT415" s="594"/>
      <c r="AU415" s="594"/>
      <c r="AV415" s="594"/>
      <c r="AW415" s="594"/>
      <c r="AX415" s="594"/>
      <c r="AY415" s="594"/>
      <c r="AZ415" s="594"/>
      <c r="BA415" s="594"/>
      <c r="BB415" s="594"/>
      <c r="BC415" s="594"/>
      <c r="BD415" s="594"/>
      <c r="BE415" s="594"/>
      <c r="BF415" s="594"/>
      <c r="BG415" s="594"/>
      <c r="BH415" s="594"/>
      <c r="BI415" s="594"/>
      <c r="BJ415" s="594"/>
      <c r="BK415" s="594"/>
      <c r="BL415" s="594"/>
      <c r="BM415" s="594"/>
      <c r="BN415" s="594"/>
      <c r="BO415" s="594"/>
      <c r="BP415" s="594"/>
      <c r="BQ415" s="594"/>
      <c r="BR415" s="594"/>
      <c r="BS415" s="594"/>
      <c r="BT415" s="594"/>
      <c r="BU415" s="594"/>
      <c r="BV415" s="594"/>
      <c r="BW415" s="594"/>
      <c r="BX415" s="594"/>
      <c r="BY415" s="594"/>
      <c r="BZ415" s="594"/>
      <c r="CA415" s="594"/>
      <c r="CB415" s="594"/>
      <c r="CC415" s="594"/>
      <c r="CD415" s="594"/>
      <c r="CE415" s="594"/>
      <c r="CF415" s="594"/>
      <c r="CG415" s="594"/>
      <c r="CH415" s="594"/>
      <c r="CI415" s="594"/>
      <c r="CJ415" s="594"/>
      <c r="CK415" s="594"/>
      <c r="CL415" s="594"/>
      <c r="CM415" s="594"/>
      <c r="CN415" s="594"/>
      <c r="CO415" s="594"/>
      <c r="CP415" s="594"/>
      <c r="CQ415" s="594"/>
      <c r="CR415" s="594"/>
      <c r="CS415" s="594"/>
      <c r="CT415" s="594"/>
      <c r="CU415" s="594"/>
      <c r="CV415" s="594"/>
      <c r="CW415" s="594"/>
      <c r="CX415" s="594"/>
      <c r="CY415" s="594"/>
      <c r="CZ415" s="594"/>
      <c r="DA415" s="214"/>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4"/>
    </row>
    <row r="417" spans="1:126"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595" t="s">
        <v>587</v>
      </c>
      <c r="X417" s="595"/>
      <c r="Y417" s="595"/>
      <c r="Z417" s="595"/>
      <c r="AA417" s="595"/>
      <c r="AB417" s="595"/>
      <c r="AC417" s="595"/>
      <c r="AD417" s="595"/>
      <c r="AE417" s="595"/>
      <c r="AF417" s="595"/>
      <c r="AG417" s="595"/>
      <c r="AH417" s="595"/>
      <c r="AI417" s="595"/>
      <c r="AJ417" s="595"/>
      <c r="AK417" s="595"/>
      <c r="AL417" s="595"/>
      <c r="AM417" s="595"/>
      <c r="AN417" s="595"/>
      <c r="AO417" s="595"/>
      <c r="AP417" s="595"/>
      <c r="AQ417" s="595"/>
      <c r="AR417" s="595"/>
      <c r="AS417" s="595"/>
      <c r="AT417" s="595"/>
      <c r="AU417" s="595"/>
      <c r="AV417" s="595"/>
      <c r="AW417" s="595"/>
      <c r="AX417" s="595"/>
      <c r="AY417" s="595"/>
      <c r="AZ417" s="595"/>
      <c r="BA417" s="595"/>
      <c r="BB417" s="595"/>
      <c r="BC417" s="595"/>
      <c r="BD417" s="595"/>
      <c r="BE417" s="595"/>
      <c r="BF417" s="595"/>
      <c r="BG417" s="595"/>
      <c r="BH417" s="595"/>
      <c r="BI417" s="595"/>
      <c r="BJ417" s="595"/>
      <c r="BK417" s="595"/>
      <c r="BL417" s="595"/>
      <c r="BM417" s="595"/>
      <c r="BN417" s="595"/>
      <c r="BO417" s="595"/>
      <c r="BP417" s="595"/>
      <c r="BQ417" s="595"/>
      <c r="BR417" s="595"/>
      <c r="BS417" s="595"/>
      <c r="BT417" s="595"/>
      <c r="BU417" s="595"/>
      <c r="BV417" s="595"/>
      <c r="BW417" s="595"/>
      <c r="BX417" s="595"/>
      <c r="BY417" s="595"/>
      <c r="BZ417" s="595"/>
      <c r="CA417" s="595"/>
      <c r="CB417" s="595"/>
      <c r="CC417" s="595"/>
      <c r="CD417" s="595"/>
      <c r="CE417" s="595"/>
      <c r="CF417" s="595"/>
      <c r="CG417" s="595"/>
      <c r="CH417" s="595"/>
      <c r="CI417" s="595"/>
      <c r="CJ417" s="595"/>
      <c r="CK417" s="595"/>
      <c r="CL417" s="595"/>
      <c r="CM417" s="595"/>
      <c r="CN417" s="595"/>
      <c r="CO417" s="595"/>
      <c r="CP417" s="595"/>
      <c r="CQ417" s="595"/>
      <c r="CR417" s="595"/>
      <c r="CS417" s="595"/>
      <c r="CT417" s="595"/>
      <c r="CU417" s="595"/>
      <c r="CV417" s="595"/>
      <c r="CW417" s="595"/>
      <c r="CX417" s="595"/>
      <c r="CY417" s="595"/>
      <c r="CZ417" s="595"/>
      <c r="DA417" s="227">
        <v>224</v>
      </c>
    </row>
    <row r="418" spans="1:126"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4"/>
    </row>
    <row r="419" spans="1:126" s="16" customFormat="1" ht="45" customHeight="1" x14ac:dyDescent="0.3">
      <c r="A419" s="475" t="s">
        <v>49</v>
      </c>
      <c r="B419" s="476"/>
      <c r="C419" s="476"/>
      <c r="D419" s="476"/>
      <c r="E419" s="476"/>
      <c r="F419" s="476"/>
      <c r="G419" s="477"/>
      <c r="H419" s="475" t="s">
        <v>0</v>
      </c>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6"/>
      <c r="AL419" s="476"/>
      <c r="AM419" s="476"/>
      <c r="AN419" s="476"/>
      <c r="AO419" s="476"/>
      <c r="AP419" s="476"/>
      <c r="AQ419" s="476"/>
      <c r="AR419" s="476"/>
      <c r="AS419" s="476"/>
      <c r="AT419" s="476"/>
      <c r="AU419" s="476"/>
      <c r="AV419" s="476"/>
      <c r="AW419" s="476"/>
      <c r="AX419" s="476"/>
      <c r="AY419" s="476"/>
      <c r="AZ419" s="476"/>
      <c r="BA419" s="476"/>
      <c r="BB419" s="477"/>
      <c r="BC419" s="475" t="s">
        <v>91</v>
      </c>
      <c r="BD419" s="476"/>
      <c r="BE419" s="476"/>
      <c r="BF419" s="476"/>
      <c r="BG419" s="476"/>
      <c r="BH419" s="476"/>
      <c r="BI419" s="476"/>
      <c r="BJ419" s="476"/>
      <c r="BK419" s="476"/>
      <c r="BL419" s="476"/>
      <c r="BM419" s="476"/>
      <c r="BN419" s="476"/>
      <c r="BO419" s="476"/>
      <c r="BP419" s="476"/>
      <c r="BQ419" s="476"/>
      <c r="BR419" s="477"/>
      <c r="BS419" s="475" t="s">
        <v>92</v>
      </c>
      <c r="BT419" s="476"/>
      <c r="BU419" s="476"/>
      <c r="BV419" s="476"/>
      <c r="BW419" s="476"/>
      <c r="BX419" s="476"/>
      <c r="BY419" s="476"/>
      <c r="BZ419" s="476"/>
      <c r="CA419" s="476"/>
      <c r="CB419" s="476"/>
      <c r="CC419" s="476"/>
      <c r="CD419" s="476"/>
      <c r="CE419" s="476"/>
      <c r="CF419" s="476"/>
      <c r="CG419" s="476"/>
      <c r="CH419" s="477"/>
      <c r="CI419" s="475" t="s">
        <v>93</v>
      </c>
      <c r="CJ419" s="476"/>
      <c r="CK419" s="476"/>
      <c r="CL419" s="476"/>
      <c r="CM419" s="476"/>
      <c r="CN419" s="476"/>
      <c r="CO419" s="476"/>
      <c r="CP419" s="476"/>
      <c r="CQ419" s="476"/>
      <c r="CR419" s="476"/>
      <c r="CS419" s="476"/>
      <c r="CT419" s="476"/>
      <c r="CU419" s="476"/>
      <c r="CV419" s="476"/>
      <c r="CW419" s="476"/>
      <c r="CX419" s="476"/>
      <c r="CY419" s="476"/>
      <c r="CZ419" s="477"/>
      <c r="DA419" s="214"/>
    </row>
    <row r="420" spans="1:126" s="16" customFormat="1" ht="13.2" customHeight="1" x14ac:dyDescent="0.3">
      <c r="A420" s="661">
        <v>1</v>
      </c>
      <c r="B420" s="662"/>
      <c r="C420" s="662"/>
      <c r="D420" s="662"/>
      <c r="E420" s="662"/>
      <c r="F420" s="662"/>
      <c r="G420" s="663"/>
      <c r="H420" s="661">
        <v>2</v>
      </c>
      <c r="I420" s="662"/>
      <c r="J420" s="662"/>
      <c r="K420" s="662"/>
      <c r="L420" s="662"/>
      <c r="M420" s="662"/>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2"/>
      <c r="AK420" s="662"/>
      <c r="AL420" s="662"/>
      <c r="AM420" s="662"/>
      <c r="AN420" s="662"/>
      <c r="AO420" s="662"/>
      <c r="AP420" s="662"/>
      <c r="AQ420" s="662"/>
      <c r="AR420" s="662"/>
      <c r="AS420" s="662"/>
      <c r="AT420" s="662"/>
      <c r="AU420" s="662"/>
      <c r="AV420" s="662"/>
      <c r="AW420" s="662"/>
      <c r="AX420" s="662"/>
      <c r="AY420" s="662"/>
      <c r="AZ420" s="662"/>
      <c r="BA420" s="662"/>
      <c r="BB420" s="663"/>
      <c r="BC420" s="661">
        <v>3</v>
      </c>
      <c r="BD420" s="662"/>
      <c r="BE420" s="662"/>
      <c r="BF420" s="662"/>
      <c r="BG420" s="662"/>
      <c r="BH420" s="662"/>
      <c r="BI420" s="662"/>
      <c r="BJ420" s="662"/>
      <c r="BK420" s="662"/>
      <c r="BL420" s="662"/>
      <c r="BM420" s="662"/>
      <c r="BN420" s="662"/>
      <c r="BO420" s="662"/>
      <c r="BP420" s="662"/>
      <c r="BQ420" s="662"/>
      <c r="BR420" s="663"/>
      <c r="BS420" s="661">
        <v>4</v>
      </c>
      <c r="BT420" s="662"/>
      <c r="BU420" s="662"/>
      <c r="BV420" s="662"/>
      <c r="BW420" s="662"/>
      <c r="BX420" s="662"/>
      <c r="BY420" s="662"/>
      <c r="BZ420" s="662"/>
      <c r="CA420" s="662"/>
      <c r="CB420" s="662"/>
      <c r="CC420" s="662"/>
      <c r="CD420" s="662"/>
      <c r="CE420" s="662"/>
      <c r="CF420" s="662"/>
      <c r="CG420" s="662"/>
      <c r="CH420" s="663"/>
      <c r="CI420" s="661">
        <v>5</v>
      </c>
      <c r="CJ420" s="662"/>
      <c r="CK420" s="662"/>
      <c r="CL420" s="662"/>
      <c r="CM420" s="662"/>
      <c r="CN420" s="662"/>
      <c r="CO420" s="662"/>
      <c r="CP420" s="662"/>
      <c r="CQ420" s="662"/>
      <c r="CR420" s="662"/>
      <c r="CS420" s="662"/>
      <c r="CT420" s="662"/>
      <c r="CU420" s="662"/>
      <c r="CV420" s="662"/>
      <c r="CW420" s="662"/>
      <c r="CX420" s="662"/>
      <c r="CY420" s="662"/>
      <c r="CZ420" s="663"/>
      <c r="DA420" s="214"/>
    </row>
    <row r="421" spans="1:126" s="16" customFormat="1" ht="15" customHeight="1" x14ac:dyDescent="0.3">
      <c r="A421" s="648" t="s">
        <v>569</v>
      </c>
      <c r="B421" s="649"/>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9"/>
      <c r="AL421" s="649"/>
      <c r="AM421" s="649"/>
      <c r="AN421" s="649"/>
      <c r="AO421" s="649"/>
      <c r="AP421" s="649"/>
      <c r="AQ421" s="649"/>
      <c r="AR421" s="649"/>
      <c r="AS421" s="649"/>
      <c r="AT421" s="649"/>
      <c r="AU421" s="649"/>
      <c r="AV421" s="649"/>
      <c r="AW421" s="649"/>
      <c r="AX421" s="649"/>
      <c r="AY421" s="649"/>
      <c r="AZ421" s="649"/>
      <c r="BA421" s="649"/>
      <c r="BB421" s="649"/>
      <c r="BC421" s="649"/>
      <c r="BD421" s="649"/>
      <c r="BE421" s="649"/>
      <c r="BF421" s="649"/>
      <c r="BG421" s="649"/>
      <c r="BH421" s="649"/>
      <c r="BI421" s="649"/>
      <c r="BJ421" s="649"/>
      <c r="BK421" s="649"/>
      <c r="BL421" s="649"/>
      <c r="BM421" s="649"/>
      <c r="BN421" s="649"/>
      <c r="BO421" s="649"/>
      <c r="BP421" s="649"/>
      <c r="BQ421" s="649"/>
      <c r="BR421" s="649"/>
      <c r="BS421" s="649"/>
      <c r="BT421" s="649"/>
      <c r="BU421" s="649"/>
      <c r="BV421" s="649"/>
      <c r="BW421" s="649"/>
      <c r="BX421" s="649"/>
      <c r="BY421" s="649"/>
      <c r="BZ421" s="649"/>
      <c r="CA421" s="649"/>
      <c r="CB421" s="649"/>
      <c r="CC421" s="649"/>
      <c r="CD421" s="649"/>
      <c r="CE421" s="649"/>
      <c r="CF421" s="649"/>
      <c r="CG421" s="649"/>
      <c r="CH421" s="649"/>
      <c r="CI421" s="692"/>
      <c r="CJ421" s="692"/>
      <c r="CK421" s="692"/>
      <c r="CL421" s="692"/>
      <c r="CM421" s="692"/>
      <c r="CN421" s="692"/>
      <c r="CO421" s="692"/>
      <c r="CP421" s="692"/>
      <c r="CQ421" s="692"/>
      <c r="CR421" s="692"/>
      <c r="CS421" s="692"/>
      <c r="CT421" s="692"/>
      <c r="CU421" s="692"/>
      <c r="CV421" s="692"/>
      <c r="CW421" s="692"/>
      <c r="CX421" s="692"/>
      <c r="CY421" s="692"/>
      <c r="CZ421" s="692"/>
      <c r="DA421" s="214"/>
    </row>
    <row r="422" spans="1:126" s="16" customFormat="1" ht="15" customHeight="1" x14ac:dyDescent="0.3">
      <c r="A422" s="630" t="s">
        <v>67</v>
      </c>
      <c r="B422" s="631"/>
      <c r="C422" s="631"/>
      <c r="D422" s="631"/>
      <c r="E422" s="631"/>
      <c r="F422" s="631"/>
      <c r="G422" s="632"/>
      <c r="H422" s="556" t="s">
        <v>595</v>
      </c>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6"/>
      <c r="AL422" s="556"/>
      <c r="AM422" s="556"/>
      <c r="AN422" s="556"/>
      <c r="AO422" s="556"/>
      <c r="AP422" s="556"/>
      <c r="AQ422" s="556"/>
      <c r="AR422" s="556"/>
      <c r="AS422" s="556"/>
      <c r="AT422" s="556"/>
      <c r="AU422" s="556"/>
      <c r="AV422" s="556"/>
      <c r="AW422" s="556"/>
      <c r="AX422" s="556"/>
      <c r="AY422" s="556"/>
      <c r="AZ422" s="556"/>
      <c r="BA422" s="556"/>
      <c r="BB422" s="556"/>
      <c r="BC422" s="664">
        <v>10</v>
      </c>
      <c r="BD422" s="664"/>
      <c r="BE422" s="664"/>
      <c r="BF422" s="664"/>
      <c r="BG422" s="664"/>
      <c r="BH422" s="664"/>
      <c r="BI422" s="664"/>
      <c r="BJ422" s="664"/>
      <c r="BK422" s="664"/>
      <c r="BL422" s="664"/>
      <c r="BM422" s="664"/>
      <c r="BN422" s="664"/>
      <c r="BO422" s="664"/>
      <c r="BP422" s="664"/>
      <c r="BQ422" s="664"/>
      <c r="BR422" s="664"/>
      <c r="BS422" s="664">
        <v>171.75</v>
      </c>
      <c r="BT422" s="664"/>
      <c r="BU422" s="664"/>
      <c r="BV422" s="664"/>
      <c r="BW422" s="664"/>
      <c r="BX422" s="664"/>
      <c r="BY422" s="664"/>
      <c r="BZ422" s="664"/>
      <c r="CA422" s="664"/>
      <c r="CB422" s="664"/>
      <c r="CC422" s="664"/>
      <c r="CD422" s="664"/>
      <c r="CE422" s="664"/>
      <c r="CF422" s="664"/>
      <c r="CG422" s="664"/>
      <c r="CH422" s="664"/>
      <c r="CI422" s="329"/>
      <c r="CJ422" s="330"/>
      <c r="CK422" s="629">
        <v>1811.96</v>
      </c>
      <c r="CL422" s="664"/>
      <c r="CM422" s="664"/>
      <c r="CN422" s="664"/>
      <c r="CO422" s="664"/>
      <c r="CP422" s="664"/>
      <c r="CQ422" s="664"/>
      <c r="CR422" s="664"/>
      <c r="CS422" s="664"/>
      <c r="CT422" s="664"/>
      <c r="CU422" s="664"/>
      <c r="CV422" s="664"/>
      <c r="CW422" s="664"/>
      <c r="CX422" s="664"/>
      <c r="CY422" s="664"/>
      <c r="CZ422" s="664"/>
      <c r="DA422" s="214"/>
      <c r="DB422" s="244">
        <f>ROUND(AO422*BC422*BS422+(AO422*BC422),2)</f>
        <v>0</v>
      </c>
      <c r="DC422" s="746"/>
      <c r="DD422" s="746"/>
      <c r="DE422" s="746"/>
      <c r="DF422" s="746"/>
      <c r="DG422" s="746"/>
      <c r="DH422" s="746"/>
      <c r="DI422" s="746"/>
      <c r="DJ422" s="746"/>
      <c r="DK422" s="746"/>
      <c r="DL422" s="746"/>
      <c r="DM422" s="746"/>
      <c r="DN422" s="746"/>
      <c r="DO422" s="746"/>
      <c r="DP422" s="746"/>
      <c r="DQ422" s="746"/>
      <c r="DR422" s="746"/>
    </row>
    <row r="423" spans="1:126" s="16" customFormat="1" ht="15" customHeight="1" x14ac:dyDescent="0.3">
      <c r="A423" s="630" t="s">
        <v>71</v>
      </c>
      <c r="B423" s="631"/>
      <c r="C423" s="631"/>
      <c r="D423" s="631"/>
      <c r="E423" s="631"/>
      <c r="F423" s="631"/>
      <c r="G423" s="632"/>
      <c r="H423" s="556" t="s">
        <v>824</v>
      </c>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6"/>
      <c r="AL423" s="556"/>
      <c r="AM423" s="556"/>
      <c r="AN423" s="556"/>
      <c r="AO423" s="556"/>
      <c r="AP423" s="556"/>
      <c r="AQ423" s="556"/>
      <c r="AR423" s="556"/>
      <c r="AS423" s="556"/>
      <c r="AT423" s="556"/>
      <c r="AU423" s="556"/>
      <c r="AV423" s="556"/>
      <c r="AW423" s="556"/>
      <c r="AX423" s="556"/>
      <c r="AY423" s="556"/>
      <c r="AZ423" s="556"/>
      <c r="BA423" s="556"/>
      <c r="BB423" s="556"/>
      <c r="BC423" s="664">
        <v>15</v>
      </c>
      <c r="BD423" s="664"/>
      <c r="BE423" s="664"/>
      <c r="BF423" s="664"/>
      <c r="BG423" s="664"/>
      <c r="BH423" s="664"/>
      <c r="BI423" s="664"/>
      <c r="BJ423" s="664"/>
      <c r="BK423" s="664"/>
      <c r="BL423" s="664"/>
      <c r="BM423" s="664"/>
      <c r="BN423" s="664"/>
      <c r="BO423" s="664"/>
      <c r="BP423" s="664"/>
      <c r="BQ423" s="664"/>
      <c r="BR423" s="664"/>
      <c r="BS423" s="664">
        <v>206.11</v>
      </c>
      <c r="BT423" s="664"/>
      <c r="BU423" s="664"/>
      <c r="BV423" s="664"/>
      <c r="BW423" s="664"/>
      <c r="BX423" s="664"/>
      <c r="BY423" s="664"/>
      <c r="BZ423" s="664"/>
      <c r="CA423" s="664"/>
      <c r="CB423" s="664"/>
      <c r="CC423" s="664"/>
      <c r="CD423" s="664"/>
      <c r="CE423" s="664"/>
      <c r="CF423" s="664"/>
      <c r="CG423" s="664"/>
      <c r="CH423" s="664"/>
      <c r="CI423" s="331"/>
      <c r="CJ423" s="330"/>
      <c r="CK423" s="629">
        <v>3261.69</v>
      </c>
      <c r="CL423" s="664"/>
      <c r="CM423" s="664"/>
      <c r="CN423" s="664"/>
      <c r="CO423" s="664"/>
      <c r="CP423" s="664"/>
      <c r="CQ423" s="664"/>
      <c r="CR423" s="664"/>
      <c r="CS423" s="664"/>
      <c r="CT423" s="664"/>
      <c r="CU423" s="664"/>
      <c r="CV423" s="664"/>
      <c r="CW423" s="664"/>
      <c r="CX423" s="664"/>
      <c r="CY423" s="664"/>
      <c r="CZ423" s="664"/>
      <c r="DA423" s="214"/>
      <c r="DC423" s="746"/>
      <c r="DD423" s="746"/>
      <c r="DE423" s="746"/>
      <c r="DF423" s="746"/>
      <c r="DG423" s="746"/>
      <c r="DH423" s="746"/>
      <c r="DI423" s="746"/>
      <c r="DJ423" s="746"/>
      <c r="DK423" s="746"/>
      <c r="DL423" s="746"/>
      <c r="DM423" s="746"/>
      <c r="DN423" s="746"/>
      <c r="DO423" s="746"/>
      <c r="DP423" s="746"/>
      <c r="DQ423" s="746"/>
      <c r="DR423" s="746"/>
    </row>
    <row r="424" spans="1:126" s="16" customFormat="1" ht="15" customHeight="1" x14ac:dyDescent="0.3">
      <c r="A424" s="630" t="s">
        <v>462</v>
      </c>
      <c r="B424" s="631"/>
      <c r="C424" s="631"/>
      <c r="D424" s="631"/>
      <c r="E424" s="631"/>
      <c r="F424" s="631"/>
      <c r="G424" s="632"/>
      <c r="H424" s="556" t="s">
        <v>596</v>
      </c>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6"/>
      <c r="AL424" s="556"/>
      <c r="AM424" s="556"/>
      <c r="AN424" s="556"/>
      <c r="AO424" s="556"/>
      <c r="AP424" s="556"/>
      <c r="AQ424" s="556"/>
      <c r="AR424" s="556"/>
      <c r="AS424" s="556"/>
      <c r="AT424" s="556"/>
      <c r="AU424" s="556"/>
      <c r="AV424" s="556"/>
      <c r="AW424" s="556"/>
      <c r="AX424" s="556"/>
      <c r="AY424" s="556"/>
      <c r="AZ424" s="556"/>
      <c r="BA424" s="556"/>
      <c r="BB424" s="556"/>
      <c r="BC424" s="664">
        <v>25</v>
      </c>
      <c r="BD424" s="664"/>
      <c r="BE424" s="664"/>
      <c r="BF424" s="664"/>
      <c r="BG424" s="664"/>
      <c r="BH424" s="664"/>
      <c r="BI424" s="664"/>
      <c r="BJ424" s="664"/>
      <c r="BK424" s="664"/>
      <c r="BL424" s="664"/>
      <c r="BM424" s="664"/>
      <c r="BN424" s="664"/>
      <c r="BO424" s="664"/>
      <c r="BP424" s="664"/>
      <c r="BQ424" s="664"/>
      <c r="BR424" s="664"/>
      <c r="BS424" s="664">
        <v>194.76</v>
      </c>
      <c r="BT424" s="664"/>
      <c r="BU424" s="664"/>
      <c r="BV424" s="664"/>
      <c r="BW424" s="664"/>
      <c r="BX424" s="664"/>
      <c r="BY424" s="664"/>
      <c r="BZ424" s="664"/>
      <c r="CA424" s="664"/>
      <c r="CB424" s="664"/>
      <c r="CC424" s="664"/>
      <c r="CD424" s="664"/>
      <c r="CE424" s="664"/>
      <c r="CF424" s="664"/>
      <c r="CG424" s="664"/>
      <c r="CH424" s="664"/>
      <c r="CI424" s="329"/>
      <c r="CJ424" s="330"/>
      <c r="CK424" s="629">
        <v>5136.8</v>
      </c>
      <c r="CL424" s="664"/>
      <c r="CM424" s="664"/>
      <c r="CN424" s="664"/>
      <c r="CO424" s="664"/>
      <c r="CP424" s="664"/>
      <c r="CQ424" s="664"/>
      <c r="CR424" s="664"/>
      <c r="CS424" s="664"/>
      <c r="CT424" s="664"/>
      <c r="CU424" s="664"/>
      <c r="CV424" s="664"/>
      <c r="CW424" s="664"/>
      <c r="CX424" s="664"/>
      <c r="CY424" s="664"/>
      <c r="CZ424" s="664"/>
      <c r="DA424" s="214"/>
      <c r="DC424" s="746"/>
      <c r="DD424" s="746"/>
      <c r="DE424" s="746"/>
      <c r="DF424" s="746"/>
      <c r="DG424" s="746"/>
      <c r="DH424" s="746"/>
      <c r="DI424" s="746"/>
      <c r="DJ424" s="746"/>
      <c r="DK424" s="746"/>
      <c r="DL424" s="746"/>
      <c r="DM424" s="746"/>
      <c r="DN424" s="746"/>
      <c r="DO424" s="746"/>
      <c r="DP424" s="746"/>
      <c r="DQ424" s="746"/>
      <c r="DR424" s="746"/>
    </row>
    <row r="425" spans="1:126" s="16" customFormat="1" ht="15" customHeight="1" x14ac:dyDescent="0.3">
      <c r="A425" s="630" t="s">
        <v>477</v>
      </c>
      <c r="B425" s="631"/>
      <c r="C425" s="631"/>
      <c r="D425" s="631"/>
      <c r="E425" s="631"/>
      <c r="F425" s="631"/>
      <c r="G425" s="632"/>
      <c r="H425" s="556" t="s">
        <v>593</v>
      </c>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6"/>
      <c r="AL425" s="556"/>
      <c r="AM425" s="556"/>
      <c r="AN425" s="556"/>
      <c r="AO425" s="556"/>
      <c r="AP425" s="556"/>
      <c r="AQ425" s="556"/>
      <c r="AR425" s="556"/>
      <c r="AS425" s="556"/>
      <c r="AT425" s="556"/>
      <c r="AU425" s="556"/>
      <c r="AV425" s="556"/>
      <c r="AW425" s="556"/>
      <c r="AX425" s="556"/>
      <c r="AY425" s="556"/>
      <c r="AZ425" s="556"/>
      <c r="BA425" s="556"/>
      <c r="BB425" s="556"/>
      <c r="BC425" s="664">
        <v>25</v>
      </c>
      <c r="BD425" s="664"/>
      <c r="BE425" s="664"/>
      <c r="BF425" s="664"/>
      <c r="BG425" s="664"/>
      <c r="BH425" s="664"/>
      <c r="BI425" s="664"/>
      <c r="BJ425" s="664"/>
      <c r="BK425" s="664"/>
      <c r="BL425" s="664"/>
      <c r="BM425" s="664"/>
      <c r="BN425" s="664"/>
      <c r="BO425" s="664"/>
      <c r="BP425" s="664"/>
      <c r="BQ425" s="664"/>
      <c r="BR425" s="664"/>
      <c r="BS425" s="664">
        <v>6253.4</v>
      </c>
      <c r="BT425" s="664"/>
      <c r="BU425" s="664"/>
      <c r="BV425" s="664"/>
      <c r="BW425" s="664"/>
      <c r="BX425" s="664"/>
      <c r="BY425" s="664"/>
      <c r="BZ425" s="664"/>
      <c r="CA425" s="664"/>
      <c r="CB425" s="664"/>
      <c r="CC425" s="664"/>
      <c r="CD425" s="664"/>
      <c r="CE425" s="664"/>
      <c r="CF425" s="664"/>
      <c r="CG425" s="664"/>
      <c r="CH425" s="664"/>
      <c r="CI425" s="329"/>
      <c r="CJ425" s="330"/>
      <c r="CK425" s="629">
        <v>164933.43</v>
      </c>
      <c r="CL425" s="664"/>
      <c r="CM425" s="664"/>
      <c r="CN425" s="664"/>
      <c r="CO425" s="664"/>
      <c r="CP425" s="664"/>
      <c r="CQ425" s="664"/>
      <c r="CR425" s="664"/>
      <c r="CS425" s="664"/>
      <c r="CT425" s="664"/>
      <c r="CU425" s="664"/>
      <c r="CV425" s="664"/>
      <c r="CW425" s="664"/>
      <c r="CX425" s="664"/>
      <c r="CY425" s="664"/>
      <c r="CZ425" s="664"/>
      <c r="DA425" s="214"/>
      <c r="DC425" s="746"/>
      <c r="DD425" s="746"/>
      <c r="DE425" s="746"/>
      <c r="DF425" s="746"/>
      <c r="DG425" s="746"/>
      <c r="DH425" s="746"/>
      <c r="DI425" s="746"/>
      <c r="DJ425" s="746"/>
      <c r="DK425" s="746"/>
      <c r="DL425" s="746"/>
      <c r="DM425" s="746"/>
      <c r="DN425" s="746"/>
      <c r="DO425" s="746"/>
      <c r="DP425" s="746"/>
      <c r="DQ425" s="746"/>
      <c r="DR425" s="746"/>
    </row>
    <row r="426" spans="1:126" s="16" customFormat="1" ht="15" customHeight="1" x14ac:dyDescent="0.3">
      <c r="A426" s="656" t="s">
        <v>292</v>
      </c>
      <c r="B426" s="657"/>
      <c r="C426" s="657"/>
      <c r="D426" s="657"/>
      <c r="E426" s="657"/>
      <c r="F426" s="657"/>
      <c r="G426" s="657"/>
      <c r="H426" s="657"/>
      <c r="I426" s="657"/>
      <c r="J426" s="657"/>
      <c r="K426" s="657"/>
      <c r="L426" s="657"/>
      <c r="M426" s="657"/>
      <c r="N426" s="657"/>
      <c r="O426" s="657"/>
      <c r="P426" s="657"/>
      <c r="Q426" s="657"/>
      <c r="R426" s="657"/>
      <c r="S426" s="657"/>
      <c r="T426" s="657"/>
      <c r="U426" s="657"/>
      <c r="V426" s="657"/>
      <c r="W426" s="657"/>
      <c r="X426" s="657"/>
      <c r="Y426" s="657"/>
      <c r="Z426" s="657"/>
      <c r="AA426" s="657"/>
      <c r="AB426" s="657"/>
      <c r="AC426" s="657"/>
      <c r="AD426" s="657"/>
      <c r="AE426" s="657"/>
      <c r="AF426" s="657"/>
      <c r="AG426" s="657"/>
      <c r="AH426" s="657"/>
      <c r="AI426" s="657"/>
      <c r="AJ426" s="657"/>
      <c r="AK426" s="657"/>
      <c r="AL426" s="657"/>
      <c r="AM426" s="657"/>
      <c r="AN426" s="657"/>
      <c r="AO426" s="657"/>
      <c r="AP426" s="657"/>
      <c r="AQ426" s="657"/>
      <c r="AR426" s="657"/>
      <c r="AS426" s="657"/>
      <c r="AT426" s="657"/>
      <c r="AU426" s="657"/>
      <c r="AV426" s="657"/>
      <c r="AW426" s="657"/>
      <c r="AX426" s="657"/>
      <c r="AY426" s="657"/>
      <c r="AZ426" s="657"/>
      <c r="BA426" s="657"/>
      <c r="BB426" s="657"/>
      <c r="BC426" s="582" t="s">
        <v>4</v>
      </c>
      <c r="BD426" s="582"/>
      <c r="BE426" s="582"/>
      <c r="BF426" s="582"/>
      <c r="BG426" s="582"/>
      <c r="BH426" s="582"/>
      <c r="BI426" s="582"/>
      <c r="BJ426" s="582"/>
      <c r="BK426" s="582"/>
      <c r="BL426" s="582"/>
      <c r="BM426" s="582"/>
      <c r="BN426" s="582"/>
      <c r="BO426" s="582"/>
      <c r="BP426" s="582"/>
      <c r="BQ426" s="582"/>
      <c r="BR426" s="582"/>
      <c r="BS426" s="582" t="s">
        <v>4</v>
      </c>
      <c r="BT426" s="582"/>
      <c r="BU426" s="582"/>
      <c r="BV426" s="582"/>
      <c r="BW426" s="582"/>
      <c r="BX426" s="582"/>
      <c r="BY426" s="582"/>
      <c r="BZ426" s="582"/>
      <c r="CA426" s="582"/>
      <c r="CB426" s="582"/>
      <c r="CC426" s="582"/>
      <c r="CD426" s="582"/>
      <c r="CE426" s="582"/>
      <c r="CF426" s="582"/>
      <c r="CG426" s="582"/>
      <c r="CH426" s="582"/>
      <c r="CI426" s="332"/>
      <c r="CJ426" s="333"/>
      <c r="CK426" s="655">
        <f>SUM(CK422:CZ425)</f>
        <v>175143.88</v>
      </c>
      <c r="CL426" s="611"/>
      <c r="CM426" s="611"/>
      <c r="CN426" s="611"/>
      <c r="CO426" s="611"/>
      <c r="CP426" s="611"/>
      <c r="CQ426" s="611"/>
      <c r="CR426" s="611"/>
      <c r="CS426" s="611"/>
      <c r="CT426" s="611"/>
      <c r="CU426" s="611"/>
      <c r="CV426" s="611"/>
      <c r="CW426" s="611"/>
      <c r="CX426" s="611"/>
      <c r="CY426" s="611"/>
      <c r="CZ426" s="611"/>
      <c r="DA426" s="214"/>
    </row>
    <row r="427" spans="1:126" s="16" customFormat="1" ht="15" customHeight="1" x14ac:dyDescent="0.3">
      <c r="A427" s="648" t="s">
        <v>584</v>
      </c>
      <c r="B427" s="649"/>
      <c r="C427" s="649"/>
      <c r="D427" s="649"/>
      <c r="E427" s="649"/>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49"/>
      <c r="AY427" s="649"/>
      <c r="AZ427" s="649"/>
      <c r="BA427" s="649"/>
      <c r="BB427" s="649"/>
      <c r="BC427" s="649"/>
      <c r="BD427" s="649"/>
      <c r="BE427" s="649"/>
      <c r="BF427" s="649"/>
      <c r="BG427" s="649"/>
      <c r="BH427" s="649"/>
      <c r="BI427" s="649"/>
      <c r="BJ427" s="649"/>
      <c r="BK427" s="649"/>
      <c r="BL427" s="649"/>
      <c r="BM427" s="649"/>
      <c r="BN427" s="649"/>
      <c r="BO427" s="649"/>
      <c r="BP427" s="649"/>
      <c r="BQ427" s="649"/>
      <c r="BR427" s="649"/>
      <c r="BS427" s="649"/>
      <c r="BT427" s="649"/>
      <c r="BU427" s="649"/>
      <c r="BV427" s="649"/>
      <c r="BW427" s="649"/>
      <c r="BX427" s="649"/>
      <c r="BY427" s="649"/>
      <c r="BZ427" s="649"/>
      <c r="CA427" s="649"/>
      <c r="CB427" s="649"/>
      <c r="CC427" s="649"/>
      <c r="CD427" s="649"/>
      <c r="CE427" s="649"/>
      <c r="CF427" s="649"/>
      <c r="CG427" s="649"/>
      <c r="CH427" s="649"/>
      <c r="CI427" s="743"/>
      <c r="CJ427" s="743"/>
      <c r="CK427" s="744"/>
      <c r="CL427" s="744"/>
      <c r="CM427" s="744"/>
      <c r="CN427" s="744"/>
      <c r="CO427" s="744"/>
      <c r="CP427" s="744"/>
      <c r="CQ427" s="744"/>
      <c r="CR427" s="744"/>
      <c r="CS427" s="744"/>
      <c r="CT427" s="744"/>
      <c r="CU427" s="744"/>
      <c r="CV427" s="744"/>
      <c r="CW427" s="744"/>
      <c r="CX427" s="744"/>
      <c r="CY427" s="744"/>
      <c r="CZ427" s="745"/>
      <c r="DA427" s="214"/>
    </row>
    <row r="428" spans="1:126" s="16" customFormat="1" ht="15" customHeight="1" x14ac:dyDescent="0.3">
      <c r="A428" s="630" t="s">
        <v>441</v>
      </c>
      <c r="B428" s="631"/>
      <c r="C428" s="631"/>
      <c r="D428" s="631"/>
      <c r="E428" s="631"/>
      <c r="F428" s="631"/>
      <c r="G428" s="632"/>
      <c r="H428" s="556" t="s">
        <v>824</v>
      </c>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6"/>
      <c r="AL428" s="556"/>
      <c r="AM428" s="556"/>
      <c r="AN428" s="556"/>
      <c r="AO428" s="556"/>
      <c r="AP428" s="556"/>
      <c r="AQ428" s="556"/>
      <c r="AR428" s="556"/>
      <c r="AS428" s="556"/>
      <c r="AT428" s="556"/>
      <c r="AU428" s="556"/>
      <c r="AV428" s="556"/>
      <c r="AW428" s="556"/>
      <c r="AX428" s="556"/>
      <c r="AY428" s="556"/>
      <c r="AZ428" s="556"/>
      <c r="BA428" s="556"/>
      <c r="BB428" s="556"/>
      <c r="BC428" s="664">
        <v>32</v>
      </c>
      <c r="BD428" s="664"/>
      <c r="BE428" s="664"/>
      <c r="BF428" s="664"/>
      <c r="BG428" s="664"/>
      <c r="BH428" s="664"/>
      <c r="BI428" s="664"/>
      <c r="BJ428" s="664"/>
      <c r="BK428" s="664"/>
      <c r="BL428" s="664"/>
      <c r="BM428" s="664"/>
      <c r="BN428" s="664"/>
      <c r="BO428" s="664"/>
      <c r="BP428" s="664"/>
      <c r="BQ428" s="664"/>
      <c r="BR428" s="664"/>
      <c r="BS428" s="664">
        <v>206.11</v>
      </c>
      <c r="BT428" s="664"/>
      <c r="BU428" s="664"/>
      <c r="BV428" s="664"/>
      <c r="BW428" s="664"/>
      <c r="BX428" s="664"/>
      <c r="BY428" s="664"/>
      <c r="BZ428" s="664"/>
      <c r="CA428" s="664"/>
      <c r="CB428" s="664"/>
      <c r="CC428" s="664"/>
      <c r="CD428" s="664"/>
      <c r="CE428" s="664"/>
      <c r="CF428" s="664"/>
      <c r="CG428" s="664"/>
      <c r="CH428" s="664"/>
      <c r="CI428" s="330"/>
      <c r="CJ428" s="330"/>
      <c r="CK428" s="628">
        <v>6958.27</v>
      </c>
      <c r="CL428" s="628"/>
      <c r="CM428" s="628"/>
      <c r="CN428" s="628"/>
      <c r="CO428" s="628"/>
      <c r="CP428" s="628"/>
      <c r="CQ428" s="628"/>
      <c r="CR428" s="628"/>
      <c r="CS428" s="628"/>
      <c r="CT428" s="628"/>
      <c r="CU428" s="628"/>
      <c r="CV428" s="628"/>
      <c r="CW428" s="628"/>
      <c r="CX428" s="628"/>
      <c r="CY428" s="628"/>
      <c r="CZ428" s="629"/>
      <c r="DA428" s="214"/>
      <c r="DG428" s="746"/>
      <c r="DH428" s="746"/>
      <c r="DI428" s="746"/>
      <c r="DJ428" s="746"/>
      <c r="DK428" s="746"/>
      <c r="DL428" s="746"/>
      <c r="DM428" s="746"/>
      <c r="DN428" s="746"/>
      <c r="DO428" s="746"/>
      <c r="DP428" s="746"/>
      <c r="DQ428" s="746"/>
      <c r="DR428" s="746"/>
      <c r="DS428" s="746"/>
      <c r="DT428" s="746"/>
      <c r="DU428" s="746"/>
      <c r="DV428" s="746"/>
    </row>
    <row r="429" spans="1:126" s="16" customFormat="1" ht="15" customHeight="1" x14ac:dyDescent="0.3">
      <c r="A429" s="630" t="s">
        <v>444</v>
      </c>
      <c r="B429" s="631"/>
      <c r="C429" s="631"/>
      <c r="D429" s="631"/>
      <c r="E429" s="631"/>
      <c r="F429" s="631"/>
      <c r="G429" s="632"/>
      <c r="H429" s="556" t="s">
        <v>595</v>
      </c>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6"/>
      <c r="AL429" s="556"/>
      <c r="AM429" s="556"/>
      <c r="AN429" s="556"/>
      <c r="AO429" s="556"/>
      <c r="AP429" s="556"/>
      <c r="AQ429" s="556"/>
      <c r="AR429" s="556"/>
      <c r="AS429" s="556"/>
      <c r="AT429" s="556"/>
      <c r="AU429" s="556"/>
      <c r="AV429" s="556"/>
      <c r="AW429" s="556"/>
      <c r="AX429" s="556"/>
      <c r="AY429" s="556"/>
      <c r="AZ429" s="556"/>
      <c r="BA429" s="556"/>
      <c r="BB429" s="556"/>
      <c r="BC429" s="664">
        <v>33</v>
      </c>
      <c r="BD429" s="664"/>
      <c r="BE429" s="664"/>
      <c r="BF429" s="664"/>
      <c r="BG429" s="664"/>
      <c r="BH429" s="664"/>
      <c r="BI429" s="664"/>
      <c r="BJ429" s="664"/>
      <c r="BK429" s="664"/>
      <c r="BL429" s="664"/>
      <c r="BM429" s="664"/>
      <c r="BN429" s="664"/>
      <c r="BO429" s="664"/>
      <c r="BP429" s="664"/>
      <c r="BQ429" s="664"/>
      <c r="BR429" s="664"/>
      <c r="BS429" s="664">
        <v>171.75</v>
      </c>
      <c r="BT429" s="664"/>
      <c r="BU429" s="664"/>
      <c r="BV429" s="664"/>
      <c r="BW429" s="664"/>
      <c r="BX429" s="664"/>
      <c r="BY429" s="664"/>
      <c r="BZ429" s="664"/>
      <c r="CA429" s="664"/>
      <c r="CB429" s="664"/>
      <c r="CC429" s="664"/>
      <c r="CD429" s="664"/>
      <c r="CE429" s="664"/>
      <c r="CF429" s="664"/>
      <c r="CG429" s="664"/>
      <c r="CH429" s="664"/>
      <c r="CI429" s="334"/>
      <c r="CJ429" s="334"/>
      <c r="CK429" s="628">
        <v>5979.48</v>
      </c>
      <c r="CL429" s="628"/>
      <c r="CM429" s="628"/>
      <c r="CN429" s="628"/>
      <c r="CO429" s="628"/>
      <c r="CP429" s="628"/>
      <c r="CQ429" s="628"/>
      <c r="CR429" s="628"/>
      <c r="CS429" s="628"/>
      <c r="CT429" s="628"/>
      <c r="CU429" s="628"/>
      <c r="CV429" s="628"/>
      <c r="CW429" s="628"/>
      <c r="CX429" s="628"/>
      <c r="CY429" s="628"/>
      <c r="CZ429" s="629"/>
      <c r="DA429" s="214"/>
      <c r="DG429" s="746"/>
      <c r="DH429" s="746"/>
      <c r="DI429" s="746"/>
      <c r="DJ429" s="746"/>
      <c r="DK429" s="746"/>
      <c r="DL429" s="746"/>
      <c r="DM429" s="746"/>
      <c r="DN429" s="746"/>
      <c r="DO429" s="746"/>
      <c r="DP429" s="746"/>
      <c r="DQ429" s="746"/>
      <c r="DR429" s="746"/>
      <c r="DS429" s="746"/>
      <c r="DT429" s="746"/>
      <c r="DU429" s="746"/>
      <c r="DV429" s="746"/>
    </row>
    <row r="430" spans="1:126" s="16" customFormat="1" ht="15" customHeight="1" x14ac:dyDescent="0.3">
      <c r="A430" s="630" t="s">
        <v>446</v>
      </c>
      <c r="B430" s="631"/>
      <c r="C430" s="631"/>
      <c r="D430" s="631"/>
      <c r="E430" s="631"/>
      <c r="F430" s="631"/>
      <c r="G430" s="632"/>
      <c r="H430" s="556" t="s">
        <v>596</v>
      </c>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6"/>
      <c r="AL430" s="556"/>
      <c r="AM430" s="556"/>
      <c r="AN430" s="556"/>
      <c r="AO430" s="556"/>
      <c r="AP430" s="556"/>
      <c r="AQ430" s="556"/>
      <c r="AR430" s="556"/>
      <c r="AS430" s="556"/>
      <c r="AT430" s="556"/>
      <c r="AU430" s="556"/>
      <c r="AV430" s="556"/>
      <c r="AW430" s="556"/>
      <c r="AX430" s="556"/>
      <c r="AY430" s="556"/>
      <c r="AZ430" s="556"/>
      <c r="BA430" s="556"/>
      <c r="BB430" s="556"/>
      <c r="BC430" s="664">
        <v>65</v>
      </c>
      <c r="BD430" s="664"/>
      <c r="BE430" s="664"/>
      <c r="BF430" s="664"/>
      <c r="BG430" s="664"/>
      <c r="BH430" s="664"/>
      <c r="BI430" s="664"/>
      <c r="BJ430" s="664"/>
      <c r="BK430" s="664"/>
      <c r="BL430" s="664"/>
      <c r="BM430" s="664"/>
      <c r="BN430" s="664"/>
      <c r="BO430" s="664"/>
      <c r="BP430" s="664"/>
      <c r="BQ430" s="664"/>
      <c r="BR430" s="664"/>
      <c r="BS430" s="664">
        <v>194.76</v>
      </c>
      <c r="BT430" s="664"/>
      <c r="BU430" s="664"/>
      <c r="BV430" s="664"/>
      <c r="BW430" s="664"/>
      <c r="BX430" s="664"/>
      <c r="BY430" s="664"/>
      <c r="BZ430" s="664"/>
      <c r="CA430" s="664"/>
      <c r="CB430" s="664"/>
      <c r="CC430" s="664"/>
      <c r="CD430" s="664"/>
      <c r="CE430" s="664"/>
      <c r="CF430" s="664"/>
      <c r="CG430" s="664"/>
      <c r="CH430" s="664"/>
      <c r="CI430" s="330"/>
      <c r="CJ430" s="330"/>
      <c r="CK430" s="628">
        <v>13355.67</v>
      </c>
      <c r="CL430" s="628"/>
      <c r="CM430" s="628"/>
      <c r="CN430" s="628"/>
      <c r="CO430" s="628"/>
      <c r="CP430" s="628"/>
      <c r="CQ430" s="628"/>
      <c r="CR430" s="628"/>
      <c r="CS430" s="628"/>
      <c r="CT430" s="628"/>
      <c r="CU430" s="628"/>
      <c r="CV430" s="628"/>
      <c r="CW430" s="628"/>
      <c r="CX430" s="628"/>
      <c r="CY430" s="628"/>
      <c r="CZ430" s="629"/>
      <c r="DA430" s="214"/>
      <c r="DG430" s="746"/>
      <c r="DH430" s="746"/>
      <c r="DI430" s="746"/>
      <c r="DJ430" s="746"/>
      <c r="DK430" s="746"/>
      <c r="DL430" s="746"/>
      <c r="DM430" s="746"/>
      <c r="DN430" s="746"/>
      <c r="DO430" s="746"/>
      <c r="DP430" s="746"/>
      <c r="DQ430" s="746"/>
      <c r="DR430" s="746"/>
      <c r="DS430" s="746"/>
      <c r="DT430" s="746"/>
      <c r="DU430" s="746"/>
      <c r="DV430" s="746"/>
    </row>
    <row r="431" spans="1:126" s="16" customFormat="1" ht="15" customHeight="1" x14ac:dyDescent="0.3">
      <c r="A431" s="630" t="s">
        <v>551</v>
      </c>
      <c r="B431" s="631"/>
      <c r="C431" s="631"/>
      <c r="D431" s="631"/>
      <c r="E431" s="631"/>
      <c r="F431" s="631"/>
      <c r="G431" s="632"/>
      <c r="H431" s="556" t="s">
        <v>593</v>
      </c>
      <c r="I431" s="556"/>
      <c r="J431" s="556"/>
      <c r="K431" s="556"/>
      <c r="L431" s="556"/>
      <c r="M431" s="556"/>
      <c r="N431" s="556"/>
      <c r="O431" s="556"/>
      <c r="P431" s="556"/>
      <c r="Q431" s="556"/>
      <c r="R431" s="556"/>
      <c r="S431" s="556"/>
      <c r="T431" s="556"/>
      <c r="U431" s="556"/>
      <c r="V431" s="556"/>
      <c r="W431" s="556"/>
      <c r="X431" s="556"/>
      <c r="Y431" s="556"/>
      <c r="Z431" s="556"/>
      <c r="AA431" s="556"/>
      <c r="AB431" s="556"/>
      <c r="AC431" s="556"/>
      <c r="AD431" s="556"/>
      <c r="AE431" s="556"/>
      <c r="AF431" s="556"/>
      <c r="AG431" s="556"/>
      <c r="AH431" s="556"/>
      <c r="AI431" s="556"/>
      <c r="AJ431" s="556"/>
      <c r="AK431" s="556"/>
      <c r="AL431" s="556"/>
      <c r="AM431" s="556"/>
      <c r="AN431" s="556"/>
      <c r="AO431" s="556"/>
      <c r="AP431" s="556"/>
      <c r="AQ431" s="556"/>
      <c r="AR431" s="556"/>
      <c r="AS431" s="556"/>
      <c r="AT431" s="556"/>
      <c r="AU431" s="556"/>
      <c r="AV431" s="556"/>
      <c r="AW431" s="556"/>
      <c r="AX431" s="556"/>
      <c r="AY431" s="556"/>
      <c r="AZ431" s="556"/>
      <c r="BA431" s="556"/>
      <c r="BB431" s="556"/>
      <c r="BC431" s="664">
        <v>25</v>
      </c>
      <c r="BD431" s="664"/>
      <c r="BE431" s="664"/>
      <c r="BF431" s="664"/>
      <c r="BG431" s="664"/>
      <c r="BH431" s="664"/>
      <c r="BI431" s="664"/>
      <c r="BJ431" s="664"/>
      <c r="BK431" s="664"/>
      <c r="BL431" s="664"/>
      <c r="BM431" s="664"/>
      <c r="BN431" s="664"/>
      <c r="BO431" s="664"/>
      <c r="BP431" s="664"/>
      <c r="BQ431" s="664"/>
      <c r="BR431" s="664"/>
      <c r="BS431" s="664">
        <v>6253.4</v>
      </c>
      <c r="BT431" s="664"/>
      <c r="BU431" s="664"/>
      <c r="BV431" s="664"/>
      <c r="BW431" s="664"/>
      <c r="BX431" s="664"/>
      <c r="BY431" s="664"/>
      <c r="BZ431" s="664"/>
      <c r="CA431" s="664"/>
      <c r="CB431" s="664"/>
      <c r="CC431" s="664"/>
      <c r="CD431" s="664"/>
      <c r="CE431" s="664"/>
      <c r="CF431" s="664"/>
      <c r="CG431" s="664"/>
      <c r="CH431" s="664"/>
      <c r="CI431" s="330"/>
      <c r="CJ431" s="330"/>
      <c r="CK431" s="628">
        <v>164933.43</v>
      </c>
      <c r="CL431" s="628"/>
      <c r="CM431" s="628"/>
      <c r="CN431" s="628"/>
      <c r="CO431" s="628"/>
      <c r="CP431" s="628"/>
      <c r="CQ431" s="628"/>
      <c r="CR431" s="628"/>
      <c r="CS431" s="628"/>
      <c r="CT431" s="628"/>
      <c r="CU431" s="628"/>
      <c r="CV431" s="628"/>
      <c r="CW431" s="628"/>
      <c r="CX431" s="628"/>
      <c r="CY431" s="628"/>
      <c r="CZ431" s="629"/>
      <c r="DA431" s="214"/>
      <c r="DG431" s="746"/>
      <c r="DH431" s="746"/>
      <c r="DI431" s="746"/>
      <c r="DJ431" s="746"/>
      <c r="DK431" s="746"/>
      <c r="DL431" s="746"/>
      <c r="DM431" s="746"/>
      <c r="DN431" s="746"/>
      <c r="DO431" s="746"/>
      <c r="DP431" s="746"/>
      <c r="DQ431" s="746"/>
      <c r="DR431" s="746"/>
      <c r="DS431" s="746"/>
      <c r="DT431" s="746"/>
      <c r="DU431" s="746"/>
      <c r="DV431" s="746"/>
    </row>
    <row r="432" spans="1:126" s="16" customFormat="1" ht="15" customHeight="1" x14ac:dyDescent="0.3">
      <c r="A432" s="630" t="s">
        <v>292</v>
      </c>
      <c r="B432" s="631"/>
      <c r="C432" s="631"/>
      <c r="D432" s="631"/>
      <c r="E432" s="631"/>
      <c r="F432" s="631"/>
      <c r="G432" s="631"/>
      <c r="H432" s="631"/>
      <c r="I432" s="631"/>
      <c r="J432" s="631"/>
      <c r="K432" s="631"/>
      <c r="L432" s="631"/>
      <c r="M432" s="631"/>
      <c r="N432" s="631"/>
      <c r="O432" s="631"/>
      <c r="P432" s="631"/>
      <c r="Q432" s="631"/>
      <c r="R432" s="631"/>
      <c r="S432" s="631"/>
      <c r="T432" s="631"/>
      <c r="U432" s="631"/>
      <c r="V432" s="631"/>
      <c r="W432" s="631"/>
      <c r="X432" s="631"/>
      <c r="Y432" s="631"/>
      <c r="Z432" s="631"/>
      <c r="AA432" s="631"/>
      <c r="AB432" s="631"/>
      <c r="AC432" s="631"/>
      <c r="AD432" s="631"/>
      <c r="AE432" s="631"/>
      <c r="AF432" s="631"/>
      <c r="AG432" s="631"/>
      <c r="AH432" s="631"/>
      <c r="AI432" s="631"/>
      <c r="AJ432" s="631"/>
      <c r="AK432" s="631"/>
      <c r="AL432" s="631"/>
      <c r="AM432" s="631"/>
      <c r="AN432" s="631"/>
      <c r="AO432" s="631"/>
      <c r="AP432" s="631"/>
      <c r="AQ432" s="631"/>
      <c r="AR432" s="631"/>
      <c r="AS432" s="631"/>
      <c r="AT432" s="631"/>
      <c r="AU432" s="631"/>
      <c r="AV432" s="631"/>
      <c r="AW432" s="631"/>
      <c r="AX432" s="631"/>
      <c r="AY432" s="631"/>
      <c r="AZ432" s="631"/>
      <c r="BA432" s="631"/>
      <c r="BB432" s="631"/>
      <c r="BC432" s="582" t="s">
        <v>4</v>
      </c>
      <c r="BD432" s="582"/>
      <c r="BE432" s="582"/>
      <c r="BF432" s="582"/>
      <c r="BG432" s="582"/>
      <c r="BH432" s="582"/>
      <c r="BI432" s="582"/>
      <c r="BJ432" s="582"/>
      <c r="BK432" s="582"/>
      <c r="BL432" s="582"/>
      <c r="BM432" s="582"/>
      <c r="BN432" s="582"/>
      <c r="BO432" s="582"/>
      <c r="BP432" s="582"/>
      <c r="BQ432" s="582"/>
      <c r="BR432" s="582"/>
      <c r="BS432" s="582" t="s">
        <v>4</v>
      </c>
      <c r="BT432" s="582"/>
      <c r="BU432" s="582"/>
      <c r="BV432" s="582"/>
      <c r="BW432" s="582"/>
      <c r="BX432" s="582"/>
      <c r="BY432" s="582"/>
      <c r="BZ432" s="582"/>
      <c r="CA432" s="582"/>
      <c r="CB432" s="582"/>
      <c r="CC432" s="582"/>
      <c r="CD432" s="582"/>
      <c r="CE432" s="582"/>
      <c r="CF432" s="582"/>
      <c r="CG432" s="582"/>
      <c r="CH432" s="582"/>
      <c r="CI432" s="333"/>
      <c r="CJ432" s="333"/>
      <c r="CK432" s="654">
        <f>SUM(CK428:CZ431)</f>
        <v>191226.84999999998</v>
      </c>
      <c r="CL432" s="654"/>
      <c r="CM432" s="654"/>
      <c r="CN432" s="654"/>
      <c r="CO432" s="654"/>
      <c r="CP432" s="654"/>
      <c r="CQ432" s="654"/>
      <c r="CR432" s="654"/>
      <c r="CS432" s="654"/>
      <c r="CT432" s="654"/>
      <c r="CU432" s="654"/>
      <c r="CV432" s="654"/>
      <c r="CW432" s="654"/>
      <c r="CX432" s="654"/>
      <c r="CY432" s="654"/>
      <c r="CZ432" s="655"/>
      <c r="DA432" s="214"/>
    </row>
    <row r="433" spans="1:105" s="16" customFormat="1" ht="15" customHeight="1" x14ac:dyDescent="0.3">
      <c r="A433" s="553" t="s">
        <v>56</v>
      </c>
      <c r="B433" s="554"/>
      <c r="C433" s="554"/>
      <c r="D433" s="554"/>
      <c r="E433" s="554"/>
      <c r="F433" s="554"/>
      <c r="G433" s="554"/>
      <c r="H433" s="554"/>
      <c r="I433" s="554"/>
      <c r="J433" s="554"/>
      <c r="K433" s="554"/>
      <c r="L433" s="554"/>
      <c r="M433" s="554"/>
      <c r="N433" s="554"/>
      <c r="O433" s="554"/>
      <c r="P433" s="554"/>
      <c r="Q433" s="554"/>
      <c r="R433" s="554"/>
      <c r="S433" s="554"/>
      <c r="T433" s="554"/>
      <c r="U433" s="554"/>
      <c r="V433" s="554"/>
      <c r="W433" s="554"/>
      <c r="X433" s="554"/>
      <c r="Y433" s="554"/>
      <c r="Z433" s="554"/>
      <c r="AA433" s="554"/>
      <c r="AB433" s="554"/>
      <c r="AC433" s="554"/>
      <c r="AD433" s="554"/>
      <c r="AE433" s="554"/>
      <c r="AF433" s="554"/>
      <c r="AG433" s="554"/>
      <c r="AH433" s="554"/>
      <c r="AI433" s="554"/>
      <c r="AJ433" s="554"/>
      <c r="AK433" s="554"/>
      <c r="AL433" s="554"/>
      <c r="AM433" s="554"/>
      <c r="AN433" s="554"/>
      <c r="AO433" s="554"/>
      <c r="AP433" s="554"/>
      <c r="AQ433" s="554"/>
      <c r="AR433" s="554"/>
      <c r="AS433" s="554"/>
      <c r="AT433" s="554"/>
      <c r="AU433" s="554"/>
      <c r="AV433" s="554"/>
      <c r="AW433" s="554"/>
      <c r="AX433" s="554"/>
      <c r="AY433" s="554"/>
      <c r="AZ433" s="554"/>
      <c r="BA433" s="554"/>
      <c r="BB433" s="554"/>
      <c r="BC433" s="582" t="s">
        <v>4</v>
      </c>
      <c r="BD433" s="582"/>
      <c r="BE433" s="582"/>
      <c r="BF433" s="582"/>
      <c r="BG433" s="582"/>
      <c r="BH433" s="582"/>
      <c r="BI433" s="582"/>
      <c r="BJ433" s="582"/>
      <c r="BK433" s="582"/>
      <c r="BL433" s="582"/>
      <c r="BM433" s="582"/>
      <c r="BN433" s="582"/>
      <c r="BO433" s="582"/>
      <c r="BP433" s="582"/>
      <c r="BQ433" s="582"/>
      <c r="BR433" s="582"/>
      <c r="BS433" s="582" t="s">
        <v>4</v>
      </c>
      <c r="BT433" s="582"/>
      <c r="BU433" s="582"/>
      <c r="BV433" s="582"/>
      <c r="BW433" s="582"/>
      <c r="BX433" s="582"/>
      <c r="BY433" s="582"/>
      <c r="BZ433" s="582"/>
      <c r="CA433" s="582"/>
      <c r="CB433" s="582"/>
      <c r="CC433" s="582"/>
      <c r="CD433" s="582"/>
      <c r="CE433" s="582"/>
      <c r="CF433" s="582"/>
      <c r="CG433" s="582"/>
      <c r="CH433" s="582"/>
      <c r="CI433" s="333"/>
      <c r="CJ433" s="333"/>
      <c r="CK433" s="654">
        <f>CK426+CK432</f>
        <v>366370.73</v>
      </c>
      <c r="CL433" s="654"/>
      <c r="CM433" s="654"/>
      <c r="CN433" s="654"/>
      <c r="CO433" s="654"/>
      <c r="CP433" s="654"/>
      <c r="CQ433" s="654"/>
      <c r="CR433" s="654"/>
      <c r="CS433" s="654"/>
      <c r="CT433" s="654"/>
      <c r="CU433" s="654"/>
      <c r="CV433" s="654"/>
      <c r="CW433" s="654"/>
      <c r="CX433" s="654"/>
      <c r="CY433" s="654"/>
      <c r="CZ433" s="655"/>
      <c r="DA433" s="214"/>
    </row>
    <row r="434" spans="1:105" s="16" customFormat="1" ht="15" customHeight="1" x14ac:dyDescent="0.3">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14"/>
    </row>
    <row r="435" spans="1:105" s="20" customFormat="1" x14ac:dyDescent="0.25">
      <c r="A435" s="594" t="s">
        <v>359</v>
      </c>
      <c r="B435" s="594"/>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4"/>
      <c r="AL435" s="594"/>
      <c r="AM435" s="594"/>
      <c r="AN435" s="594"/>
      <c r="AO435" s="594"/>
      <c r="AP435" s="594"/>
      <c r="AQ435" s="594"/>
      <c r="AR435" s="594"/>
      <c r="AS435" s="594"/>
      <c r="AT435" s="594"/>
      <c r="AU435" s="594"/>
      <c r="AV435" s="594"/>
      <c r="AW435" s="594"/>
      <c r="AX435" s="594"/>
      <c r="AY435" s="594"/>
      <c r="AZ435" s="594"/>
      <c r="BA435" s="594"/>
      <c r="BB435" s="594"/>
      <c r="BC435" s="594"/>
      <c r="BD435" s="594"/>
      <c r="BE435" s="594"/>
      <c r="BF435" s="594"/>
      <c r="BG435" s="594"/>
      <c r="BH435" s="594"/>
      <c r="BI435" s="594"/>
      <c r="BJ435" s="594"/>
      <c r="BK435" s="594"/>
      <c r="BL435" s="594"/>
      <c r="BM435" s="594"/>
      <c r="BN435" s="594"/>
      <c r="BO435" s="594"/>
      <c r="BP435" s="594"/>
      <c r="BQ435" s="594"/>
      <c r="BR435" s="594"/>
      <c r="BS435" s="594"/>
      <c r="BT435" s="594"/>
      <c r="BU435" s="594"/>
      <c r="BV435" s="594"/>
      <c r="BW435" s="594"/>
      <c r="BX435" s="594"/>
      <c r="BY435" s="594"/>
      <c r="BZ435" s="594"/>
      <c r="CA435" s="594"/>
      <c r="CB435" s="594"/>
      <c r="CC435" s="594"/>
      <c r="CD435" s="594"/>
      <c r="CE435" s="594"/>
      <c r="CF435" s="594"/>
      <c r="CG435" s="594"/>
      <c r="CH435" s="594"/>
      <c r="CI435" s="594"/>
      <c r="CJ435" s="594"/>
      <c r="CK435" s="594"/>
      <c r="CL435" s="594"/>
      <c r="CM435" s="594"/>
      <c r="CN435" s="594"/>
      <c r="CO435" s="594"/>
      <c r="CP435" s="594"/>
      <c r="CQ435" s="594"/>
      <c r="CR435" s="594"/>
      <c r="CS435" s="594"/>
      <c r="CT435" s="594"/>
      <c r="CU435" s="594"/>
      <c r="CV435" s="594"/>
      <c r="CW435" s="594"/>
      <c r="CX435" s="594"/>
      <c r="CY435" s="594"/>
      <c r="CZ435" s="594"/>
    </row>
    <row r="436" spans="1:105" s="20" customForma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row>
    <row r="437" spans="1:105" s="20" customFormat="1" x14ac:dyDescent="0.25">
      <c r="A437" s="20" t="s">
        <v>47</v>
      </c>
      <c r="W437" s="595" t="s">
        <v>587</v>
      </c>
      <c r="X437" s="595"/>
      <c r="Y437" s="595"/>
      <c r="Z437" s="595"/>
      <c r="AA437" s="595"/>
      <c r="AB437" s="595"/>
      <c r="AC437" s="595"/>
      <c r="AD437" s="595"/>
      <c r="AE437" s="595"/>
      <c r="AF437" s="595"/>
      <c r="AG437" s="595"/>
      <c r="AH437" s="595"/>
      <c r="AI437" s="595"/>
      <c r="AJ437" s="595"/>
      <c r="AK437" s="595"/>
      <c r="AL437" s="595"/>
      <c r="AM437" s="595"/>
      <c r="AN437" s="595"/>
      <c r="AO437" s="595"/>
      <c r="AP437" s="595"/>
      <c r="AQ437" s="595"/>
      <c r="AR437" s="595"/>
      <c r="AS437" s="595"/>
      <c r="AT437" s="595"/>
      <c r="AU437" s="595"/>
      <c r="AV437" s="595"/>
      <c r="AW437" s="595"/>
      <c r="AX437" s="595"/>
      <c r="AY437" s="595"/>
      <c r="AZ437" s="595"/>
      <c r="BA437" s="595"/>
      <c r="BB437" s="595"/>
      <c r="BC437" s="595"/>
      <c r="BD437" s="595"/>
      <c r="BE437" s="595"/>
      <c r="BF437" s="595"/>
      <c r="BG437" s="595"/>
      <c r="BH437" s="595"/>
      <c r="BI437" s="595"/>
      <c r="BJ437" s="595"/>
      <c r="BK437" s="595"/>
      <c r="BL437" s="595"/>
      <c r="BM437" s="595"/>
      <c r="BN437" s="595"/>
      <c r="BO437" s="595"/>
      <c r="BP437" s="595"/>
      <c r="BQ437" s="595"/>
      <c r="BR437" s="595"/>
      <c r="BS437" s="595"/>
      <c r="BT437" s="595"/>
      <c r="BU437" s="595"/>
      <c r="BV437" s="595"/>
      <c r="BW437" s="595"/>
      <c r="BX437" s="595"/>
      <c r="BY437" s="595"/>
      <c r="BZ437" s="595"/>
      <c r="CA437" s="595"/>
      <c r="CB437" s="595"/>
      <c r="CC437" s="595"/>
      <c r="CD437" s="595"/>
      <c r="CE437" s="595"/>
      <c r="CF437" s="595"/>
      <c r="CG437" s="595"/>
      <c r="CH437" s="595"/>
      <c r="CI437" s="595"/>
      <c r="CJ437" s="595"/>
      <c r="CK437" s="595"/>
      <c r="CL437" s="595"/>
      <c r="CM437" s="595"/>
      <c r="CN437" s="595"/>
      <c r="CO437" s="595"/>
      <c r="CP437" s="595"/>
      <c r="CQ437" s="595"/>
      <c r="CR437" s="595"/>
      <c r="CS437" s="595"/>
      <c r="CT437" s="595"/>
      <c r="CU437" s="595"/>
      <c r="CV437" s="595"/>
      <c r="CW437" s="595"/>
      <c r="CX437" s="595"/>
      <c r="CY437" s="595"/>
      <c r="CZ437" s="595"/>
      <c r="DA437" s="230">
        <v>225</v>
      </c>
    </row>
    <row r="438" spans="1:105" s="20" customForma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05" s="18" customFormat="1" ht="54" customHeight="1" x14ac:dyDescent="0.3">
      <c r="A439" s="475" t="s">
        <v>49</v>
      </c>
      <c r="B439" s="476"/>
      <c r="C439" s="476"/>
      <c r="D439" s="476"/>
      <c r="E439" s="476"/>
      <c r="F439" s="476"/>
      <c r="G439" s="477"/>
      <c r="H439" s="475" t="s">
        <v>0</v>
      </c>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6"/>
      <c r="AL439" s="476"/>
      <c r="AM439" s="476"/>
      <c r="AN439" s="476"/>
      <c r="AO439" s="476"/>
      <c r="AP439" s="476"/>
      <c r="AQ439" s="476"/>
      <c r="AR439" s="476"/>
      <c r="AS439" s="476"/>
      <c r="AT439" s="476"/>
      <c r="AU439" s="476"/>
      <c r="AV439" s="476"/>
      <c r="AW439" s="476"/>
      <c r="AX439" s="476"/>
      <c r="AY439" s="476"/>
      <c r="AZ439" s="476"/>
      <c r="BA439" s="476"/>
      <c r="BB439" s="477"/>
      <c r="BC439" s="597" t="s">
        <v>94</v>
      </c>
      <c r="BD439" s="598"/>
      <c r="BE439" s="598"/>
      <c r="BF439" s="598"/>
      <c r="BG439" s="598"/>
      <c r="BH439" s="598"/>
      <c r="BI439" s="598"/>
      <c r="BJ439" s="598"/>
      <c r="BK439" s="598"/>
      <c r="BL439" s="598"/>
      <c r="BM439" s="598"/>
      <c r="BN439" s="598"/>
      <c r="BO439" s="598"/>
      <c r="BP439" s="598"/>
      <c r="BQ439" s="598"/>
      <c r="BR439" s="599"/>
      <c r="BS439" s="597" t="s">
        <v>310</v>
      </c>
      <c r="BT439" s="598"/>
      <c r="BU439" s="598"/>
      <c r="BV439" s="598"/>
      <c r="BW439" s="598"/>
      <c r="BX439" s="598"/>
      <c r="BY439" s="598"/>
      <c r="BZ439" s="598"/>
      <c r="CA439" s="598"/>
      <c r="CB439" s="598"/>
      <c r="CC439" s="598"/>
      <c r="CD439" s="598"/>
      <c r="CE439" s="598"/>
      <c r="CF439" s="598"/>
      <c r="CG439" s="598"/>
      <c r="CH439" s="599"/>
      <c r="CI439" s="597" t="s">
        <v>309</v>
      </c>
      <c r="CJ439" s="598"/>
      <c r="CK439" s="598"/>
      <c r="CL439" s="598"/>
      <c r="CM439" s="598"/>
      <c r="CN439" s="598"/>
      <c r="CO439" s="598"/>
      <c r="CP439" s="598"/>
      <c r="CQ439" s="598"/>
      <c r="CR439" s="598"/>
      <c r="CS439" s="598"/>
      <c r="CT439" s="598"/>
      <c r="CU439" s="598"/>
      <c r="CV439" s="598"/>
      <c r="CW439" s="598"/>
      <c r="CX439" s="598"/>
      <c r="CY439" s="598"/>
      <c r="CZ439" s="599"/>
      <c r="DA439" s="218"/>
    </row>
    <row r="440" spans="1:105" s="15" customFormat="1" ht="13.2" x14ac:dyDescent="0.3">
      <c r="A440" s="591">
        <v>1</v>
      </c>
      <c r="B440" s="591"/>
      <c r="C440" s="591"/>
      <c r="D440" s="591"/>
      <c r="E440" s="591"/>
      <c r="F440" s="591"/>
      <c r="G440" s="591"/>
      <c r="H440" s="591">
        <v>2</v>
      </c>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1"/>
      <c r="AL440" s="591"/>
      <c r="AM440" s="591"/>
      <c r="AN440" s="591"/>
      <c r="AO440" s="591"/>
      <c r="AP440" s="591"/>
      <c r="AQ440" s="591"/>
      <c r="AR440" s="591"/>
      <c r="AS440" s="591"/>
      <c r="AT440" s="591"/>
      <c r="AU440" s="591"/>
      <c r="AV440" s="591"/>
      <c r="AW440" s="591"/>
      <c r="AX440" s="591"/>
      <c r="AY440" s="591"/>
      <c r="AZ440" s="591"/>
      <c r="BA440" s="591"/>
      <c r="BB440" s="591"/>
      <c r="BC440" s="591">
        <v>3</v>
      </c>
      <c r="BD440" s="591"/>
      <c r="BE440" s="591"/>
      <c r="BF440" s="591"/>
      <c r="BG440" s="591"/>
      <c r="BH440" s="591"/>
      <c r="BI440" s="591"/>
      <c r="BJ440" s="591"/>
      <c r="BK440" s="591"/>
      <c r="BL440" s="591"/>
      <c r="BM440" s="591"/>
      <c r="BN440" s="591"/>
      <c r="BO440" s="591"/>
      <c r="BP440" s="591"/>
      <c r="BQ440" s="591"/>
      <c r="BR440" s="591"/>
      <c r="BS440" s="591">
        <v>4</v>
      </c>
      <c r="BT440" s="591"/>
      <c r="BU440" s="591"/>
      <c r="BV440" s="591"/>
      <c r="BW440" s="591"/>
      <c r="BX440" s="591"/>
      <c r="BY440" s="591"/>
      <c r="BZ440" s="591"/>
      <c r="CA440" s="591"/>
      <c r="CB440" s="591"/>
      <c r="CC440" s="591"/>
      <c r="CD440" s="591"/>
      <c r="CE440" s="591"/>
      <c r="CF440" s="591"/>
      <c r="CG440" s="591"/>
      <c r="CH440" s="591"/>
      <c r="CI440" s="591">
        <v>5</v>
      </c>
      <c r="CJ440" s="591"/>
      <c r="CK440" s="591"/>
      <c r="CL440" s="591"/>
      <c r="CM440" s="591"/>
      <c r="CN440" s="591"/>
      <c r="CO440" s="591"/>
      <c r="CP440" s="591"/>
      <c r="CQ440" s="591"/>
      <c r="CR440" s="591"/>
      <c r="CS440" s="591"/>
      <c r="CT440" s="591"/>
      <c r="CU440" s="591"/>
      <c r="CV440" s="591"/>
      <c r="CW440" s="591"/>
      <c r="CX440" s="591"/>
      <c r="CY440" s="591"/>
      <c r="CZ440" s="591"/>
      <c r="DA440" s="219"/>
    </row>
    <row r="441" spans="1:105" s="16" customFormat="1" ht="15" customHeight="1" x14ac:dyDescent="0.3">
      <c r="A441" s="648" t="s">
        <v>569</v>
      </c>
      <c r="B441" s="649"/>
      <c r="C441" s="649"/>
      <c r="D441" s="649"/>
      <c r="E441" s="649"/>
      <c r="F441" s="649"/>
      <c r="G441" s="649"/>
      <c r="H441" s="649"/>
      <c r="I441" s="649"/>
      <c r="J441" s="649"/>
      <c r="K441" s="649"/>
      <c r="L441" s="649"/>
      <c r="M441" s="649"/>
      <c r="N441" s="649"/>
      <c r="O441" s="649"/>
      <c r="P441" s="649"/>
      <c r="Q441" s="649"/>
      <c r="R441" s="649"/>
      <c r="S441" s="649"/>
      <c r="T441" s="649"/>
      <c r="U441" s="649"/>
      <c r="V441" s="649"/>
      <c r="W441" s="649"/>
      <c r="X441" s="649"/>
      <c r="Y441" s="649"/>
      <c r="Z441" s="649"/>
      <c r="AA441" s="649"/>
      <c r="AB441" s="649"/>
      <c r="AC441" s="649"/>
      <c r="AD441" s="649"/>
      <c r="AE441" s="649"/>
      <c r="AF441" s="649"/>
      <c r="AG441" s="649"/>
      <c r="AH441" s="649"/>
      <c r="AI441" s="649"/>
      <c r="AJ441" s="649"/>
      <c r="AK441" s="649"/>
      <c r="AL441" s="649"/>
      <c r="AM441" s="649"/>
      <c r="AN441" s="649"/>
      <c r="AO441" s="649"/>
      <c r="AP441" s="649"/>
      <c r="AQ441" s="649"/>
      <c r="AR441" s="649"/>
      <c r="AS441" s="649"/>
      <c r="AT441" s="649"/>
      <c r="AU441" s="649"/>
      <c r="AV441" s="649"/>
      <c r="AW441" s="649"/>
      <c r="AX441" s="649"/>
      <c r="AY441" s="649"/>
      <c r="AZ441" s="649"/>
      <c r="BA441" s="649"/>
      <c r="BB441" s="649"/>
      <c r="BC441" s="649"/>
      <c r="BD441" s="649"/>
      <c r="BE441" s="649"/>
      <c r="BF441" s="649"/>
      <c r="BG441" s="649"/>
      <c r="BH441" s="649"/>
      <c r="BI441" s="649"/>
      <c r="BJ441" s="649"/>
      <c r="BK441" s="649"/>
      <c r="BL441" s="649"/>
      <c r="BM441" s="649"/>
      <c r="BN441" s="649"/>
      <c r="BO441" s="649"/>
      <c r="BP441" s="649"/>
      <c r="BQ441" s="649"/>
      <c r="BR441" s="649"/>
      <c r="BS441" s="649"/>
      <c r="BT441" s="649"/>
      <c r="BU441" s="649"/>
      <c r="BV441" s="649"/>
      <c r="BW441" s="649"/>
      <c r="BX441" s="649"/>
      <c r="BY441" s="649"/>
      <c r="BZ441" s="649"/>
      <c r="CA441" s="649"/>
      <c r="CB441" s="649"/>
      <c r="CC441" s="649"/>
      <c r="CD441" s="649"/>
      <c r="CE441" s="649"/>
      <c r="CF441" s="649"/>
      <c r="CG441" s="649"/>
      <c r="CH441" s="649"/>
      <c r="CI441" s="649"/>
      <c r="CJ441" s="649"/>
      <c r="CK441" s="649"/>
      <c r="CL441" s="649"/>
      <c r="CM441" s="649"/>
      <c r="CN441" s="649"/>
      <c r="CO441" s="649"/>
      <c r="CP441" s="649"/>
      <c r="CQ441" s="649"/>
      <c r="CR441" s="649"/>
      <c r="CS441" s="649"/>
      <c r="CT441" s="649"/>
      <c r="CU441" s="649"/>
      <c r="CV441" s="649"/>
      <c r="CW441" s="649"/>
      <c r="CX441" s="649"/>
      <c r="CY441" s="649"/>
      <c r="CZ441" s="649"/>
      <c r="DA441" s="214"/>
    </row>
    <row r="442" spans="1:105" s="16" customFormat="1" ht="15" customHeight="1" x14ac:dyDescent="0.3">
      <c r="A442" s="630" t="s">
        <v>67</v>
      </c>
      <c r="B442" s="631"/>
      <c r="C442" s="631"/>
      <c r="D442" s="631"/>
      <c r="E442" s="631"/>
      <c r="F442" s="631"/>
      <c r="G442" s="632"/>
      <c r="H442" s="584" t="s">
        <v>607</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6"/>
      <c r="BC442" s="675">
        <v>2</v>
      </c>
      <c r="BD442" s="676"/>
      <c r="BE442" s="676"/>
      <c r="BF442" s="676"/>
      <c r="BG442" s="676"/>
      <c r="BH442" s="676"/>
      <c r="BI442" s="676"/>
      <c r="BJ442" s="676"/>
      <c r="BK442" s="676"/>
      <c r="BL442" s="676"/>
      <c r="BM442" s="676"/>
      <c r="BN442" s="676"/>
      <c r="BO442" s="676"/>
      <c r="BP442" s="676"/>
      <c r="BQ442" s="676"/>
      <c r="BR442" s="677"/>
      <c r="BS442" s="627">
        <v>15000</v>
      </c>
      <c r="BT442" s="628"/>
      <c r="BU442" s="628"/>
      <c r="BV442" s="628"/>
      <c r="BW442" s="628"/>
      <c r="BX442" s="628"/>
      <c r="BY442" s="628"/>
      <c r="BZ442" s="628"/>
      <c r="CA442" s="628"/>
      <c r="CB442" s="628"/>
      <c r="CC442" s="628"/>
      <c r="CD442" s="628"/>
      <c r="CE442" s="628"/>
      <c r="CF442" s="628"/>
      <c r="CG442" s="628"/>
      <c r="CH442" s="629"/>
      <c r="CI442" s="627">
        <f t="shared" ref="CI442" si="6">BC442*BS442</f>
        <v>30000</v>
      </c>
      <c r="CJ442" s="628"/>
      <c r="CK442" s="628"/>
      <c r="CL442" s="628"/>
      <c r="CM442" s="628"/>
      <c r="CN442" s="628"/>
      <c r="CO442" s="628"/>
      <c r="CP442" s="628"/>
      <c r="CQ442" s="628"/>
      <c r="CR442" s="628"/>
      <c r="CS442" s="628"/>
      <c r="CT442" s="628"/>
      <c r="CU442" s="628"/>
      <c r="CV442" s="628"/>
      <c r="CW442" s="628"/>
      <c r="CX442" s="628"/>
      <c r="CY442" s="628"/>
      <c r="CZ442" s="629"/>
      <c r="DA442" s="214"/>
    </row>
    <row r="443" spans="1:105" s="16" customFormat="1" ht="15" customHeight="1" x14ac:dyDescent="0.3">
      <c r="A443" s="630" t="s">
        <v>71</v>
      </c>
      <c r="B443" s="631"/>
      <c r="C443" s="631"/>
      <c r="D443" s="631"/>
      <c r="E443" s="631"/>
      <c r="F443" s="631"/>
      <c r="G443" s="632"/>
      <c r="H443" s="584" t="s">
        <v>963</v>
      </c>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5"/>
      <c r="AL443" s="585"/>
      <c r="AM443" s="585"/>
      <c r="AN443" s="585"/>
      <c r="AO443" s="585"/>
      <c r="AP443" s="585"/>
      <c r="AQ443" s="585"/>
      <c r="AR443" s="585"/>
      <c r="AS443" s="585"/>
      <c r="AT443" s="585"/>
      <c r="AU443" s="585"/>
      <c r="AV443" s="585"/>
      <c r="AW443" s="585"/>
      <c r="AX443" s="585"/>
      <c r="AY443" s="585"/>
      <c r="AZ443" s="585"/>
      <c r="BA443" s="585"/>
      <c r="BB443" s="586"/>
      <c r="BC443" s="675">
        <v>1</v>
      </c>
      <c r="BD443" s="676"/>
      <c r="BE443" s="676"/>
      <c r="BF443" s="676"/>
      <c r="BG443" s="676"/>
      <c r="BH443" s="676"/>
      <c r="BI443" s="676"/>
      <c r="BJ443" s="676"/>
      <c r="BK443" s="676"/>
      <c r="BL443" s="676"/>
      <c r="BM443" s="676"/>
      <c r="BN443" s="676"/>
      <c r="BO443" s="676"/>
      <c r="BP443" s="676"/>
      <c r="BQ443" s="676"/>
      <c r="BR443" s="677"/>
      <c r="BS443" s="627">
        <v>15000</v>
      </c>
      <c r="BT443" s="628"/>
      <c r="BU443" s="628"/>
      <c r="BV443" s="628"/>
      <c r="BW443" s="628"/>
      <c r="BX443" s="628"/>
      <c r="BY443" s="628"/>
      <c r="BZ443" s="628"/>
      <c r="CA443" s="628"/>
      <c r="CB443" s="628"/>
      <c r="CC443" s="628"/>
      <c r="CD443" s="628"/>
      <c r="CE443" s="628"/>
      <c r="CF443" s="628"/>
      <c r="CG443" s="628"/>
      <c r="CH443" s="629"/>
      <c r="CI443" s="627">
        <f t="shared" ref="CI443:CI481" si="7">BC443*BS443</f>
        <v>15000</v>
      </c>
      <c r="CJ443" s="628"/>
      <c r="CK443" s="628"/>
      <c r="CL443" s="628"/>
      <c r="CM443" s="628"/>
      <c r="CN443" s="628"/>
      <c r="CO443" s="628"/>
      <c r="CP443" s="628"/>
      <c r="CQ443" s="628"/>
      <c r="CR443" s="628"/>
      <c r="CS443" s="628"/>
      <c r="CT443" s="628"/>
      <c r="CU443" s="628"/>
      <c r="CV443" s="628"/>
      <c r="CW443" s="628"/>
      <c r="CX443" s="628"/>
      <c r="CY443" s="628"/>
      <c r="CZ443" s="629"/>
      <c r="DA443" s="214"/>
    </row>
    <row r="444" spans="1:105" s="16" customFormat="1" ht="15" customHeight="1" x14ac:dyDescent="0.3">
      <c r="A444" s="630" t="s">
        <v>462</v>
      </c>
      <c r="B444" s="631"/>
      <c r="C444" s="631"/>
      <c r="D444" s="631"/>
      <c r="E444" s="631"/>
      <c r="F444" s="631"/>
      <c r="G444" s="632"/>
      <c r="H444" s="584" t="s">
        <v>608</v>
      </c>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c r="AV444" s="585"/>
      <c r="AW444" s="585"/>
      <c r="AX444" s="585"/>
      <c r="AY444" s="585"/>
      <c r="AZ444" s="585"/>
      <c r="BA444" s="585"/>
      <c r="BB444" s="586"/>
      <c r="BC444" s="675">
        <v>2</v>
      </c>
      <c r="BD444" s="676"/>
      <c r="BE444" s="676"/>
      <c r="BF444" s="676"/>
      <c r="BG444" s="676"/>
      <c r="BH444" s="676"/>
      <c r="BI444" s="676"/>
      <c r="BJ444" s="676"/>
      <c r="BK444" s="676"/>
      <c r="BL444" s="676"/>
      <c r="BM444" s="676"/>
      <c r="BN444" s="676"/>
      <c r="BO444" s="676"/>
      <c r="BP444" s="676"/>
      <c r="BQ444" s="676"/>
      <c r="BR444" s="677"/>
      <c r="BS444" s="627">
        <v>16000</v>
      </c>
      <c r="BT444" s="628"/>
      <c r="BU444" s="628"/>
      <c r="BV444" s="628"/>
      <c r="BW444" s="628"/>
      <c r="BX444" s="628"/>
      <c r="BY444" s="628"/>
      <c r="BZ444" s="628"/>
      <c r="CA444" s="628"/>
      <c r="CB444" s="628"/>
      <c r="CC444" s="628"/>
      <c r="CD444" s="628"/>
      <c r="CE444" s="628"/>
      <c r="CF444" s="628"/>
      <c r="CG444" s="628"/>
      <c r="CH444" s="629"/>
      <c r="CI444" s="627">
        <f t="shared" si="7"/>
        <v>32000</v>
      </c>
      <c r="CJ444" s="628"/>
      <c r="CK444" s="628"/>
      <c r="CL444" s="628"/>
      <c r="CM444" s="628"/>
      <c r="CN444" s="628"/>
      <c r="CO444" s="628"/>
      <c r="CP444" s="628"/>
      <c r="CQ444" s="628"/>
      <c r="CR444" s="628"/>
      <c r="CS444" s="628"/>
      <c r="CT444" s="628"/>
      <c r="CU444" s="628"/>
      <c r="CV444" s="628"/>
      <c r="CW444" s="628"/>
      <c r="CX444" s="628"/>
      <c r="CY444" s="628"/>
      <c r="CZ444" s="629"/>
      <c r="DA444" s="214"/>
    </row>
    <row r="445" spans="1:105" s="16" customFormat="1" ht="15" hidden="1" customHeight="1" x14ac:dyDescent="0.3">
      <c r="A445" s="630" t="s">
        <v>477</v>
      </c>
      <c r="B445" s="631"/>
      <c r="C445" s="631"/>
      <c r="D445" s="631"/>
      <c r="E445" s="631"/>
      <c r="F445" s="631"/>
      <c r="G445" s="632"/>
      <c r="H445" s="584" t="s">
        <v>609</v>
      </c>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5"/>
      <c r="AL445" s="585"/>
      <c r="AM445" s="585"/>
      <c r="AN445" s="585"/>
      <c r="AO445" s="585"/>
      <c r="AP445" s="585"/>
      <c r="AQ445" s="585"/>
      <c r="AR445" s="585"/>
      <c r="AS445" s="585"/>
      <c r="AT445" s="585"/>
      <c r="AU445" s="585"/>
      <c r="AV445" s="585"/>
      <c r="AW445" s="585"/>
      <c r="AX445" s="585"/>
      <c r="AY445" s="585"/>
      <c r="AZ445" s="585"/>
      <c r="BA445" s="585"/>
      <c r="BB445" s="586"/>
      <c r="BC445" s="675">
        <v>2</v>
      </c>
      <c r="BD445" s="676"/>
      <c r="BE445" s="676"/>
      <c r="BF445" s="676"/>
      <c r="BG445" s="676"/>
      <c r="BH445" s="676"/>
      <c r="BI445" s="676"/>
      <c r="BJ445" s="676"/>
      <c r="BK445" s="676"/>
      <c r="BL445" s="676"/>
      <c r="BM445" s="676"/>
      <c r="BN445" s="676"/>
      <c r="BO445" s="676"/>
      <c r="BP445" s="676"/>
      <c r="BQ445" s="676"/>
      <c r="BR445" s="677"/>
      <c r="BS445" s="627">
        <v>0</v>
      </c>
      <c r="BT445" s="628"/>
      <c r="BU445" s="628"/>
      <c r="BV445" s="628"/>
      <c r="BW445" s="628"/>
      <c r="BX445" s="628"/>
      <c r="BY445" s="628"/>
      <c r="BZ445" s="628"/>
      <c r="CA445" s="628"/>
      <c r="CB445" s="628"/>
      <c r="CC445" s="628"/>
      <c r="CD445" s="628"/>
      <c r="CE445" s="628"/>
      <c r="CF445" s="628"/>
      <c r="CG445" s="628"/>
      <c r="CH445" s="629"/>
      <c r="CI445" s="627">
        <f t="shared" si="7"/>
        <v>0</v>
      </c>
      <c r="CJ445" s="628"/>
      <c r="CK445" s="628"/>
      <c r="CL445" s="628"/>
      <c r="CM445" s="628"/>
      <c r="CN445" s="628"/>
      <c r="CO445" s="628"/>
      <c r="CP445" s="628"/>
      <c r="CQ445" s="628"/>
      <c r="CR445" s="628"/>
      <c r="CS445" s="628"/>
      <c r="CT445" s="628"/>
      <c r="CU445" s="628"/>
      <c r="CV445" s="628"/>
      <c r="CW445" s="628"/>
      <c r="CX445" s="628"/>
      <c r="CY445" s="628"/>
      <c r="CZ445" s="629"/>
      <c r="DA445" s="214"/>
    </row>
    <row r="446" spans="1:105" s="16" customFormat="1" ht="15" customHeight="1" x14ac:dyDescent="0.3">
      <c r="A446" s="630" t="s">
        <v>479</v>
      </c>
      <c r="B446" s="631"/>
      <c r="C446" s="631"/>
      <c r="D446" s="631"/>
      <c r="E446" s="631"/>
      <c r="F446" s="631"/>
      <c r="G446" s="632"/>
      <c r="H446" s="584" t="s">
        <v>954</v>
      </c>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5"/>
      <c r="AL446" s="585"/>
      <c r="AM446" s="585"/>
      <c r="AN446" s="585"/>
      <c r="AO446" s="585"/>
      <c r="AP446" s="585"/>
      <c r="AQ446" s="585"/>
      <c r="AR446" s="585"/>
      <c r="AS446" s="585"/>
      <c r="AT446" s="585"/>
      <c r="AU446" s="585"/>
      <c r="AV446" s="585"/>
      <c r="AW446" s="585"/>
      <c r="AX446" s="585"/>
      <c r="AY446" s="585"/>
      <c r="AZ446" s="585"/>
      <c r="BA446" s="585"/>
      <c r="BB446" s="586"/>
      <c r="BC446" s="675">
        <v>1</v>
      </c>
      <c r="BD446" s="676"/>
      <c r="BE446" s="676"/>
      <c r="BF446" s="676"/>
      <c r="BG446" s="676"/>
      <c r="BH446" s="676"/>
      <c r="BI446" s="676"/>
      <c r="BJ446" s="676"/>
      <c r="BK446" s="676"/>
      <c r="BL446" s="676"/>
      <c r="BM446" s="676"/>
      <c r="BN446" s="676"/>
      <c r="BO446" s="676"/>
      <c r="BP446" s="676"/>
      <c r="BQ446" s="676"/>
      <c r="BR446" s="677"/>
      <c r="BS446" s="627">
        <f>300000-20744.48-88280</f>
        <v>190975.52000000002</v>
      </c>
      <c r="BT446" s="628"/>
      <c r="BU446" s="628"/>
      <c r="BV446" s="628"/>
      <c r="BW446" s="628"/>
      <c r="BX446" s="628"/>
      <c r="BY446" s="628"/>
      <c r="BZ446" s="628"/>
      <c r="CA446" s="628"/>
      <c r="CB446" s="628"/>
      <c r="CC446" s="628"/>
      <c r="CD446" s="628"/>
      <c r="CE446" s="628"/>
      <c r="CF446" s="628"/>
      <c r="CG446" s="628"/>
      <c r="CH446" s="629"/>
      <c r="CI446" s="627">
        <f t="shared" si="7"/>
        <v>190975.52000000002</v>
      </c>
      <c r="CJ446" s="628"/>
      <c r="CK446" s="628"/>
      <c r="CL446" s="628"/>
      <c r="CM446" s="628"/>
      <c r="CN446" s="628"/>
      <c r="CO446" s="628"/>
      <c r="CP446" s="628"/>
      <c r="CQ446" s="628"/>
      <c r="CR446" s="628"/>
      <c r="CS446" s="628"/>
      <c r="CT446" s="628"/>
      <c r="CU446" s="628"/>
      <c r="CV446" s="628"/>
      <c r="CW446" s="628"/>
      <c r="CX446" s="628"/>
      <c r="CY446" s="628"/>
      <c r="CZ446" s="629"/>
      <c r="DA446" s="214"/>
    </row>
    <row r="447" spans="1:105" s="16" customFormat="1" ht="15" customHeight="1" x14ac:dyDescent="0.3">
      <c r="A447" s="630" t="s">
        <v>481</v>
      </c>
      <c r="B447" s="631"/>
      <c r="C447" s="631"/>
      <c r="D447" s="631"/>
      <c r="E447" s="631"/>
      <c r="F447" s="631"/>
      <c r="G447" s="632"/>
      <c r="H447" s="584" t="s">
        <v>610</v>
      </c>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5"/>
      <c r="AL447" s="585"/>
      <c r="AM447" s="585"/>
      <c r="AN447" s="585"/>
      <c r="AO447" s="585"/>
      <c r="AP447" s="585"/>
      <c r="AQ447" s="585"/>
      <c r="AR447" s="585"/>
      <c r="AS447" s="585"/>
      <c r="AT447" s="585"/>
      <c r="AU447" s="585"/>
      <c r="AV447" s="585"/>
      <c r="AW447" s="585"/>
      <c r="AX447" s="585"/>
      <c r="AY447" s="585"/>
      <c r="AZ447" s="585"/>
      <c r="BA447" s="585"/>
      <c r="BB447" s="586"/>
      <c r="BC447" s="675">
        <v>1</v>
      </c>
      <c r="BD447" s="676"/>
      <c r="BE447" s="676"/>
      <c r="BF447" s="676"/>
      <c r="BG447" s="676"/>
      <c r="BH447" s="676"/>
      <c r="BI447" s="676"/>
      <c r="BJ447" s="676"/>
      <c r="BK447" s="676"/>
      <c r="BL447" s="676"/>
      <c r="BM447" s="676"/>
      <c r="BN447" s="676"/>
      <c r="BO447" s="676"/>
      <c r="BP447" s="676"/>
      <c r="BQ447" s="676"/>
      <c r="BR447" s="677"/>
      <c r="BS447" s="627">
        <v>100000</v>
      </c>
      <c r="BT447" s="628"/>
      <c r="BU447" s="628"/>
      <c r="BV447" s="628"/>
      <c r="BW447" s="628"/>
      <c r="BX447" s="628"/>
      <c r="BY447" s="628"/>
      <c r="BZ447" s="628"/>
      <c r="CA447" s="628"/>
      <c r="CB447" s="628"/>
      <c r="CC447" s="628"/>
      <c r="CD447" s="628"/>
      <c r="CE447" s="628"/>
      <c r="CF447" s="628"/>
      <c r="CG447" s="628"/>
      <c r="CH447" s="629"/>
      <c r="CI447" s="627">
        <f t="shared" si="7"/>
        <v>100000</v>
      </c>
      <c r="CJ447" s="628"/>
      <c r="CK447" s="628"/>
      <c r="CL447" s="628"/>
      <c r="CM447" s="628"/>
      <c r="CN447" s="628"/>
      <c r="CO447" s="628"/>
      <c r="CP447" s="628"/>
      <c r="CQ447" s="628"/>
      <c r="CR447" s="628"/>
      <c r="CS447" s="628"/>
      <c r="CT447" s="628"/>
      <c r="CU447" s="628"/>
      <c r="CV447" s="628"/>
      <c r="CW447" s="628"/>
      <c r="CX447" s="628"/>
      <c r="CY447" s="628"/>
      <c r="CZ447" s="629"/>
      <c r="DA447" s="214"/>
    </row>
    <row r="448" spans="1:105" s="16" customFormat="1" ht="15" customHeight="1" x14ac:dyDescent="0.3">
      <c r="A448" s="630" t="s">
        <v>483</v>
      </c>
      <c r="B448" s="631"/>
      <c r="C448" s="631"/>
      <c r="D448" s="631"/>
      <c r="E448" s="631"/>
      <c r="F448" s="631"/>
      <c r="G448" s="632"/>
      <c r="H448" s="584" t="s">
        <v>955</v>
      </c>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5"/>
      <c r="AL448" s="585"/>
      <c r="AM448" s="585"/>
      <c r="AN448" s="585"/>
      <c r="AO448" s="585"/>
      <c r="AP448" s="585"/>
      <c r="AQ448" s="585"/>
      <c r="AR448" s="585"/>
      <c r="AS448" s="585"/>
      <c r="AT448" s="585"/>
      <c r="AU448" s="585"/>
      <c r="AV448" s="585"/>
      <c r="AW448" s="585"/>
      <c r="AX448" s="585"/>
      <c r="AY448" s="585"/>
      <c r="AZ448" s="585"/>
      <c r="BA448" s="585"/>
      <c r="BB448" s="586"/>
      <c r="BC448" s="675">
        <v>1</v>
      </c>
      <c r="BD448" s="676"/>
      <c r="BE448" s="676"/>
      <c r="BF448" s="676"/>
      <c r="BG448" s="676"/>
      <c r="BH448" s="676"/>
      <c r="BI448" s="676"/>
      <c r="BJ448" s="676"/>
      <c r="BK448" s="676"/>
      <c r="BL448" s="676"/>
      <c r="BM448" s="676"/>
      <c r="BN448" s="676"/>
      <c r="BO448" s="676"/>
      <c r="BP448" s="676"/>
      <c r="BQ448" s="676"/>
      <c r="BR448" s="677"/>
      <c r="BS448" s="627">
        <v>5182</v>
      </c>
      <c r="BT448" s="628"/>
      <c r="BU448" s="628"/>
      <c r="BV448" s="628"/>
      <c r="BW448" s="628"/>
      <c r="BX448" s="628"/>
      <c r="BY448" s="628"/>
      <c r="BZ448" s="628"/>
      <c r="CA448" s="628"/>
      <c r="CB448" s="628"/>
      <c r="CC448" s="628"/>
      <c r="CD448" s="628"/>
      <c r="CE448" s="628"/>
      <c r="CF448" s="628"/>
      <c r="CG448" s="628"/>
      <c r="CH448" s="629"/>
      <c r="CI448" s="627">
        <f t="shared" si="7"/>
        <v>5182</v>
      </c>
      <c r="CJ448" s="628"/>
      <c r="CK448" s="628"/>
      <c r="CL448" s="628"/>
      <c r="CM448" s="628"/>
      <c r="CN448" s="628"/>
      <c r="CO448" s="628"/>
      <c r="CP448" s="628"/>
      <c r="CQ448" s="628"/>
      <c r="CR448" s="628"/>
      <c r="CS448" s="628"/>
      <c r="CT448" s="628"/>
      <c r="CU448" s="628"/>
      <c r="CV448" s="628"/>
      <c r="CW448" s="628"/>
      <c r="CX448" s="628"/>
      <c r="CY448" s="628"/>
      <c r="CZ448" s="629"/>
      <c r="DA448" s="214"/>
    </row>
    <row r="449" spans="1:105" s="16" customFormat="1" ht="18" customHeight="1" x14ac:dyDescent="0.3">
      <c r="A449" s="630" t="s">
        <v>485</v>
      </c>
      <c r="B449" s="631"/>
      <c r="C449" s="631"/>
      <c r="D449" s="631"/>
      <c r="E449" s="631"/>
      <c r="F449" s="631"/>
      <c r="G449" s="632"/>
      <c r="H449" s="584" t="s">
        <v>1066</v>
      </c>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5"/>
      <c r="AL449" s="585"/>
      <c r="AM449" s="585"/>
      <c r="AN449" s="585"/>
      <c r="AO449" s="585"/>
      <c r="AP449" s="585"/>
      <c r="AQ449" s="585"/>
      <c r="AR449" s="585"/>
      <c r="AS449" s="585"/>
      <c r="AT449" s="585"/>
      <c r="AU449" s="585"/>
      <c r="AV449" s="585"/>
      <c r="AW449" s="585"/>
      <c r="AX449" s="585"/>
      <c r="AY449" s="585"/>
      <c r="AZ449" s="585"/>
      <c r="BA449" s="585"/>
      <c r="BB449" s="586"/>
      <c r="BC449" s="675">
        <v>2</v>
      </c>
      <c r="BD449" s="676"/>
      <c r="BE449" s="676"/>
      <c r="BF449" s="676"/>
      <c r="BG449" s="676"/>
      <c r="BH449" s="676"/>
      <c r="BI449" s="676"/>
      <c r="BJ449" s="676"/>
      <c r="BK449" s="676"/>
      <c r="BL449" s="676"/>
      <c r="BM449" s="676"/>
      <c r="BN449" s="676"/>
      <c r="BO449" s="676"/>
      <c r="BP449" s="676"/>
      <c r="BQ449" s="676"/>
      <c r="BR449" s="677"/>
      <c r="BS449" s="627">
        <v>44140</v>
      </c>
      <c r="BT449" s="628"/>
      <c r="BU449" s="628"/>
      <c r="BV449" s="628"/>
      <c r="BW449" s="628"/>
      <c r="BX449" s="628"/>
      <c r="BY449" s="628"/>
      <c r="BZ449" s="628"/>
      <c r="CA449" s="628"/>
      <c r="CB449" s="628"/>
      <c r="CC449" s="628"/>
      <c r="CD449" s="628"/>
      <c r="CE449" s="628"/>
      <c r="CF449" s="628"/>
      <c r="CG449" s="628"/>
      <c r="CH449" s="629"/>
      <c r="CI449" s="627">
        <f t="shared" si="7"/>
        <v>88280</v>
      </c>
      <c r="CJ449" s="628"/>
      <c r="CK449" s="628"/>
      <c r="CL449" s="628"/>
      <c r="CM449" s="628"/>
      <c r="CN449" s="628"/>
      <c r="CO449" s="628"/>
      <c r="CP449" s="628"/>
      <c r="CQ449" s="628"/>
      <c r="CR449" s="628"/>
      <c r="CS449" s="628"/>
      <c r="CT449" s="628"/>
      <c r="CU449" s="628"/>
      <c r="CV449" s="628"/>
      <c r="CW449" s="628"/>
      <c r="CX449" s="628"/>
      <c r="CY449" s="628"/>
      <c r="CZ449" s="629"/>
      <c r="DA449" s="214"/>
    </row>
    <row r="450" spans="1:105" s="16" customFormat="1" ht="36" customHeight="1" x14ac:dyDescent="0.3">
      <c r="A450" s="630" t="s">
        <v>487</v>
      </c>
      <c r="B450" s="631"/>
      <c r="C450" s="631"/>
      <c r="D450" s="631"/>
      <c r="E450" s="631"/>
      <c r="F450" s="631"/>
      <c r="G450" s="632"/>
      <c r="H450" s="584" t="s">
        <v>958</v>
      </c>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5"/>
      <c r="AL450" s="585"/>
      <c r="AM450" s="585"/>
      <c r="AN450" s="585"/>
      <c r="AO450" s="585"/>
      <c r="AP450" s="585"/>
      <c r="AQ450" s="585"/>
      <c r="AR450" s="585"/>
      <c r="AS450" s="585"/>
      <c r="AT450" s="585"/>
      <c r="AU450" s="585"/>
      <c r="AV450" s="585"/>
      <c r="AW450" s="585"/>
      <c r="AX450" s="585"/>
      <c r="AY450" s="585"/>
      <c r="AZ450" s="585"/>
      <c r="BA450" s="585"/>
      <c r="BB450" s="586"/>
      <c r="BC450" s="675">
        <v>1</v>
      </c>
      <c r="BD450" s="676"/>
      <c r="BE450" s="676"/>
      <c r="BF450" s="676"/>
      <c r="BG450" s="676"/>
      <c r="BH450" s="676"/>
      <c r="BI450" s="676"/>
      <c r="BJ450" s="676"/>
      <c r="BK450" s="676"/>
      <c r="BL450" s="676"/>
      <c r="BM450" s="676"/>
      <c r="BN450" s="676"/>
      <c r="BO450" s="676"/>
      <c r="BP450" s="676"/>
      <c r="BQ450" s="676"/>
      <c r="BR450" s="677"/>
      <c r="BS450" s="627">
        <v>109992</v>
      </c>
      <c r="BT450" s="628"/>
      <c r="BU450" s="628"/>
      <c r="BV450" s="628"/>
      <c r="BW450" s="628"/>
      <c r="BX450" s="628"/>
      <c r="BY450" s="628"/>
      <c r="BZ450" s="628"/>
      <c r="CA450" s="628"/>
      <c r="CB450" s="628"/>
      <c r="CC450" s="628"/>
      <c r="CD450" s="628"/>
      <c r="CE450" s="628"/>
      <c r="CF450" s="628"/>
      <c r="CG450" s="628"/>
      <c r="CH450" s="629"/>
      <c r="CI450" s="627">
        <f t="shared" si="7"/>
        <v>109992</v>
      </c>
      <c r="CJ450" s="628"/>
      <c r="CK450" s="628"/>
      <c r="CL450" s="628"/>
      <c r="CM450" s="628"/>
      <c r="CN450" s="628"/>
      <c r="CO450" s="628"/>
      <c r="CP450" s="628"/>
      <c r="CQ450" s="628"/>
      <c r="CR450" s="628"/>
      <c r="CS450" s="628"/>
      <c r="CT450" s="628"/>
      <c r="CU450" s="628"/>
      <c r="CV450" s="628"/>
      <c r="CW450" s="628"/>
      <c r="CX450" s="628"/>
      <c r="CY450" s="628"/>
      <c r="CZ450" s="629"/>
      <c r="DA450" s="214"/>
    </row>
    <row r="451" spans="1:105" s="16" customFormat="1" ht="15" customHeight="1" x14ac:dyDescent="0.3">
      <c r="A451" s="630" t="s">
        <v>489</v>
      </c>
      <c r="B451" s="631"/>
      <c r="C451" s="631"/>
      <c r="D451" s="631"/>
      <c r="E451" s="631"/>
      <c r="F451" s="631"/>
      <c r="G451" s="632"/>
      <c r="H451" s="584" t="s">
        <v>1067</v>
      </c>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5"/>
      <c r="AL451" s="585"/>
      <c r="AM451" s="585"/>
      <c r="AN451" s="585"/>
      <c r="AO451" s="585"/>
      <c r="AP451" s="585"/>
      <c r="AQ451" s="585"/>
      <c r="AR451" s="585"/>
      <c r="AS451" s="585"/>
      <c r="AT451" s="585"/>
      <c r="AU451" s="585"/>
      <c r="AV451" s="585"/>
      <c r="AW451" s="585"/>
      <c r="AX451" s="585"/>
      <c r="AY451" s="585"/>
      <c r="AZ451" s="585"/>
      <c r="BA451" s="585"/>
      <c r="BB451" s="586"/>
      <c r="BC451" s="675">
        <v>1</v>
      </c>
      <c r="BD451" s="676"/>
      <c r="BE451" s="676"/>
      <c r="BF451" s="676"/>
      <c r="BG451" s="676"/>
      <c r="BH451" s="676"/>
      <c r="BI451" s="676"/>
      <c r="BJ451" s="676"/>
      <c r="BK451" s="676"/>
      <c r="BL451" s="676"/>
      <c r="BM451" s="676"/>
      <c r="BN451" s="676"/>
      <c r="BO451" s="676"/>
      <c r="BP451" s="676"/>
      <c r="BQ451" s="676"/>
      <c r="BR451" s="677"/>
      <c r="BS451" s="627">
        <v>900</v>
      </c>
      <c r="BT451" s="628"/>
      <c r="BU451" s="628"/>
      <c r="BV451" s="628"/>
      <c r="BW451" s="628"/>
      <c r="BX451" s="628"/>
      <c r="BY451" s="628"/>
      <c r="BZ451" s="628"/>
      <c r="CA451" s="628"/>
      <c r="CB451" s="628"/>
      <c r="CC451" s="628"/>
      <c r="CD451" s="628"/>
      <c r="CE451" s="628"/>
      <c r="CF451" s="628"/>
      <c r="CG451" s="628"/>
      <c r="CH451" s="629"/>
      <c r="CI451" s="627">
        <f t="shared" si="7"/>
        <v>900</v>
      </c>
      <c r="CJ451" s="628"/>
      <c r="CK451" s="628"/>
      <c r="CL451" s="628"/>
      <c r="CM451" s="628"/>
      <c r="CN451" s="628"/>
      <c r="CO451" s="628"/>
      <c r="CP451" s="628"/>
      <c r="CQ451" s="628"/>
      <c r="CR451" s="628"/>
      <c r="CS451" s="628"/>
      <c r="CT451" s="628"/>
      <c r="CU451" s="628"/>
      <c r="CV451" s="628"/>
      <c r="CW451" s="628"/>
      <c r="CX451" s="628"/>
      <c r="CY451" s="628"/>
      <c r="CZ451" s="629"/>
      <c r="DA451" s="214"/>
    </row>
    <row r="452" spans="1:105" s="16" customFormat="1" ht="30" customHeight="1" x14ac:dyDescent="0.3">
      <c r="A452" s="630" t="s">
        <v>491</v>
      </c>
      <c r="B452" s="631"/>
      <c r="C452" s="631"/>
      <c r="D452" s="631"/>
      <c r="E452" s="631"/>
      <c r="F452" s="631"/>
      <c r="G452" s="632"/>
      <c r="H452" s="584" t="s">
        <v>825</v>
      </c>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5"/>
      <c r="AL452" s="585"/>
      <c r="AM452" s="585"/>
      <c r="AN452" s="585"/>
      <c r="AO452" s="585"/>
      <c r="AP452" s="585"/>
      <c r="AQ452" s="585"/>
      <c r="AR452" s="585"/>
      <c r="AS452" s="585"/>
      <c r="AT452" s="585"/>
      <c r="AU452" s="585"/>
      <c r="AV452" s="585"/>
      <c r="AW452" s="585"/>
      <c r="AX452" s="585"/>
      <c r="AY452" s="585"/>
      <c r="AZ452" s="585"/>
      <c r="BA452" s="585"/>
      <c r="BB452" s="586"/>
      <c r="BC452" s="675">
        <v>1</v>
      </c>
      <c r="BD452" s="676"/>
      <c r="BE452" s="676"/>
      <c r="BF452" s="676"/>
      <c r="BG452" s="676"/>
      <c r="BH452" s="676"/>
      <c r="BI452" s="676"/>
      <c r="BJ452" s="676"/>
      <c r="BK452" s="676"/>
      <c r="BL452" s="676"/>
      <c r="BM452" s="676"/>
      <c r="BN452" s="676"/>
      <c r="BO452" s="676"/>
      <c r="BP452" s="676"/>
      <c r="BQ452" s="676"/>
      <c r="BR452" s="677"/>
      <c r="BS452" s="627">
        <v>99600</v>
      </c>
      <c r="BT452" s="628"/>
      <c r="BU452" s="628"/>
      <c r="BV452" s="628"/>
      <c r="BW452" s="628"/>
      <c r="BX452" s="628"/>
      <c r="BY452" s="628"/>
      <c r="BZ452" s="628"/>
      <c r="CA452" s="628"/>
      <c r="CB452" s="628"/>
      <c r="CC452" s="628"/>
      <c r="CD452" s="628"/>
      <c r="CE452" s="628"/>
      <c r="CF452" s="628"/>
      <c r="CG452" s="628"/>
      <c r="CH452" s="629"/>
      <c r="CI452" s="627">
        <f t="shared" si="7"/>
        <v>99600</v>
      </c>
      <c r="CJ452" s="628"/>
      <c r="CK452" s="628"/>
      <c r="CL452" s="628"/>
      <c r="CM452" s="628"/>
      <c r="CN452" s="628"/>
      <c r="CO452" s="628"/>
      <c r="CP452" s="628"/>
      <c r="CQ452" s="628"/>
      <c r="CR452" s="628"/>
      <c r="CS452" s="628"/>
      <c r="CT452" s="628"/>
      <c r="CU452" s="628"/>
      <c r="CV452" s="628"/>
      <c r="CW452" s="628"/>
      <c r="CX452" s="628"/>
      <c r="CY452" s="628"/>
      <c r="CZ452" s="629"/>
      <c r="DA452" s="214"/>
    </row>
    <row r="453" spans="1:105" s="16" customFormat="1" ht="36.75" customHeight="1" x14ac:dyDescent="0.3">
      <c r="A453" s="630" t="s">
        <v>493</v>
      </c>
      <c r="B453" s="631"/>
      <c r="C453" s="631"/>
      <c r="D453" s="631"/>
      <c r="E453" s="631"/>
      <c r="F453" s="631"/>
      <c r="G453" s="632"/>
      <c r="H453" s="584" t="s">
        <v>957</v>
      </c>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5"/>
      <c r="AL453" s="585"/>
      <c r="AM453" s="585"/>
      <c r="AN453" s="585"/>
      <c r="AO453" s="585"/>
      <c r="AP453" s="585"/>
      <c r="AQ453" s="585"/>
      <c r="AR453" s="585"/>
      <c r="AS453" s="585"/>
      <c r="AT453" s="585"/>
      <c r="AU453" s="585"/>
      <c r="AV453" s="585"/>
      <c r="AW453" s="585"/>
      <c r="AX453" s="585"/>
      <c r="AY453" s="585"/>
      <c r="AZ453" s="585"/>
      <c r="BA453" s="585"/>
      <c r="BB453" s="586"/>
      <c r="BC453" s="675">
        <v>1</v>
      </c>
      <c r="BD453" s="676"/>
      <c r="BE453" s="676"/>
      <c r="BF453" s="676"/>
      <c r="BG453" s="676"/>
      <c r="BH453" s="676"/>
      <c r="BI453" s="676"/>
      <c r="BJ453" s="676"/>
      <c r="BK453" s="676"/>
      <c r="BL453" s="676"/>
      <c r="BM453" s="676"/>
      <c r="BN453" s="676"/>
      <c r="BO453" s="676"/>
      <c r="BP453" s="676"/>
      <c r="BQ453" s="676"/>
      <c r="BR453" s="677"/>
      <c r="BS453" s="627">
        <v>60000</v>
      </c>
      <c r="BT453" s="628"/>
      <c r="BU453" s="628"/>
      <c r="BV453" s="628"/>
      <c r="BW453" s="628"/>
      <c r="BX453" s="628"/>
      <c r="BY453" s="628"/>
      <c r="BZ453" s="628"/>
      <c r="CA453" s="628"/>
      <c r="CB453" s="628"/>
      <c r="CC453" s="628"/>
      <c r="CD453" s="628"/>
      <c r="CE453" s="628"/>
      <c r="CF453" s="628"/>
      <c r="CG453" s="628"/>
      <c r="CH453" s="629"/>
      <c r="CI453" s="627">
        <f t="shared" si="7"/>
        <v>60000</v>
      </c>
      <c r="CJ453" s="628"/>
      <c r="CK453" s="628"/>
      <c r="CL453" s="628"/>
      <c r="CM453" s="628"/>
      <c r="CN453" s="628"/>
      <c r="CO453" s="628"/>
      <c r="CP453" s="628"/>
      <c r="CQ453" s="628"/>
      <c r="CR453" s="628"/>
      <c r="CS453" s="628"/>
      <c r="CT453" s="628"/>
      <c r="CU453" s="628"/>
      <c r="CV453" s="628"/>
      <c r="CW453" s="628"/>
      <c r="CX453" s="628"/>
      <c r="CY453" s="628"/>
      <c r="CZ453" s="629"/>
      <c r="DA453" s="214"/>
    </row>
    <row r="454" spans="1:105" s="16" customFormat="1" ht="21.75" customHeight="1" x14ac:dyDescent="0.3">
      <c r="A454" s="630" t="s">
        <v>515</v>
      </c>
      <c r="B454" s="631"/>
      <c r="C454" s="631"/>
      <c r="D454" s="631"/>
      <c r="E454" s="631"/>
      <c r="F454" s="631"/>
      <c r="G454" s="632"/>
      <c r="H454" s="584" t="s">
        <v>959</v>
      </c>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5"/>
      <c r="AL454" s="585"/>
      <c r="AM454" s="585"/>
      <c r="AN454" s="585"/>
      <c r="AO454" s="585"/>
      <c r="AP454" s="585"/>
      <c r="AQ454" s="585"/>
      <c r="AR454" s="585"/>
      <c r="AS454" s="585"/>
      <c r="AT454" s="585"/>
      <c r="AU454" s="585"/>
      <c r="AV454" s="585"/>
      <c r="AW454" s="585"/>
      <c r="AX454" s="585"/>
      <c r="AY454" s="585"/>
      <c r="AZ454" s="585"/>
      <c r="BA454" s="585"/>
      <c r="BB454" s="586"/>
      <c r="BC454" s="675">
        <v>1</v>
      </c>
      <c r="BD454" s="676"/>
      <c r="BE454" s="676"/>
      <c r="BF454" s="676"/>
      <c r="BG454" s="676"/>
      <c r="BH454" s="676"/>
      <c r="BI454" s="676"/>
      <c r="BJ454" s="676"/>
      <c r="BK454" s="676"/>
      <c r="BL454" s="676"/>
      <c r="BM454" s="676"/>
      <c r="BN454" s="676"/>
      <c r="BO454" s="676"/>
      <c r="BP454" s="676"/>
      <c r="BQ454" s="676"/>
      <c r="BR454" s="677"/>
      <c r="BS454" s="627">
        <v>7760</v>
      </c>
      <c r="BT454" s="628"/>
      <c r="BU454" s="628"/>
      <c r="BV454" s="628"/>
      <c r="BW454" s="628"/>
      <c r="BX454" s="628"/>
      <c r="BY454" s="628"/>
      <c r="BZ454" s="628"/>
      <c r="CA454" s="628"/>
      <c r="CB454" s="628"/>
      <c r="CC454" s="628"/>
      <c r="CD454" s="628"/>
      <c r="CE454" s="628"/>
      <c r="CF454" s="628"/>
      <c r="CG454" s="628"/>
      <c r="CH454" s="629"/>
      <c r="CI454" s="627">
        <f t="shared" si="7"/>
        <v>7760</v>
      </c>
      <c r="CJ454" s="628"/>
      <c r="CK454" s="628"/>
      <c r="CL454" s="628"/>
      <c r="CM454" s="628"/>
      <c r="CN454" s="628"/>
      <c r="CO454" s="628"/>
      <c r="CP454" s="628"/>
      <c r="CQ454" s="628"/>
      <c r="CR454" s="628"/>
      <c r="CS454" s="628"/>
      <c r="CT454" s="628"/>
      <c r="CU454" s="628"/>
      <c r="CV454" s="628"/>
      <c r="CW454" s="628"/>
      <c r="CX454" s="628"/>
      <c r="CY454" s="628"/>
      <c r="CZ454" s="629"/>
      <c r="DA454" s="214"/>
    </row>
    <row r="455" spans="1:105" s="16" customFormat="1" ht="41.25" customHeight="1" x14ac:dyDescent="0.3">
      <c r="A455" s="630" t="s">
        <v>519</v>
      </c>
      <c r="B455" s="631"/>
      <c r="C455" s="631"/>
      <c r="D455" s="631"/>
      <c r="E455" s="631"/>
      <c r="F455" s="631"/>
      <c r="G455" s="632"/>
      <c r="H455" s="584" t="s">
        <v>960</v>
      </c>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5"/>
      <c r="AL455" s="585"/>
      <c r="AM455" s="585"/>
      <c r="AN455" s="585"/>
      <c r="AO455" s="585"/>
      <c r="AP455" s="585"/>
      <c r="AQ455" s="585"/>
      <c r="AR455" s="585"/>
      <c r="AS455" s="585"/>
      <c r="AT455" s="585"/>
      <c r="AU455" s="585"/>
      <c r="AV455" s="585"/>
      <c r="AW455" s="585"/>
      <c r="AX455" s="585"/>
      <c r="AY455" s="585"/>
      <c r="AZ455" s="585"/>
      <c r="BA455" s="585"/>
      <c r="BB455" s="586"/>
      <c r="BC455" s="675">
        <v>3</v>
      </c>
      <c r="BD455" s="676"/>
      <c r="BE455" s="676"/>
      <c r="BF455" s="676"/>
      <c r="BG455" s="676"/>
      <c r="BH455" s="676"/>
      <c r="BI455" s="676"/>
      <c r="BJ455" s="676"/>
      <c r="BK455" s="676"/>
      <c r="BL455" s="676"/>
      <c r="BM455" s="676"/>
      <c r="BN455" s="676"/>
      <c r="BO455" s="676"/>
      <c r="BP455" s="676"/>
      <c r="BQ455" s="676"/>
      <c r="BR455" s="677"/>
      <c r="BS455" s="627">
        <f>CI455/BC455</f>
        <v>8200</v>
      </c>
      <c r="BT455" s="628"/>
      <c r="BU455" s="628"/>
      <c r="BV455" s="628"/>
      <c r="BW455" s="628"/>
      <c r="BX455" s="628"/>
      <c r="BY455" s="628"/>
      <c r="BZ455" s="628"/>
      <c r="CA455" s="628"/>
      <c r="CB455" s="628"/>
      <c r="CC455" s="628"/>
      <c r="CD455" s="628"/>
      <c r="CE455" s="628"/>
      <c r="CF455" s="628"/>
      <c r="CG455" s="628"/>
      <c r="CH455" s="629"/>
      <c r="CI455" s="627">
        <v>24600</v>
      </c>
      <c r="CJ455" s="628"/>
      <c r="CK455" s="628"/>
      <c r="CL455" s="628"/>
      <c r="CM455" s="628"/>
      <c r="CN455" s="628"/>
      <c r="CO455" s="628"/>
      <c r="CP455" s="628"/>
      <c r="CQ455" s="628"/>
      <c r="CR455" s="628"/>
      <c r="CS455" s="628"/>
      <c r="CT455" s="628"/>
      <c r="CU455" s="628"/>
      <c r="CV455" s="628"/>
      <c r="CW455" s="628"/>
      <c r="CX455" s="628"/>
      <c r="CY455" s="628"/>
      <c r="CZ455" s="629"/>
      <c r="DA455" s="214"/>
    </row>
    <row r="456" spans="1:105" s="16" customFormat="1" ht="15" customHeight="1" x14ac:dyDescent="0.3">
      <c r="A456" s="630" t="s">
        <v>521</v>
      </c>
      <c r="B456" s="631"/>
      <c r="C456" s="631"/>
      <c r="D456" s="631"/>
      <c r="E456" s="631"/>
      <c r="F456" s="631"/>
      <c r="G456" s="632"/>
      <c r="H456" s="584" t="s">
        <v>862</v>
      </c>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5"/>
      <c r="AL456" s="585"/>
      <c r="AM456" s="585"/>
      <c r="AN456" s="585"/>
      <c r="AO456" s="585"/>
      <c r="AP456" s="585"/>
      <c r="AQ456" s="585"/>
      <c r="AR456" s="585"/>
      <c r="AS456" s="585"/>
      <c r="AT456" s="585"/>
      <c r="AU456" s="585"/>
      <c r="AV456" s="585"/>
      <c r="AW456" s="585"/>
      <c r="AX456" s="585"/>
      <c r="AY456" s="585"/>
      <c r="AZ456" s="585"/>
      <c r="BA456" s="585"/>
      <c r="BB456" s="586"/>
      <c r="BC456" s="675">
        <v>1</v>
      </c>
      <c r="BD456" s="676"/>
      <c r="BE456" s="676"/>
      <c r="BF456" s="676"/>
      <c r="BG456" s="676"/>
      <c r="BH456" s="676"/>
      <c r="BI456" s="676"/>
      <c r="BJ456" s="676"/>
      <c r="BK456" s="676"/>
      <c r="BL456" s="676"/>
      <c r="BM456" s="676"/>
      <c r="BN456" s="676"/>
      <c r="BO456" s="676"/>
      <c r="BP456" s="676"/>
      <c r="BQ456" s="676"/>
      <c r="BR456" s="677"/>
      <c r="BS456" s="627">
        <v>2786</v>
      </c>
      <c r="BT456" s="628"/>
      <c r="BU456" s="628"/>
      <c r="BV456" s="628"/>
      <c r="BW456" s="628"/>
      <c r="BX456" s="628"/>
      <c r="BY456" s="628"/>
      <c r="BZ456" s="628"/>
      <c r="CA456" s="628"/>
      <c r="CB456" s="628"/>
      <c r="CC456" s="628"/>
      <c r="CD456" s="628"/>
      <c r="CE456" s="628"/>
      <c r="CF456" s="628"/>
      <c r="CG456" s="628"/>
      <c r="CH456" s="629"/>
      <c r="CI456" s="627">
        <f t="shared" si="7"/>
        <v>2786</v>
      </c>
      <c r="CJ456" s="628"/>
      <c r="CK456" s="628"/>
      <c r="CL456" s="628"/>
      <c r="CM456" s="628"/>
      <c r="CN456" s="628"/>
      <c r="CO456" s="628"/>
      <c r="CP456" s="628"/>
      <c r="CQ456" s="628"/>
      <c r="CR456" s="628"/>
      <c r="CS456" s="628"/>
      <c r="CT456" s="628"/>
      <c r="CU456" s="628"/>
      <c r="CV456" s="628"/>
      <c r="CW456" s="628"/>
      <c r="CX456" s="628"/>
      <c r="CY456" s="628"/>
      <c r="CZ456" s="629"/>
      <c r="DA456" s="214"/>
    </row>
    <row r="457" spans="1:105" s="16" customFormat="1" ht="15" customHeight="1" x14ac:dyDescent="0.3">
      <c r="A457" s="630" t="s">
        <v>523</v>
      </c>
      <c r="B457" s="631"/>
      <c r="C457" s="631"/>
      <c r="D457" s="631"/>
      <c r="E457" s="631"/>
      <c r="F457" s="631"/>
      <c r="G457" s="632"/>
      <c r="H457" s="584" t="s">
        <v>613</v>
      </c>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5"/>
      <c r="AL457" s="585"/>
      <c r="AM457" s="585"/>
      <c r="AN457" s="585"/>
      <c r="AO457" s="585"/>
      <c r="AP457" s="585"/>
      <c r="AQ457" s="585"/>
      <c r="AR457" s="585"/>
      <c r="AS457" s="585"/>
      <c r="AT457" s="585"/>
      <c r="AU457" s="585"/>
      <c r="AV457" s="585"/>
      <c r="AW457" s="585"/>
      <c r="AX457" s="585"/>
      <c r="AY457" s="585"/>
      <c r="AZ457" s="585"/>
      <c r="BA457" s="585"/>
      <c r="BB457" s="586"/>
      <c r="BC457" s="675">
        <v>1</v>
      </c>
      <c r="BD457" s="676"/>
      <c r="BE457" s="676"/>
      <c r="BF457" s="676"/>
      <c r="BG457" s="676"/>
      <c r="BH457" s="676"/>
      <c r="BI457" s="676"/>
      <c r="BJ457" s="676"/>
      <c r="BK457" s="676"/>
      <c r="BL457" s="676"/>
      <c r="BM457" s="676"/>
      <c r="BN457" s="676"/>
      <c r="BO457" s="676"/>
      <c r="BP457" s="676"/>
      <c r="BQ457" s="676"/>
      <c r="BR457" s="677"/>
      <c r="BS457" s="627">
        <v>66000</v>
      </c>
      <c r="BT457" s="628"/>
      <c r="BU457" s="628"/>
      <c r="BV457" s="628"/>
      <c r="BW457" s="628"/>
      <c r="BX457" s="628"/>
      <c r="BY457" s="628"/>
      <c r="BZ457" s="628"/>
      <c r="CA457" s="628"/>
      <c r="CB457" s="628"/>
      <c r="CC457" s="628"/>
      <c r="CD457" s="628"/>
      <c r="CE457" s="628"/>
      <c r="CF457" s="628"/>
      <c r="CG457" s="628"/>
      <c r="CH457" s="629"/>
      <c r="CI457" s="627">
        <f t="shared" si="7"/>
        <v>66000</v>
      </c>
      <c r="CJ457" s="628"/>
      <c r="CK457" s="628"/>
      <c r="CL457" s="628"/>
      <c r="CM457" s="628"/>
      <c r="CN457" s="628"/>
      <c r="CO457" s="628"/>
      <c r="CP457" s="628"/>
      <c r="CQ457" s="628"/>
      <c r="CR457" s="628"/>
      <c r="CS457" s="628"/>
      <c r="CT457" s="628"/>
      <c r="CU457" s="628"/>
      <c r="CV457" s="628"/>
      <c r="CW457" s="628"/>
      <c r="CX457" s="628"/>
      <c r="CY457" s="628"/>
      <c r="CZ457" s="629"/>
      <c r="DA457" s="214"/>
    </row>
    <row r="458" spans="1:105" s="16" customFormat="1" ht="13.2" x14ac:dyDescent="0.3">
      <c r="A458" s="630" t="s">
        <v>525</v>
      </c>
      <c r="B458" s="631"/>
      <c r="C458" s="631"/>
      <c r="D458" s="631"/>
      <c r="E458" s="631"/>
      <c r="F458" s="631"/>
      <c r="G458" s="632"/>
      <c r="H458" s="584" t="s">
        <v>1068</v>
      </c>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5"/>
      <c r="AL458" s="585"/>
      <c r="AM458" s="585"/>
      <c r="AN458" s="585"/>
      <c r="AO458" s="585"/>
      <c r="AP458" s="585"/>
      <c r="AQ458" s="585"/>
      <c r="AR458" s="585"/>
      <c r="AS458" s="585"/>
      <c r="AT458" s="585"/>
      <c r="AU458" s="585"/>
      <c r="AV458" s="585"/>
      <c r="AW458" s="585"/>
      <c r="AX458" s="585"/>
      <c r="AY458" s="585"/>
      <c r="AZ458" s="585"/>
      <c r="BA458" s="585"/>
      <c r="BB458" s="586"/>
      <c r="BC458" s="675">
        <v>1</v>
      </c>
      <c r="BD458" s="676"/>
      <c r="BE458" s="676"/>
      <c r="BF458" s="676"/>
      <c r="BG458" s="676"/>
      <c r="BH458" s="676"/>
      <c r="BI458" s="676"/>
      <c r="BJ458" s="676"/>
      <c r="BK458" s="676"/>
      <c r="BL458" s="676"/>
      <c r="BM458" s="676"/>
      <c r="BN458" s="676"/>
      <c r="BO458" s="676"/>
      <c r="BP458" s="676"/>
      <c r="BQ458" s="676"/>
      <c r="BR458" s="677"/>
      <c r="BS458" s="627">
        <v>15000</v>
      </c>
      <c r="BT458" s="628"/>
      <c r="BU458" s="628"/>
      <c r="BV458" s="628"/>
      <c r="BW458" s="628"/>
      <c r="BX458" s="628"/>
      <c r="BY458" s="628"/>
      <c r="BZ458" s="628"/>
      <c r="CA458" s="628"/>
      <c r="CB458" s="628"/>
      <c r="CC458" s="628"/>
      <c r="CD458" s="628"/>
      <c r="CE458" s="628"/>
      <c r="CF458" s="628"/>
      <c r="CG458" s="628"/>
      <c r="CH458" s="629"/>
      <c r="CI458" s="627">
        <f t="shared" si="7"/>
        <v>15000</v>
      </c>
      <c r="CJ458" s="628"/>
      <c r="CK458" s="628"/>
      <c r="CL458" s="628"/>
      <c r="CM458" s="628"/>
      <c r="CN458" s="628"/>
      <c r="CO458" s="628"/>
      <c r="CP458" s="628"/>
      <c r="CQ458" s="628"/>
      <c r="CR458" s="628"/>
      <c r="CS458" s="628"/>
      <c r="CT458" s="628"/>
      <c r="CU458" s="628"/>
      <c r="CV458" s="628"/>
      <c r="CW458" s="628"/>
      <c r="CX458" s="628"/>
      <c r="CY458" s="628"/>
      <c r="CZ458" s="629"/>
      <c r="DA458" s="214"/>
    </row>
    <row r="459" spans="1:105" s="16" customFormat="1" ht="24.75" customHeight="1" x14ac:dyDescent="0.3">
      <c r="A459" s="630" t="s">
        <v>526</v>
      </c>
      <c r="B459" s="631"/>
      <c r="C459" s="631"/>
      <c r="D459" s="631"/>
      <c r="E459" s="631"/>
      <c r="F459" s="631"/>
      <c r="G459" s="632"/>
      <c r="H459" s="584" t="s">
        <v>615</v>
      </c>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5"/>
      <c r="AL459" s="585"/>
      <c r="AM459" s="585"/>
      <c r="AN459" s="585"/>
      <c r="AO459" s="585"/>
      <c r="AP459" s="585"/>
      <c r="AQ459" s="585"/>
      <c r="AR459" s="585"/>
      <c r="AS459" s="585"/>
      <c r="AT459" s="585"/>
      <c r="AU459" s="585"/>
      <c r="AV459" s="585"/>
      <c r="AW459" s="585"/>
      <c r="AX459" s="585"/>
      <c r="AY459" s="585"/>
      <c r="AZ459" s="585"/>
      <c r="BA459" s="585"/>
      <c r="BB459" s="586"/>
      <c r="BC459" s="675">
        <v>2</v>
      </c>
      <c r="BD459" s="676"/>
      <c r="BE459" s="676"/>
      <c r="BF459" s="676"/>
      <c r="BG459" s="676"/>
      <c r="BH459" s="676"/>
      <c r="BI459" s="676"/>
      <c r="BJ459" s="676"/>
      <c r="BK459" s="676"/>
      <c r="BL459" s="676"/>
      <c r="BM459" s="676"/>
      <c r="BN459" s="676"/>
      <c r="BO459" s="676"/>
      <c r="BP459" s="676"/>
      <c r="BQ459" s="676"/>
      <c r="BR459" s="677"/>
      <c r="BS459" s="627">
        <v>3600</v>
      </c>
      <c r="BT459" s="628"/>
      <c r="BU459" s="628"/>
      <c r="BV459" s="628"/>
      <c r="BW459" s="628"/>
      <c r="BX459" s="628"/>
      <c r="BY459" s="628"/>
      <c r="BZ459" s="628"/>
      <c r="CA459" s="628"/>
      <c r="CB459" s="628"/>
      <c r="CC459" s="628"/>
      <c r="CD459" s="628"/>
      <c r="CE459" s="628"/>
      <c r="CF459" s="628"/>
      <c r="CG459" s="628"/>
      <c r="CH459" s="629"/>
      <c r="CI459" s="627">
        <f t="shared" si="7"/>
        <v>7200</v>
      </c>
      <c r="CJ459" s="628"/>
      <c r="CK459" s="628"/>
      <c r="CL459" s="628"/>
      <c r="CM459" s="628"/>
      <c r="CN459" s="628"/>
      <c r="CO459" s="628"/>
      <c r="CP459" s="628"/>
      <c r="CQ459" s="628"/>
      <c r="CR459" s="628"/>
      <c r="CS459" s="628"/>
      <c r="CT459" s="628"/>
      <c r="CU459" s="628"/>
      <c r="CV459" s="628"/>
      <c r="CW459" s="628"/>
      <c r="CX459" s="628"/>
      <c r="CY459" s="628"/>
      <c r="CZ459" s="629"/>
      <c r="DA459" s="214"/>
    </row>
    <row r="460" spans="1:105" s="16" customFormat="1" ht="30.75" customHeight="1" x14ac:dyDescent="0.3">
      <c r="A460" s="630" t="s">
        <v>530</v>
      </c>
      <c r="B460" s="631"/>
      <c r="C460" s="631"/>
      <c r="D460" s="631"/>
      <c r="E460" s="631"/>
      <c r="F460" s="631"/>
      <c r="G460" s="632"/>
      <c r="H460" s="584" t="s">
        <v>616</v>
      </c>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5"/>
      <c r="AL460" s="585"/>
      <c r="AM460" s="585"/>
      <c r="AN460" s="585"/>
      <c r="AO460" s="585"/>
      <c r="AP460" s="585"/>
      <c r="AQ460" s="585"/>
      <c r="AR460" s="585"/>
      <c r="AS460" s="585"/>
      <c r="AT460" s="585"/>
      <c r="AU460" s="585"/>
      <c r="AV460" s="585"/>
      <c r="AW460" s="585"/>
      <c r="AX460" s="585"/>
      <c r="AY460" s="585"/>
      <c r="AZ460" s="585"/>
      <c r="BA460" s="585"/>
      <c r="BB460" s="586"/>
      <c r="BC460" s="675">
        <v>1</v>
      </c>
      <c r="BD460" s="676"/>
      <c r="BE460" s="676"/>
      <c r="BF460" s="676"/>
      <c r="BG460" s="676"/>
      <c r="BH460" s="676"/>
      <c r="BI460" s="676"/>
      <c r="BJ460" s="676"/>
      <c r="BK460" s="676"/>
      <c r="BL460" s="676"/>
      <c r="BM460" s="676"/>
      <c r="BN460" s="676"/>
      <c r="BO460" s="676"/>
      <c r="BP460" s="676"/>
      <c r="BQ460" s="676"/>
      <c r="BR460" s="677"/>
      <c r="BS460" s="627">
        <v>19590.7</v>
      </c>
      <c r="BT460" s="628"/>
      <c r="BU460" s="628"/>
      <c r="BV460" s="628"/>
      <c r="BW460" s="628"/>
      <c r="BX460" s="628"/>
      <c r="BY460" s="628"/>
      <c r="BZ460" s="628"/>
      <c r="CA460" s="628"/>
      <c r="CB460" s="628"/>
      <c r="CC460" s="628"/>
      <c r="CD460" s="628"/>
      <c r="CE460" s="628"/>
      <c r="CF460" s="628"/>
      <c r="CG460" s="628"/>
      <c r="CH460" s="629"/>
      <c r="CI460" s="627">
        <f t="shared" si="7"/>
        <v>19590.7</v>
      </c>
      <c r="CJ460" s="628"/>
      <c r="CK460" s="628"/>
      <c r="CL460" s="628"/>
      <c r="CM460" s="628"/>
      <c r="CN460" s="628"/>
      <c r="CO460" s="628"/>
      <c r="CP460" s="628"/>
      <c r="CQ460" s="628"/>
      <c r="CR460" s="628"/>
      <c r="CS460" s="628"/>
      <c r="CT460" s="628"/>
      <c r="CU460" s="628"/>
      <c r="CV460" s="628"/>
      <c r="CW460" s="628"/>
      <c r="CX460" s="628"/>
      <c r="CY460" s="628"/>
      <c r="CZ460" s="629"/>
      <c r="DA460" s="214"/>
    </row>
    <row r="461" spans="1:105" s="16" customFormat="1" ht="20.25" customHeight="1" x14ac:dyDescent="0.3">
      <c r="A461" s="630" t="s">
        <v>621</v>
      </c>
      <c r="B461" s="631"/>
      <c r="C461" s="631"/>
      <c r="D461" s="631"/>
      <c r="E461" s="631"/>
      <c r="F461" s="631"/>
      <c r="G461" s="632"/>
      <c r="H461" s="584" t="s">
        <v>1055</v>
      </c>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5"/>
      <c r="AL461" s="585"/>
      <c r="AM461" s="585"/>
      <c r="AN461" s="585"/>
      <c r="AO461" s="585"/>
      <c r="AP461" s="585"/>
      <c r="AQ461" s="585"/>
      <c r="AR461" s="585"/>
      <c r="AS461" s="585"/>
      <c r="AT461" s="585"/>
      <c r="AU461" s="585"/>
      <c r="AV461" s="585"/>
      <c r="AW461" s="585"/>
      <c r="AX461" s="585"/>
      <c r="AY461" s="585"/>
      <c r="AZ461" s="585"/>
      <c r="BA461" s="585"/>
      <c r="BB461" s="586"/>
      <c r="BC461" s="675">
        <v>1</v>
      </c>
      <c r="BD461" s="676"/>
      <c r="BE461" s="676"/>
      <c r="BF461" s="676"/>
      <c r="BG461" s="676"/>
      <c r="BH461" s="676"/>
      <c r="BI461" s="676"/>
      <c r="BJ461" s="676"/>
      <c r="BK461" s="676"/>
      <c r="BL461" s="676"/>
      <c r="BM461" s="676"/>
      <c r="BN461" s="676"/>
      <c r="BO461" s="676"/>
      <c r="BP461" s="676"/>
      <c r="BQ461" s="676"/>
      <c r="BR461" s="677"/>
      <c r="BS461" s="627">
        <v>50000</v>
      </c>
      <c r="BT461" s="628"/>
      <c r="BU461" s="628"/>
      <c r="BV461" s="628"/>
      <c r="BW461" s="628"/>
      <c r="BX461" s="628"/>
      <c r="BY461" s="628"/>
      <c r="BZ461" s="628"/>
      <c r="CA461" s="628"/>
      <c r="CB461" s="628"/>
      <c r="CC461" s="628"/>
      <c r="CD461" s="628"/>
      <c r="CE461" s="628"/>
      <c r="CF461" s="628"/>
      <c r="CG461" s="628"/>
      <c r="CH461" s="629"/>
      <c r="CI461" s="627">
        <f t="shared" si="7"/>
        <v>50000</v>
      </c>
      <c r="CJ461" s="628"/>
      <c r="CK461" s="628"/>
      <c r="CL461" s="628"/>
      <c r="CM461" s="628"/>
      <c r="CN461" s="628"/>
      <c r="CO461" s="628"/>
      <c r="CP461" s="628"/>
      <c r="CQ461" s="628"/>
      <c r="CR461" s="628"/>
      <c r="CS461" s="628"/>
      <c r="CT461" s="628"/>
      <c r="CU461" s="628"/>
      <c r="CV461" s="628"/>
      <c r="CW461" s="628"/>
      <c r="CX461" s="628"/>
      <c r="CY461" s="628"/>
      <c r="CZ461" s="629"/>
      <c r="DA461" s="214"/>
    </row>
    <row r="462" spans="1:105" s="16" customFormat="1" ht="15" customHeight="1" x14ac:dyDescent="0.3">
      <c r="A462" s="630" t="s">
        <v>622</v>
      </c>
      <c r="B462" s="631"/>
      <c r="C462" s="631"/>
      <c r="D462" s="631"/>
      <c r="E462" s="631"/>
      <c r="F462" s="631"/>
      <c r="G462" s="632"/>
      <c r="H462" s="584" t="s">
        <v>826</v>
      </c>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5"/>
      <c r="AL462" s="585"/>
      <c r="AM462" s="585"/>
      <c r="AN462" s="585"/>
      <c r="AO462" s="585"/>
      <c r="AP462" s="585"/>
      <c r="AQ462" s="585"/>
      <c r="AR462" s="585"/>
      <c r="AS462" s="585"/>
      <c r="AT462" s="585"/>
      <c r="AU462" s="585"/>
      <c r="AV462" s="585"/>
      <c r="AW462" s="585"/>
      <c r="AX462" s="585"/>
      <c r="AY462" s="585"/>
      <c r="AZ462" s="585"/>
      <c r="BA462" s="585"/>
      <c r="BB462" s="586"/>
      <c r="BC462" s="675">
        <v>1</v>
      </c>
      <c r="BD462" s="676"/>
      <c r="BE462" s="676"/>
      <c r="BF462" s="676"/>
      <c r="BG462" s="676"/>
      <c r="BH462" s="676"/>
      <c r="BI462" s="676"/>
      <c r="BJ462" s="676"/>
      <c r="BK462" s="676"/>
      <c r="BL462" s="676"/>
      <c r="BM462" s="676"/>
      <c r="BN462" s="676"/>
      <c r="BO462" s="676"/>
      <c r="BP462" s="676"/>
      <c r="BQ462" s="676"/>
      <c r="BR462" s="677"/>
      <c r="BS462" s="627">
        <v>71376</v>
      </c>
      <c r="BT462" s="628"/>
      <c r="BU462" s="628"/>
      <c r="BV462" s="628"/>
      <c r="BW462" s="628"/>
      <c r="BX462" s="628"/>
      <c r="BY462" s="628"/>
      <c r="BZ462" s="628"/>
      <c r="CA462" s="628"/>
      <c r="CB462" s="628"/>
      <c r="CC462" s="628"/>
      <c r="CD462" s="628"/>
      <c r="CE462" s="628"/>
      <c r="CF462" s="628"/>
      <c r="CG462" s="628"/>
      <c r="CH462" s="629"/>
      <c r="CI462" s="627">
        <f t="shared" si="7"/>
        <v>71376</v>
      </c>
      <c r="CJ462" s="628"/>
      <c r="CK462" s="628"/>
      <c r="CL462" s="628"/>
      <c r="CM462" s="628"/>
      <c r="CN462" s="628"/>
      <c r="CO462" s="628"/>
      <c r="CP462" s="628"/>
      <c r="CQ462" s="628"/>
      <c r="CR462" s="628"/>
      <c r="CS462" s="628"/>
      <c r="CT462" s="628"/>
      <c r="CU462" s="628"/>
      <c r="CV462" s="628"/>
      <c r="CW462" s="628"/>
      <c r="CX462" s="628"/>
      <c r="CY462" s="628"/>
      <c r="CZ462" s="629"/>
      <c r="DA462" s="214"/>
    </row>
    <row r="463" spans="1:105" s="16" customFormat="1" ht="22.95" customHeight="1" x14ac:dyDescent="0.3">
      <c r="A463" s="630" t="s">
        <v>623</v>
      </c>
      <c r="B463" s="631"/>
      <c r="C463" s="631"/>
      <c r="D463" s="631"/>
      <c r="E463" s="631"/>
      <c r="F463" s="631"/>
      <c r="G463" s="632"/>
      <c r="H463" s="584" t="s">
        <v>961</v>
      </c>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5"/>
      <c r="AL463" s="585"/>
      <c r="AM463" s="585"/>
      <c r="AN463" s="585"/>
      <c r="AO463" s="585"/>
      <c r="AP463" s="585"/>
      <c r="AQ463" s="585"/>
      <c r="AR463" s="585"/>
      <c r="AS463" s="585"/>
      <c r="AT463" s="585"/>
      <c r="AU463" s="585"/>
      <c r="AV463" s="585"/>
      <c r="AW463" s="585"/>
      <c r="AX463" s="585"/>
      <c r="AY463" s="585"/>
      <c r="AZ463" s="585"/>
      <c r="BA463" s="585"/>
      <c r="BB463" s="586"/>
      <c r="BC463" s="675">
        <v>1</v>
      </c>
      <c r="BD463" s="676"/>
      <c r="BE463" s="676"/>
      <c r="BF463" s="676"/>
      <c r="BG463" s="676"/>
      <c r="BH463" s="676"/>
      <c r="BI463" s="676"/>
      <c r="BJ463" s="676"/>
      <c r="BK463" s="676"/>
      <c r="BL463" s="676"/>
      <c r="BM463" s="676"/>
      <c r="BN463" s="676"/>
      <c r="BO463" s="676"/>
      <c r="BP463" s="676"/>
      <c r="BQ463" s="676"/>
      <c r="BR463" s="677"/>
      <c r="BS463" s="627">
        <v>84000</v>
      </c>
      <c r="BT463" s="628"/>
      <c r="BU463" s="628"/>
      <c r="BV463" s="628"/>
      <c r="BW463" s="628"/>
      <c r="BX463" s="628"/>
      <c r="BY463" s="628"/>
      <c r="BZ463" s="628"/>
      <c r="CA463" s="628"/>
      <c r="CB463" s="628"/>
      <c r="CC463" s="628"/>
      <c r="CD463" s="628"/>
      <c r="CE463" s="628"/>
      <c r="CF463" s="628"/>
      <c r="CG463" s="628"/>
      <c r="CH463" s="629"/>
      <c r="CI463" s="627">
        <f t="shared" si="7"/>
        <v>84000</v>
      </c>
      <c r="CJ463" s="628"/>
      <c r="CK463" s="628"/>
      <c r="CL463" s="628"/>
      <c r="CM463" s="628"/>
      <c r="CN463" s="628"/>
      <c r="CO463" s="628"/>
      <c r="CP463" s="628"/>
      <c r="CQ463" s="628"/>
      <c r="CR463" s="628"/>
      <c r="CS463" s="628"/>
      <c r="CT463" s="628"/>
      <c r="CU463" s="628"/>
      <c r="CV463" s="628"/>
      <c r="CW463" s="628"/>
      <c r="CX463" s="628"/>
      <c r="CY463" s="628"/>
      <c r="CZ463" s="629"/>
      <c r="DA463" s="214"/>
    </row>
    <row r="464" spans="1:105" s="16" customFormat="1" ht="15" customHeight="1" x14ac:dyDescent="0.3">
      <c r="A464" s="630" t="s">
        <v>387</v>
      </c>
      <c r="B464" s="631"/>
      <c r="C464" s="631"/>
      <c r="D464" s="631"/>
      <c r="E464" s="631"/>
      <c r="F464" s="631"/>
      <c r="G464" s="632"/>
      <c r="H464" s="584" t="s">
        <v>618</v>
      </c>
      <c r="I464" s="585"/>
      <c r="J464" s="585"/>
      <c r="K464" s="585"/>
      <c r="L464" s="585"/>
      <c r="M464" s="585"/>
      <c r="N464" s="585"/>
      <c r="O464" s="585"/>
      <c r="P464" s="585"/>
      <c r="Q464" s="585"/>
      <c r="R464" s="585"/>
      <c r="S464" s="585"/>
      <c r="T464" s="585"/>
      <c r="U464" s="585"/>
      <c r="V464" s="585"/>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c r="AV464" s="585"/>
      <c r="AW464" s="585"/>
      <c r="AX464" s="585"/>
      <c r="AY464" s="585"/>
      <c r="AZ464" s="585"/>
      <c r="BA464" s="585"/>
      <c r="BB464" s="586"/>
      <c r="BC464" s="675">
        <v>1</v>
      </c>
      <c r="BD464" s="676"/>
      <c r="BE464" s="676"/>
      <c r="BF464" s="676"/>
      <c r="BG464" s="676"/>
      <c r="BH464" s="676"/>
      <c r="BI464" s="676"/>
      <c r="BJ464" s="676"/>
      <c r="BK464" s="676"/>
      <c r="BL464" s="676"/>
      <c r="BM464" s="676"/>
      <c r="BN464" s="676"/>
      <c r="BO464" s="676"/>
      <c r="BP464" s="676"/>
      <c r="BQ464" s="676"/>
      <c r="BR464" s="677"/>
      <c r="BS464" s="627">
        <v>20000</v>
      </c>
      <c r="BT464" s="628"/>
      <c r="BU464" s="628"/>
      <c r="BV464" s="628"/>
      <c r="BW464" s="628"/>
      <c r="BX464" s="628"/>
      <c r="BY464" s="628"/>
      <c r="BZ464" s="628"/>
      <c r="CA464" s="628"/>
      <c r="CB464" s="628"/>
      <c r="CC464" s="628"/>
      <c r="CD464" s="628"/>
      <c r="CE464" s="628"/>
      <c r="CF464" s="628"/>
      <c r="CG464" s="628"/>
      <c r="CH464" s="629"/>
      <c r="CI464" s="627">
        <f t="shared" si="7"/>
        <v>20000</v>
      </c>
      <c r="CJ464" s="628"/>
      <c r="CK464" s="628"/>
      <c r="CL464" s="628"/>
      <c r="CM464" s="628"/>
      <c r="CN464" s="628"/>
      <c r="CO464" s="628"/>
      <c r="CP464" s="628"/>
      <c r="CQ464" s="628"/>
      <c r="CR464" s="628"/>
      <c r="CS464" s="628"/>
      <c r="CT464" s="628"/>
      <c r="CU464" s="628"/>
      <c r="CV464" s="628"/>
      <c r="CW464" s="628"/>
      <c r="CX464" s="628"/>
      <c r="CY464" s="628"/>
      <c r="CZ464" s="629"/>
      <c r="DA464" s="214"/>
    </row>
    <row r="465" spans="1:105" s="16" customFormat="1" ht="15" customHeight="1" x14ac:dyDescent="0.3">
      <c r="A465" s="630" t="s">
        <v>624</v>
      </c>
      <c r="B465" s="631"/>
      <c r="C465" s="631"/>
      <c r="D465" s="631"/>
      <c r="E465" s="631"/>
      <c r="F465" s="631"/>
      <c r="G465" s="632"/>
      <c r="H465" s="584" t="s">
        <v>619</v>
      </c>
      <c r="I465" s="585"/>
      <c r="J465" s="585"/>
      <c r="K465" s="585"/>
      <c r="L465" s="585"/>
      <c r="M465" s="585"/>
      <c r="N465" s="585"/>
      <c r="O465" s="585"/>
      <c r="P465" s="585"/>
      <c r="Q465" s="585"/>
      <c r="R465" s="585"/>
      <c r="S465" s="585"/>
      <c r="T465" s="585"/>
      <c r="U465" s="585"/>
      <c r="V465" s="585"/>
      <c r="W465" s="585"/>
      <c r="X465" s="585"/>
      <c r="Y465" s="585"/>
      <c r="Z465" s="585"/>
      <c r="AA465" s="585"/>
      <c r="AB465" s="585"/>
      <c r="AC465" s="585"/>
      <c r="AD465" s="585"/>
      <c r="AE465" s="585"/>
      <c r="AF465" s="585"/>
      <c r="AG465" s="585"/>
      <c r="AH465" s="585"/>
      <c r="AI465" s="585"/>
      <c r="AJ465" s="585"/>
      <c r="AK465" s="585"/>
      <c r="AL465" s="585"/>
      <c r="AM465" s="585"/>
      <c r="AN465" s="585"/>
      <c r="AO465" s="585"/>
      <c r="AP465" s="585"/>
      <c r="AQ465" s="585"/>
      <c r="AR465" s="585"/>
      <c r="AS465" s="585"/>
      <c r="AT465" s="585"/>
      <c r="AU465" s="585"/>
      <c r="AV465" s="585"/>
      <c r="AW465" s="585"/>
      <c r="AX465" s="585"/>
      <c r="AY465" s="585"/>
      <c r="AZ465" s="585"/>
      <c r="BA465" s="585"/>
      <c r="BB465" s="586"/>
      <c r="BC465" s="675">
        <v>1</v>
      </c>
      <c r="BD465" s="676"/>
      <c r="BE465" s="676"/>
      <c r="BF465" s="676"/>
      <c r="BG465" s="676"/>
      <c r="BH465" s="676"/>
      <c r="BI465" s="676"/>
      <c r="BJ465" s="676"/>
      <c r="BK465" s="676"/>
      <c r="BL465" s="676"/>
      <c r="BM465" s="676"/>
      <c r="BN465" s="676"/>
      <c r="BO465" s="676"/>
      <c r="BP465" s="676"/>
      <c r="BQ465" s="676"/>
      <c r="BR465" s="677"/>
      <c r="BS465" s="627">
        <f>10000+6918</f>
        <v>16918</v>
      </c>
      <c r="BT465" s="628"/>
      <c r="BU465" s="628"/>
      <c r="BV465" s="628"/>
      <c r="BW465" s="628"/>
      <c r="BX465" s="628"/>
      <c r="BY465" s="628"/>
      <c r="BZ465" s="628"/>
      <c r="CA465" s="628"/>
      <c r="CB465" s="628"/>
      <c r="CC465" s="628"/>
      <c r="CD465" s="628"/>
      <c r="CE465" s="628"/>
      <c r="CF465" s="628"/>
      <c r="CG465" s="628"/>
      <c r="CH465" s="629"/>
      <c r="CI465" s="627">
        <f t="shared" si="7"/>
        <v>16918</v>
      </c>
      <c r="CJ465" s="628"/>
      <c r="CK465" s="628"/>
      <c r="CL465" s="628"/>
      <c r="CM465" s="628"/>
      <c r="CN465" s="628"/>
      <c r="CO465" s="628"/>
      <c r="CP465" s="628"/>
      <c r="CQ465" s="628"/>
      <c r="CR465" s="628"/>
      <c r="CS465" s="628"/>
      <c r="CT465" s="628"/>
      <c r="CU465" s="628"/>
      <c r="CV465" s="628"/>
      <c r="CW465" s="628"/>
      <c r="CX465" s="628"/>
      <c r="CY465" s="628"/>
      <c r="CZ465" s="629"/>
      <c r="DA465" s="214"/>
    </row>
    <row r="466" spans="1:105" s="16" customFormat="1" ht="15" customHeight="1" x14ac:dyDescent="0.3">
      <c r="A466" s="630" t="s">
        <v>625</v>
      </c>
      <c r="B466" s="631"/>
      <c r="C466" s="631"/>
      <c r="D466" s="631"/>
      <c r="E466" s="631"/>
      <c r="F466" s="631"/>
      <c r="G466" s="632"/>
      <c r="H466" s="584" t="s">
        <v>620</v>
      </c>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5"/>
      <c r="AL466" s="585"/>
      <c r="AM466" s="585"/>
      <c r="AN466" s="585"/>
      <c r="AO466" s="585"/>
      <c r="AP466" s="585"/>
      <c r="AQ466" s="585"/>
      <c r="AR466" s="585"/>
      <c r="AS466" s="585"/>
      <c r="AT466" s="585"/>
      <c r="AU466" s="585"/>
      <c r="AV466" s="585"/>
      <c r="AW466" s="585"/>
      <c r="AX466" s="585"/>
      <c r="AY466" s="585"/>
      <c r="AZ466" s="585"/>
      <c r="BA466" s="585"/>
      <c r="BB466" s="586"/>
      <c r="BC466" s="675">
        <v>20</v>
      </c>
      <c r="BD466" s="676"/>
      <c r="BE466" s="676"/>
      <c r="BF466" s="676"/>
      <c r="BG466" s="676"/>
      <c r="BH466" s="676"/>
      <c r="BI466" s="676"/>
      <c r="BJ466" s="676"/>
      <c r="BK466" s="676"/>
      <c r="BL466" s="676"/>
      <c r="BM466" s="676"/>
      <c r="BN466" s="676"/>
      <c r="BO466" s="676"/>
      <c r="BP466" s="676"/>
      <c r="BQ466" s="676"/>
      <c r="BR466" s="677"/>
      <c r="BS466" s="627">
        <f>CI466/BC466</f>
        <v>2500</v>
      </c>
      <c r="BT466" s="628"/>
      <c r="BU466" s="628"/>
      <c r="BV466" s="628"/>
      <c r="BW466" s="628"/>
      <c r="BX466" s="628"/>
      <c r="BY466" s="628"/>
      <c r="BZ466" s="628"/>
      <c r="CA466" s="628"/>
      <c r="CB466" s="628"/>
      <c r="CC466" s="628"/>
      <c r="CD466" s="628"/>
      <c r="CE466" s="628"/>
      <c r="CF466" s="628"/>
      <c r="CG466" s="628"/>
      <c r="CH466" s="629"/>
      <c r="CI466" s="627">
        <v>50000</v>
      </c>
      <c r="CJ466" s="628"/>
      <c r="CK466" s="628"/>
      <c r="CL466" s="628"/>
      <c r="CM466" s="628"/>
      <c r="CN466" s="628"/>
      <c r="CO466" s="628"/>
      <c r="CP466" s="628"/>
      <c r="CQ466" s="628"/>
      <c r="CR466" s="628"/>
      <c r="CS466" s="628"/>
      <c r="CT466" s="628"/>
      <c r="CU466" s="628"/>
      <c r="CV466" s="628"/>
      <c r="CW466" s="628"/>
      <c r="CX466" s="628"/>
      <c r="CY466" s="628"/>
      <c r="CZ466" s="629"/>
      <c r="DA466" s="214"/>
    </row>
    <row r="467" spans="1:105" s="16" customFormat="1" ht="15" customHeight="1" x14ac:dyDescent="0.3">
      <c r="A467" s="630" t="s">
        <v>388</v>
      </c>
      <c r="B467" s="631"/>
      <c r="C467" s="631"/>
      <c r="D467" s="631"/>
      <c r="E467" s="631"/>
      <c r="F467" s="631"/>
      <c r="G467" s="632"/>
      <c r="H467" s="584" t="s">
        <v>827</v>
      </c>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5"/>
      <c r="AL467" s="585"/>
      <c r="AM467" s="585"/>
      <c r="AN467" s="585"/>
      <c r="AO467" s="585"/>
      <c r="AP467" s="585"/>
      <c r="AQ467" s="585"/>
      <c r="AR467" s="585"/>
      <c r="AS467" s="585"/>
      <c r="AT467" s="585"/>
      <c r="AU467" s="585"/>
      <c r="AV467" s="585"/>
      <c r="AW467" s="585"/>
      <c r="AX467" s="585"/>
      <c r="AY467" s="585"/>
      <c r="AZ467" s="585"/>
      <c r="BA467" s="585"/>
      <c r="BB467" s="586"/>
      <c r="BC467" s="675">
        <v>1</v>
      </c>
      <c r="BD467" s="676"/>
      <c r="BE467" s="676"/>
      <c r="BF467" s="676"/>
      <c r="BG467" s="676"/>
      <c r="BH467" s="676"/>
      <c r="BI467" s="676"/>
      <c r="BJ467" s="676"/>
      <c r="BK467" s="676"/>
      <c r="BL467" s="676"/>
      <c r="BM467" s="676"/>
      <c r="BN467" s="676"/>
      <c r="BO467" s="676"/>
      <c r="BP467" s="676"/>
      <c r="BQ467" s="676"/>
      <c r="BR467" s="677"/>
      <c r="BS467" s="627">
        <v>59000</v>
      </c>
      <c r="BT467" s="628"/>
      <c r="BU467" s="628"/>
      <c r="BV467" s="628"/>
      <c r="BW467" s="628"/>
      <c r="BX467" s="628"/>
      <c r="BY467" s="628"/>
      <c r="BZ467" s="628"/>
      <c r="CA467" s="628"/>
      <c r="CB467" s="628"/>
      <c r="CC467" s="628"/>
      <c r="CD467" s="628"/>
      <c r="CE467" s="628"/>
      <c r="CF467" s="628"/>
      <c r="CG467" s="628"/>
      <c r="CH467" s="629"/>
      <c r="CI467" s="627">
        <f t="shared" si="7"/>
        <v>59000</v>
      </c>
      <c r="CJ467" s="628"/>
      <c r="CK467" s="628"/>
      <c r="CL467" s="628"/>
      <c r="CM467" s="628"/>
      <c r="CN467" s="628"/>
      <c r="CO467" s="628"/>
      <c r="CP467" s="628"/>
      <c r="CQ467" s="628"/>
      <c r="CR467" s="628"/>
      <c r="CS467" s="628"/>
      <c r="CT467" s="628"/>
      <c r="CU467" s="628"/>
      <c r="CV467" s="628"/>
      <c r="CW467" s="628"/>
      <c r="CX467" s="628"/>
      <c r="CY467" s="628"/>
      <c r="CZ467" s="629"/>
      <c r="DA467" s="214"/>
    </row>
    <row r="468" spans="1:105" s="16" customFormat="1" ht="15" customHeight="1" x14ac:dyDescent="0.3">
      <c r="A468" s="630" t="s">
        <v>629</v>
      </c>
      <c r="B468" s="631"/>
      <c r="C468" s="631"/>
      <c r="D468" s="631"/>
      <c r="E468" s="631"/>
      <c r="F468" s="631"/>
      <c r="G468" s="632"/>
      <c r="H468" s="584" t="s">
        <v>962</v>
      </c>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5"/>
      <c r="AL468" s="585"/>
      <c r="AM468" s="585"/>
      <c r="AN468" s="585"/>
      <c r="AO468" s="585"/>
      <c r="AP468" s="585"/>
      <c r="AQ468" s="585"/>
      <c r="AR468" s="585"/>
      <c r="AS468" s="585"/>
      <c r="AT468" s="585"/>
      <c r="AU468" s="585"/>
      <c r="AV468" s="585"/>
      <c r="AW468" s="585"/>
      <c r="AX468" s="585"/>
      <c r="AY468" s="585"/>
      <c r="AZ468" s="585"/>
      <c r="BA468" s="585"/>
      <c r="BB468" s="586"/>
      <c r="BC468" s="675">
        <v>1</v>
      </c>
      <c r="BD468" s="676"/>
      <c r="BE468" s="676"/>
      <c r="BF468" s="676"/>
      <c r="BG468" s="676"/>
      <c r="BH468" s="676"/>
      <c r="BI468" s="676"/>
      <c r="BJ468" s="676"/>
      <c r="BK468" s="676"/>
      <c r="BL468" s="676"/>
      <c r="BM468" s="676"/>
      <c r="BN468" s="676"/>
      <c r="BO468" s="676"/>
      <c r="BP468" s="676"/>
      <c r="BQ468" s="676"/>
      <c r="BR468" s="677"/>
      <c r="BS468" s="627">
        <v>40000</v>
      </c>
      <c r="BT468" s="628"/>
      <c r="BU468" s="628"/>
      <c r="BV468" s="628"/>
      <c r="BW468" s="628"/>
      <c r="BX468" s="628"/>
      <c r="BY468" s="628"/>
      <c r="BZ468" s="628"/>
      <c r="CA468" s="628"/>
      <c r="CB468" s="628"/>
      <c r="CC468" s="628"/>
      <c r="CD468" s="628"/>
      <c r="CE468" s="628"/>
      <c r="CF468" s="628"/>
      <c r="CG468" s="628"/>
      <c r="CH468" s="629"/>
      <c r="CI468" s="627">
        <f t="shared" si="7"/>
        <v>40000</v>
      </c>
      <c r="CJ468" s="628"/>
      <c r="CK468" s="628"/>
      <c r="CL468" s="628"/>
      <c r="CM468" s="628"/>
      <c r="CN468" s="628"/>
      <c r="CO468" s="628"/>
      <c r="CP468" s="628"/>
      <c r="CQ468" s="628"/>
      <c r="CR468" s="628"/>
      <c r="CS468" s="628"/>
      <c r="CT468" s="628"/>
      <c r="CU468" s="628"/>
      <c r="CV468" s="628"/>
      <c r="CW468" s="628"/>
      <c r="CX468" s="628"/>
      <c r="CY468" s="628"/>
      <c r="CZ468" s="629"/>
      <c r="DA468" s="214"/>
    </row>
    <row r="469" spans="1:105" s="16" customFormat="1" ht="15" customHeight="1" x14ac:dyDescent="0.3">
      <c r="A469" s="630" t="s">
        <v>631</v>
      </c>
      <c r="B469" s="631"/>
      <c r="C469" s="631"/>
      <c r="D469" s="631"/>
      <c r="E469" s="631"/>
      <c r="F469" s="631"/>
      <c r="G469" s="632"/>
      <c r="H469" s="584" t="s">
        <v>965</v>
      </c>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5"/>
      <c r="AL469" s="585"/>
      <c r="AM469" s="585"/>
      <c r="AN469" s="585"/>
      <c r="AO469" s="585"/>
      <c r="AP469" s="585"/>
      <c r="AQ469" s="585"/>
      <c r="AR469" s="585"/>
      <c r="AS469" s="585"/>
      <c r="AT469" s="585"/>
      <c r="AU469" s="585"/>
      <c r="AV469" s="585"/>
      <c r="AW469" s="585"/>
      <c r="AX469" s="585"/>
      <c r="AY469" s="585"/>
      <c r="AZ469" s="585"/>
      <c r="BA469" s="585"/>
      <c r="BB469" s="586"/>
      <c r="BC469" s="675">
        <v>1</v>
      </c>
      <c r="BD469" s="676"/>
      <c r="BE469" s="676"/>
      <c r="BF469" s="676"/>
      <c r="BG469" s="676"/>
      <c r="BH469" s="676"/>
      <c r="BI469" s="676"/>
      <c r="BJ469" s="676"/>
      <c r="BK469" s="676"/>
      <c r="BL469" s="676"/>
      <c r="BM469" s="676"/>
      <c r="BN469" s="676"/>
      <c r="BO469" s="676"/>
      <c r="BP469" s="676"/>
      <c r="BQ469" s="676"/>
      <c r="BR469" s="677"/>
      <c r="BS469" s="627">
        <v>30000</v>
      </c>
      <c r="BT469" s="628"/>
      <c r="BU469" s="628"/>
      <c r="BV469" s="628"/>
      <c r="BW469" s="628"/>
      <c r="BX469" s="628"/>
      <c r="BY469" s="628"/>
      <c r="BZ469" s="628"/>
      <c r="CA469" s="628"/>
      <c r="CB469" s="628"/>
      <c r="CC469" s="628"/>
      <c r="CD469" s="628"/>
      <c r="CE469" s="628"/>
      <c r="CF469" s="628"/>
      <c r="CG469" s="628"/>
      <c r="CH469" s="629"/>
      <c r="CI469" s="627">
        <f t="shared" si="7"/>
        <v>30000</v>
      </c>
      <c r="CJ469" s="628"/>
      <c r="CK469" s="628"/>
      <c r="CL469" s="628"/>
      <c r="CM469" s="628"/>
      <c r="CN469" s="628"/>
      <c r="CO469" s="628"/>
      <c r="CP469" s="628"/>
      <c r="CQ469" s="628"/>
      <c r="CR469" s="628"/>
      <c r="CS469" s="628"/>
      <c r="CT469" s="628"/>
      <c r="CU469" s="628"/>
      <c r="CV469" s="628"/>
      <c r="CW469" s="628"/>
      <c r="CX469" s="628"/>
      <c r="CY469" s="628"/>
      <c r="CZ469" s="629"/>
      <c r="DA469" s="214"/>
    </row>
    <row r="470" spans="1:105" s="16" customFormat="1" ht="15" hidden="1" customHeight="1" x14ac:dyDescent="0.3">
      <c r="A470" s="630" t="s">
        <v>830</v>
      </c>
      <c r="B470" s="631"/>
      <c r="C470" s="631"/>
      <c r="D470" s="631"/>
      <c r="E470" s="631"/>
      <c r="F470" s="631"/>
      <c r="G470" s="632"/>
      <c r="H470" s="584" t="s">
        <v>828</v>
      </c>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5"/>
      <c r="AL470" s="585"/>
      <c r="AM470" s="585"/>
      <c r="AN470" s="585"/>
      <c r="AO470" s="585"/>
      <c r="AP470" s="585"/>
      <c r="AQ470" s="585"/>
      <c r="AR470" s="585"/>
      <c r="AS470" s="585"/>
      <c r="AT470" s="585"/>
      <c r="AU470" s="585"/>
      <c r="AV470" s="585"/>
      <c r="AW470" s="585"/>
      <c r="AX470" s="585"/>
      <c r="AY470" s="585"/>
      <c r="AZ470" s="585"/>
      <c r="BA470" s="585"/>
      <c r="BB470" s="586"/>
      <c r="BC470" s="675">
        <v>1</v>
      </c>
      <c r="BD470" s="676"/>
      <c r="BE470" s="676"/>
      <c r="BF470" s="676"/>
      <c r="BG470" s="676"/>
      <c r="BH470" s="676"/>
      <c r="BI470" s="676"/>
      <c r="BJ470" s="676"/>
      <c r="BK470" s="676"/>
      <c r="BL470" s="676"/>
      <c r="BM470" s="676"/>
      <c r="BN470" s="676"/>
      <c r="BO470" s="676"/>
      <c r="BP470" s="676"/>
      <c r="BQ470" s="676"/>
      <c r="BR470" s="677"/>
      <c r="BS470" s="627"/>
      <c r="BT470" s="628"/>
      <c r="BU470" s="628"/>
      <c r="BV470" s="628"/>
      <c r="BW470" s="628"/>
      <c r="BX470" s="628"/>
      <c r="BY470" s="628"/>
      <c r="BZ470" s="628"/>
      <c r="CA470" s="628"/>
      <c r="CB470" s="628"/>
      <c r="CC470" s="628"/>
      <c r="CD470" s="628"/>
      <c r="CE470" s="628"/>
      <c r="CF470" s="628"/>
      <c r="CG470" s="628"/>
      <c r="CH470" s="629"/>
      <c r="CI470" s="627">
        <f t="shared" si="7"/>
        <v>0</v>
      </c>
      <c r="CJ470" s="628"/>
      <c r="CK470" s="628"/>
      <c r="CL470" s="628"/>
      <c r="CM470" s="628"/>
      <c r="CN470" s="628"/>
      <c r="CO470" s="628"/>
      <c r="CP470" s="628"/>
      <c r="CQ470" s="628"/>
      <c r="CR470" s="628"/>
      <c r="CS470" s="628"/>
      <c r="CT470" s="628"/>
      <c r="CU470" s="628"/>
      <c r="CV470" s="628"/>
      <c r="CW470" s="628"/>
      <c r="CX470" s="628"/>
      <c r="CY470" s="628"/>
      <c r="CZ470" s="629"/>
      <c r="DA470" s="214"/>
    </row>
    <row r="471" spans="1:105" s="16" customFormat="1" ht="25.5" customHeight="1" x14ac:dyDescent="0.3">
      <c r="A471" s="630" t="s">
        <v>1007</v>
      </c>
      <c r="B471" s="631"/>
      <c r="C471" s="631"/>
      <c r="D471" s="631"/>
      <c r="E471" s="631"/>
      <c r="F471" s="631"/>
      <c r="G471" s="632"/>
      <c r="H471" s="584" t="s">
        <v>964</v>
      </c>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5"/>
      <c r="AL471" s="585"/>
      <c r="AM471" s="585"/>
      <c r="AN471" s="585"/>
      <c r="AO471" s="585"/>
      <c r="AP471" s="585"/>
      <c r="AQ471" s="585"/>
      <c r="AR471" s="585"/>
      <c r="AS471" s="585"/>
      <c r="AT471" s="585"/>
      <c r="AU471" s="585"/>
      <c r="AV471" s="585"/>
      <c r="AW471" s="585"/>
      <c r="AX471" s="585"/>
      <c r="AY471" s="585"/>
      <c r="AZ471" s="585"/>
      <c r="BA471" s="585"/>
      <c r="BB471" s="586"/>
      <c r="BC471" s="675">
        <v>1</v>
      </c>
      <c r="BD471" s="676"/>
      <c r="BE471" s="676"/>
      <c r="BF471" s="676"/>
      <c r="BG471" s="676"/>
      <c r="BH471" s="676"/>
      <c r="BI471" s="676"/>
      <c r="BJ471" s="676"/>
      <c r="BK471" s="676"/>
      <c r="BL471" s="676"/>
      <c r="BM471" s="676"/>
      <c r="BN471" s="676"/>
      <c r="BO471" s="676"/>
      <c r="BP471" s="676"/>
      <c r="BQ471" s="676"/>
      <c r="BR471" s="677"/>
      <c r="BS471" s="627">
        <v>38000</v>
      </c>
      <c r="BT471" s="628"/>
      <c r="BU471" s="628"/>
      <c r="BV471" s="628"/>
      <c r="BW471" s="628"/>
      <c r="BX471" s="628"/>
      <c r="BY471" s="628"/>
      <c r="BZ471" s="628"/>
      <c r="CA471" s="628"/>
      <c r="CB471" s="628"/>
      <c r="CC471" s="628"/>
      <c r="CD471" s="628"/>
      <c r="CE471" s="628"/>
      <c r="CF471" s="628"/>
      <c r="CG471" s="628"/>
      <c r="CH471" s="629"/>
      <c r="CI471" s="627">
        <f t="shared" si="7"/>
        <v>38000</v>
      </c>
      <c r="CJ471" s="628"/>
      <c r="CK471" s="628"/>
      <c r="CL471" s="628"/>
      <c r="CM471" s="628"/>
      <c r="CN471" s="628"/>
      <c r="CO471" s="628"/>
      <c r="CP471" s="628"/>
      <c r="CQ471" s="628"/>
      <c r="CR471" s="628"/>
      <c r="CS471" s="628"/>
      <c r="CT471" s="628"/>
      <c r="CU471" s="628"/>
      <c r="CV471" s="628"/>
      <c r="CW471" s="628"/>
      <c r="CX471" s="628"/>
      <c r="CY471" s="628"/>
      <c r="CZ471" s="629"/>
      <c r="DA471" s="214"/>
    </row>
    <row r="472" spans="1:105" s="16" customFormat="1" ht="15" customHeight="1" x14ac:dyDescent="0.3">
      <c r="A472" s="630" t="s">
        <v>626</v>
      </c>
      <c r="B472" s="631"/>
      <c r="C472" s="631"/>
      <c r="D472" s="631"/>
      <c r="E472" s="631"/>
      <c r="F472" s="631"/>
      <c r="G472" s="632"/>
      <c r="H472" s="584" t="s">
        <v>834</v>
      </c>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5"/>
      <c r="AL472" s="585"/>
      <c r="AM472" s="585"/>
      <c r="AN472" s="585"/>
      <c r="AO472" s="585"/>
      <c r="AP472" s="585"/>
      <c r="AQ472" s="585"/>
      <c r="AR472" s="585"/>
      <c r="AS472" s="585"/>
      <c r="AT472" s="585"/>
      <c r="AU472" s="585"/>
      <c r="AV472" s="585"/>
      <c r="AW472" s="585"/>
      <c r="AX472" s="585"/>
      <c r="AY472" s="585"/>
      <c r="AZ472" s="585"/>
      <c r="BA472" s="585"/>
      <c r="BB472" s="586"/>
      <c r="BC472" s="675">
        <v>1</v>
      </c>
      <c r="BD472" s="676"/>
      <c r="BE472" s="676"/>
      <c r="BF472" s="676"/>
      <c r="BG472" s="676"/>
      <c r="BH472" s="676"/>
      <c r="BI472" s="676"/>
      <c r="BJ472" s="676"/>
      <c r="BK472" s="676"/>
      <c r="BL472" s="676"/>
      <c r="BM472" s="676"/>
      <c r="BN472" s="676"/>
      <c r="BO472" s="676"/>
      <c r="BP472" s="676"/>
      <c r="BQ472" s="676"/>
      <c r="BR472" s="677"/>
      <c r="BS472" s="627">
        <v>35000</v>
      </c>
      <c r="BT472" s="628"/>
      <c r="BU472" s="628"/>
      <c r="BV472" s="628"/>
      <c r="BW472" s="628"/>
      <c r="BX472" s="628"/>
      <c r="BY472" s="628"/>
      <c r="BZ472" s="628"/>
      <c r="CA472" s="628"/>
      <c r="CB472" s="628"/>
      <c r="CC472" s="628"/>
      <c r="CD472" s="628"/>
      <c r="CE472" s="628"/>
      <c r="CF472" s="628"/>
      <c r="CG472" s="628"/>
      <c r="CH472" s="629"/>
      <c r="CI472" s="627">
        <f t="shared" si="7"/>
        <v>35000</v>
      </c>
      <c r="CJ472" s="628"/>
      <c r="CK472" s="628"/>
      <c r="CL472" s="628"/>
      <c r="CM472" s="628"/>
      <c r="CN472" s="628"/>
      <c r="CO472" s="628"/>
      <c r="CP472" s="628"/>
      <c r="CQ472" s="628"/>
      <c r="CR472" s="628"/>
      <c r="CS472" s="628"/>
      <c r="CT472" s="628"/>
      <c r="CU472" s="628"/>
      <c r="CV472" s="628"/>
      <c r="CW472" s="628"/>
      <c r="CX472" s="628"/>
      <c r="CY472" s="628"/>
      <c r="CZ472" s="629"/>
      <c r="DA472" s="214"/>
    </row>
    <row r="473" spans="1:105" s="16" customFormat="1" ht="25.5" hidden="1" customHeight="1" x14ac:dyDescent="0.3">
      <c r="A473" s="630" t="s">
        <v>628</v>
      </c>
      <c r="B473" s="631"/>
      <c r="C473" s="631"/>
      <c r="D473" s="631"/>
      <c r="E473" s="631"/>
      <c r="F473" s="631"/>
      <c r="G473" s="632"/>
      <c r="H473" s="584" t="s">
        <v>627</v>
      </c>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5"/>
      <c r="AL473" s="585"/>
      <c r="AM473" s="585"/>
      <c r="AN473" s="585"/>
      <c r="AO473" s="585"/>
      <c r="AP473" s="585"/>
      <c r="AQ473" s="585"/>
      <c r="AR473" s="585"/>
      <c r="AS473" s="585"/>
      <c r="AT473" s="585"/>
      <c r="AU473" s="585"/>
      <c r="AV473" s="585"/>
      <c r="AW473" s="585"/>
      <c r="AX473" s="585"/>
      <c r="AY473" s="585"/>
      <c r="AZ473" s="585"/>
      <c r="BA473" s="585"/>
      <c r="BB473" s="586"/>
      <c r="BC473" s="675">
        <v>1</v>
      </c>
      <c r="BD473" s="676"/>
      <c r="BE473" s="676"/>
      <c r="BF473" s="676"/>
      <c r="BG473" s="676"/>
      <c r="BH473" s="676"/>
      <c r="BI473" s="676"/>
      <c r="BJ473" s="676"/>
      <c r="BK473" s="676"/>
      <c r="BL473" s="676"/>
      <c r="BM473" s="676"/>
      <c r="BN473" s="676"/>
      <c r="BO473" s="676"/>
      <c r="BP473" s="676"/>
      <c r="BQ473" s="676"/>
      <c r="BR473" s="677"/>
      <c r="BS473" s="627"/>
      <c r="BT473" s="628"/>
      <c r="BU473" s="628"/>
      <c r="BV473" s="628"/>
      <c r="BW473" s="628"/>
      <c r="BX473" s="628"/>
      <c r="BY473" s="628"/>
      <c r="BZ473" s="628"/>
      <c r="CA473" s="628"/>
      <c r="CB473" s="628"/>
      <c r="CC473" s="628"/>
      <c r="CD473" s="628"/>
      <c r="CE473" s="628"/>
      <c r="CF473" s="628"/>
      <c r="CG473" s="628"/>
      <c r="CH473" s="629"/>
      <c r="CI473" s="627">
        <f t="shared" si="7"/>
        <v>0</v>
      </c>
      <c r="CJ473" s="628"/>
      <c r="CK473" s="628"/>
      <c r="CL473" s="628"/>
      <c r="CM473" s="628"/>
      <c r="CN473" s="628"/>
      <c r="CO473" s="628"/>
      <c r="CP473" s="628"/>
      <c r="CQ473" s="628"/>
      <c r="CR473" s="628"/>
      <c r="CS473" s="628"/>
      <c r="CT473" s="628"/>
      <c r="CU473" s="628"/>
      <c r="CV473" s="628"/>
      <c r="CW473" s="628"/>
      <c r="CX473" s="628"/>
      <c r="CY473" s="628"/>
      <c r="CZ473" s="629"/>
      <c r="DA473" s="214"/>
    </row>
    <row r="474" spans="1:105" s="16" customFormat="1" ht="18" customHeight="1" x14ac:dyDescent="0.3">
      <c r="A474" s="630" t="s">
        <v>1008</v>
      </c>
      <c r="B474" s="631"/>
      <c r="C474" s="631"/>
      <c r="D474" s="631"/>
      <c r="E474" s="631"/>
      <c r="F474" s="631"/>
      <c r="G474" s="632"/>
      <c r="H474" s="584" t="s">
        <v>966</v>
      </c>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5"/>
      <c r="AL474" s="585"/>
      <c r="AM474" s="585"/>
      <c r="AN474" s="585"/>
      <c r="AO474" s="585"/>
      <c r="AP474" s="585"/>
      <c r="AQ474" s="585"/>
      <c r="AR474" s="585"/>
      <c r="AS474" s="585"/>
      <c r="AT474" s="585"/>
      <c r="AU474" s="585"/>
      <c r="AV474" s="585"/>
      <c r="AW474" s="585"/>
      <c r="AX474" s="585"/>
      <c r="AY474" s="585"/>
      <c r="AZ474" s="585"/>
      <c r="BA474" s="585"/>
      <c r="BB474" s="586"/>
      <c r="BC474" s="675">
        <v>1</v>
      </c>
      <c r="BD474" s="676"/>
      <c r="BE474" s="676"/>
      <c r="BF474" s="676"/>
      <c r="BG474" s="676"/>
      <c r="BH474" s="676"/>
      <c r="BI474" s="676"/>
      <c r="BJ474" s="676"/>
      <c r="BK474" s="676"/>
      <c r="BL474" s="676"/>
      <c r="BM474" s="676"/>
      <c r="BN474" s="676"/>
      <c r="BO474" s="676"/>
      <c r="BP474" s="676"/>
      <c r="BQ474" s="676"/>
      <c r="BR474" s="677"/>
      <c r="BS474" s="627">
        <f>98013.57+20744.48</f>
        <v>118758.05</v>
      </c>
      <c r="BT474" s="628"/>
      <c r="BU474" s="628"/>
      <c r="BV474" s="628"/>
      <c r="BW474" s="628"/>
      <c r="BX474" s="628"/>
      <c r="BY474" s="628"/>
      <c r="BZ474" s="628"/>
      <c r="CA474" s="628"/>
      <c r="CB474" s="628"/>
      <c r="CC474" s="628"/>
      <c r="CD474" s="628"/>
      <c r="CE474" s="628"/>
      <c r="CF474" s="628"/>
      <c r="CG474" s="628"/>
      <c r="CH474" s="629"/>
      <c r="CI474" s="627">
        <f t="shared" si="7"/>
        <v>118758.05</v>
      </c>
      <c r="CJ474" s="628"/>
      <c r="CK474" s="628"/>
      <c r="CL474" s="628"/>
      <c r="CM474" s="628"/>
      <c r="CN474" s="628"/>
      <c r="CO474" s="628"/>
      <c r="CP474" s="628"/>
      <c r="CQ474" s="628"/>
      <c r="CR474" s="628"/>
      <c r="CS474" s="628"/>
      <c r="CT474" s="628"/>
      <c r="CU474" s="628"/>
      <c r="CV474" s="628"/>
      <c r="CW474" s="628"/>
      <c r="CX474" s="628"/>
      <c r="CY474" s="628"/>
      <c r="CZ474" s="629"/>
      <c r="DA474" s="214"/>
    </row>
    <row r="475" spans="1:105" s="16" customFormat="1" ht="18" customHeight="1" x14ac:dyDescent="0.3">
      <c r="A475" s="630" t="s">
        <v>1009</v>
      </c>
      <c r="B475" s="631"/>
      <c r="C475" s="631"/>
      <c r="D475" s="631"/>
      <c r="E475" s="631"/>
      <c r="F475" s="631"/>
      <c r="G475" s="632"/>
      <c r="H475" s="584" t="s">
        <v>829</v>
      </c>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5"/>
      <c r="AL475" s="585"/>
      <c r="AM475" s="585"/>
      <c r="AN475" s="585"/>
      <c r="AO475" s="585"/>
      <c r="AP475" s="585"/>
      <c r="AQ475" s="585"/>
      <c r="AR475" s="585"/>
      <c r="AS475" s="585"/>
      <c r="AT475" s="585"/>
      <c r="AU475" s="585"/>
      <c r="AV475" s="585"/>
      <c r="AW475" s="585"/>
      <c r="AX475" s="585"/>
      <c r="AY475" s="585"/>
      <c r="AZ475" s="585"/>
      <c r="BA475" s="585"/>
      <c r="BB475" s="586"/>
      <c r="BC475" s="675">
        <v>1</v>
      </c>
      <c r="BD475" s="676"/>
      <c r="BE475" s="676"/>
      <c r="BF475" s="676"/>
      <c r="BG475" s="676"/>
      <c r="BH475" s="676"/>
      <c r="BI475" s="676"/>
      <c r="BJ475" s="676"/>
      <c r="BK475" s="676"/>
      <c r="BL475" s="676"/>
      <c r="BM475" s="676"/>
      <c r="BN475" s="676"/>
      <c r="BO475" s="676"/>
      <c r="BP475" s="676"/>
      <c r="BQ475" s="676"/>
      <c r="BR475" s="677"/>
      <c r="BS475" s="627">
        <v>40000</v>
      </c>
      <c r="BT475" s="628"/>
      <c r="BU475" s="628"/>
      <c r="BV475" s="628"/>
      <c r="BW475" s="628"/>
      <c r="BX475" s="628"/>
      <c r="BY475" s="628"/>
      <c r="BZ475" s="628"/>
      <c r="CA475" s="628"/>
      <c r="CB475" s="628"/>
      <c r="CC475" s="628"/>
      <c r="CD475" s="628"/>
      <c r="CE475" s="628"/>
      <c r="CF475" s="628"/>
      <c r="CG475" s="628"/>
      <c r="CH475" s="629"/>
      <c r="CI475" s="627">
        <f t="shared" si="7"/>
        <v>40000</v>
      </c>
      <c r="CJ475" s="628"/>
      <c r="CK475" s="628"/>
      <c r="CL475" s="628"/>
      <c r="CM475" s="628"/>
      <c r="CN475" s="628"/>
      <c r="CO475" s="628"/>
      <c r="CP475" s="628"/>
      <c r="CQ475" s="628"/>
      <c r="CR475" s="628"/>
      <c r="CS475" s="628"/>
      <c r="CT475" s="628"/>
      <c r="CU475" s="628"/>
      <c r="CV475" s="628"/>
      <c r="CW475" s="628"/>
      <c r="CX475" s="628"/>
      <c r="CY475" s="628"/>
      <c r="CZ475" s="629"/>
      <c r="DA475" s="214"/>
    </row>
    <row r="476" spans="1:105" s="16" customFormat="1" ht="15" customHeight="1" x14ac:dyDescent="0.3">
      <c r="A476" s="630" t="s">
        <v>1010</v>
      </c>
      <c r="B476" s="631"/>
      <c r="C476" s="631"/>
      <c r="D476" s="631"/>
      <c r="E476" s="631"/>
      <c r="F476" s="631"/>
      <c r="G476" s="632"/>
      <c r="H476" s="584" t="s">
        <v>630</v>
      </c>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c r="AV476" s="585"/>
      <c r="AW476" s="585"/>
      <c r="AX476" s="585"/>
      <c r="AY476" s="585"/>
      <c r="AZ476" s="585"/>
      <c r="BA476" s="585"/>
      <c r="BB476" s="586"/>
      <c r="BC476" s="675">
        <v>1</v>
      </c>
      <c r="BD476" s="676"/>
      <c r="BE476" s="676"/>
      <c r="BF476" s="676"/>
      <c r="BG476" s="676"/>
      <c r="BH476" s="676"/>
      <c r="BI476" s="676"/>
      <c r="BJ476" s="676"/>
      <c r="BK476" s="676"/>
      <c r="BL476" s="676"/>
      <c r="BM476" s="676"/>
      <c r="BN476" s="676"/>
      <c r="BO476" s="676"/>
      <c r="BP476" s="676"/>
      <c r="BQ476" s="676"/>
      <c r="BR476" s="677"/>
      <c r="BS476" s="627">
        <v>15000</v>
      </c>
      <c r="BT476" s="628"/>
      <c r="BU476" s="628"/>
      <c r="BV476" s="628"/>
      <c r="BW476" s="628"/>
      <c r="BX476" s="628"/>
      <c r="BY476" s="628"/>
      <c r="BZ476" s="628"/>
      <c r="CA476" s="628"/>
      <c r="CB476" s="628"/>
      <c r="CC476" s="628"/>
      <c r="CD476" s="628"/>
      <c r="CE476" s="628"/>
      <c r="CF476" s="628"/>
      <c r="CG476" s="628"/>
      <c r="CH476" s="629"/>
      <c r="CI476" s="627">
        <f t="shared" si="7"/>
        <v>15000</v>
      </c>
      <c r="CJ476" s="628"/>
      <c r="CK476" s="628"/>
      <c r="CL476" s="628"/>
      <c r="CM476" s="628"/>
      <c r="CN476" s="628"/>
      <c r="CO476" s="628"/>
      <c r="CP476" s="628"/>
      <c r="CQ476" s="628"/>
      <c r="CR476" s="628"/>
      <c r="CS476" s="628"/>
      <c r="CT476" s="628"/>
      <c r="CU476" s="628"/>
      <c r="CV476" s="628"/>
      <c r="CW476" s="628"/>
      <c r="CX476" s="628"/>
      <c r="CY476" s="628"/>
      <c r="CZ476" s="629"/>
      <c r="DA476" s="214"/>
    </row>
    <row r="477" spans="1:105" s="16" customFormat="1" ht="21" hidden="1" customHeight="1" x14ac:dyDescent="0.3">
      <c r="A477" s="630" t="s">
        <v>1011</v>
      </c>
      <c r="B477" s="631"/>
      <c r="C477" s="631"/>
      <c r="D477" s="631"/>
      <c r="E477" s="631"/>
      <c r="F477" s="631"/>
      <c r="G477" s="632"/>
      <c r="H477" s="584" t="s">
        <v>632</v>
      </c>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5"/>
      <c r="AL477" s="585"/>
      <c r="AM477" s="585"/>
      <c r="AN477" s="585"/>
      <c r="AO477" s="585"/>
      <c r="AP477" s="585"/>
      <c r="AQ477" s="585"/>
      <c r="AR477" s="585"/>
      <c r="AS477" s="585"/>
      <c r="AT477" s="585"/>
      <c r="AU477" s="585"/>
      <c r="AV477" s="585"/>
      <c r="AW477" s="585"/>
      <c r="AX477" s="585"/>
      <c r="AY477" s="585"/>
      <c r="AZ477" s="585"/>
      <c r="BA477" s="585"/>
      <c r="BB477" s="586"/>
      <c r="BC477" s="675">
        <v>1</v>
      </c>
      <c r="BD477" s="676"/>
      <c r="BE477" s="676"/>
      <c r="BF477" s="676"/>
      <c r="BG477" s="676"/>
      <c r="BH477" s="676"/>
      <c r="BI477" s="676"/>
      <c r="BJ477" s="676"/>
      <c r="BK477" s="676"/>
      <c r="BL477" s="676"/>
      <c r="BM477" s="676"/>
      <c r="BN477" s="676"/>
      <c r="BO477" s="676"/>
      <c r="BP477" s="676"/>
      <c r="BQ477" s="676"/>
      <c r="BR477" s="677"/>
      <c r="BS477" s="627"/>
      <c r="BT477" s="628"/>
      <c r="BU477" s="628"/>
      <c r="BV477" s="628"/>
      <c r="BW477" s="628"/>
      <c r="BX477" s="628"/>
      <c r="BY477" s="628"/>
      <c r="BZ477" s="628"/>
      <c r="CA477" s="628"/>
      <c r="CB477" s="628"/>
      <c r="CC477" s="628"/>
      <c r="CD477" s="628"/>
      <c r="CE477" s="628"/>
      <c r="CF477" s="628"/>
      <c r="CG477" s="628"/>
      <c r="CH477" s="629"/>
      <c r="CI477" s="627">
        <f t="shared" si="7"/>
        <v>0</v>
      </c>
      <c r="CJ477" s="628"/>
      <c r="CK477" s="628"/>
      <c r="CL477" s="628"/>
      <c r="CM477" s="628"/>
      <c r="CN477" s="628"/>
      <c r="CO477" s="628"/>
      <c r="CP477" s="628"/>
      <c r="CQ477" s="628"/>
      <c r="CR477" s="628"/>
      <c r="CS477" s="628"/>
      <c r="CT477" s="628"/>
      <c r="CU477" s="628"/>
      <c r="CV477" s="628"/>
      <c r="CW477" s="628"/>
      <c r="CX477" s="628"/>
      <c r="CY477" s="628"/>
      <c r="CZ477" s="629"/>
      <c r="DA477" s="214"/>
    </row>
    <row r="478" spans="1:105" s="16" customFormat="1" ht="26.25" hidden="1" customHeight="1" x14ac:dyDescent="0.3">
      <c r="A478" s="630" t="s">
        <v>1012</v>
      </c>
      <c r="B478" s="631"/>
      <c r="C478" s="631"/>
      <c r="D478" s="631"/>
      <c r="E478" s="631"/>
      <c r="F478" s="631"/>
      <c r="G478" s="632"/>
      <c r="H478" s="584" t="s">
        <v>633</v>
      </c>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5"/>
      <c r="AL478" s="585"/>
      <c r="AM478" s="585"/>
      <c r="AN478" s="585"/>
      <c r="AO478" s="585"/>
      <c r="AP478" s="585"/>
      <c r="AQ478" s="585"/>
      <c r="AR478" s="585"/>
      <c r="AS478" s="585"/>
      <c r="AT478" s="585"/>
      <c r="AU478" s="585"/>
      <c r="AV478" s="585"/>
      <c r="AW478" s="585"/>
      <c r="AX478" s="585"/>
      <c r="AY478" s="585"/>
      <c r="AZ478" s="585"/>
      <c r="BA478" s="585"/>
      <c r="BB478" s="586"/>
      <c r="BC478" s="675">
        <v>1</v>
      </c>
      <c r="BD478" s="676"/>
      <c r="BE478" s="676"/>
      <c r="BF478" s="676"/>
      <c r="BG478" s="676"/>
      <c r="BH478" s="676"/>
      <c r="BI478" s="676"/>
      <c r="BJ478" s="676"/>
      <c r="BK478" s="676"/>
      <c r="BL478" s="676"/>
      <c r="BM478" s="676"/>
      <c r="BN478" s="676"/>
      <c r="BO478" s="676"/>
      <c r="BP478" s="676"/>
      <c r="BQ478" s="676"/>
      <c r="BR478" s="677"/>
      <c r="BS478" s="627"/>
      <c r="BT478" s="628"/>
      <c r="BU478" s="628"/>
      <c r="BV478" s="628"/>
      <c r="BW478" s="628"/>
      <c r="BX478" s="628"/>
      <c r="BY478" s="628"/>
      <c r="BZ478" s="628"/>
      <c r="CA478" s="628"/>
      <c r="CB478" s="628"/>
      <c r="CC478" s="628"/>
      <c r="CD478" s="628"/>
      <c r="CE478" s="628"/>
      <c r="CF478" s="628"/>
      <c r="CG478" s="628"/>
      <c r="CH478" s="629"/>
      <c r="CI478" s="627">
        <f t="shared" si="7"/>
        <v>0</v>
      </c>
      <c r="CJ478" s="628"/>
      <c r="CK478" s="628"/>
      <c r="CL478" s="628"/>
      <c r="CM478" s="628"/>
      <c r="CN478" s="628"/>
      <c r="CO478" s="628"/>
      <c r="CP478" s="628"/>
      <c r="CQ478" s="628"/>
      <c r="CR478" s="628"/>
      <c r="CS478" s="628"/>
      <c r="CT478" s="628"/>
      <c r="CU478" s="628"/>
      <c r="CV478" s="628"/>
      <c r="CW478" s="628"/>
      <c r="CX478" s="628"/>
      <c r="CY478" s="628"/>
      <c r="CZ478" s="629"/>
      <c r="DA478" s="214"/>
    </row>
    <row r="479" spans="1:105" s="16" customFormat="1" ht="27" hidden="1" customHeight="1" x14ac:dyDescent="0.3">
      <c r="A479" s="630" t="s">
        <v>1013</v>
      </c>
      <c r="B479" s="631"/>
      <c r="C479" s="631"/>
      <c r="D479" s="631"/>
      <c r="E479" s="631"/>
      <c r="F479" s="631"/>
      <c r="G479" s="632"/>
      <c r="H479" s="584" t="s">
        <v>831</v>
      </c>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5"/>
      <c r="AL479" s="585"/>
      <c r="AM479" s="585"/>
      <c r="AN479" s="585"/>
      <c r="AO479" s="585"/>
      <c r="AP479" s="585"/>
      <c r="AQ479" s="585"/>
      <c r="AR479" s="585"/>
      <c r="AS479" s="585"/>
      <c r="AT479" s="585"/>
      <c r="AU479" s="585"/>
      <c r="AV479" s="585"/>
      <c r="AW479" s="585"/>
      <c r="AX479" s="585"/>
      <c r="AY479" s="585"/>
      <c r="AZ479" s="585"/>
      <c r="BA479" s="585"/>
      <c r="BB479" s="586"/>
      <c r="BC479" s="675">
        <v>1</v>
      </c>
      <c r="BD479" s="676"/>
      <c r="BE479" s="676"/>
      <c r="BF479" s="676"/>
      <c r="BG479" s="676"/>
      <c r="BH479" s="676"/>
      <c r="BI479" s="676"/>
      <c r="BJ479" s="676"/>
      <c r="BK479" s="676"/>
      <c r="BL479" s="676"/>
      <c r="BM479" s="676"/>
      <c r="BN479" s="676"/>
      <c r="BO479" s="676"/>
      <c r="BP479" s="676"/>
      <c r="BQ479" s="676"/>
      <c r="BR479" s="677"/>
      <c r="BS479" s="627"/>
      <c r="BT479" s="628"/>
      <c r="BU479" s="628"/>
      <c r="BV479" s="628"/>
      <c r="BW479" s="628"/>
      <c r="BX479" s="628"/>
      <c r="BY479" s="628"/>
      <c r="BZ479" s="628"/>
      <c r="CA479" s="628"/>
      <c r="CB479" s="628"/>
      <c r="CC479" s="628"/>
      <c r="CD479" s="628"/>
      <c r="CE479" s="628"/>
      <c r="CF479" s="628"/>
      <c r="CG479" s="628"/>
      <c r="CH479" s="629"/>
      <c r="CI479" s="627">
        <f t="shared" si="7"/>
        <v>0</v>
      </c>
      <c r="CJ479" s="628"/>
      <c r="CK479" s="628"/>
      <c r="CL479" s="628"/>
      <c r="CM479" s="628"/>
      <c r="CN479" s="628"/>
      <c r="CO479" s="628"/>
      <c r="CP479" s="628"/>
      <c r="CQ479" s="628"/>
      <c r="CR479" s="628"/>
      <c r="CS479" s="628"/>
      <c r="CT479" s="628"/>
      <c r="CU479" s="628"/>
      <c r="CV479" s="628"/>
      <c r="CW479" s="628"/>
      <c r="CX479" s="628"/>
      <c r="CY479" s="628"/>
      <c r="CZ479" s="629"/>
      <c r="DA479" s="214"/>
    </row>
    <row r="480" spans="1:105" s="16" customFormat="1" ht="25.2" hidden="1" customHeight="1" x14ac:dyDescent="0.3">
      <c r="A480" s="630" t="s">
        <v>1014</v>
      </c>
      <c r="B480" s="631"/>
      <c r="C480" s="631"/>
      <c r="D480" s="631"/>
      <c r="E480" s="631"/>
      <c r="F480" s="631"/>
      <c r="G480" s="632"/>
      <c r="H480" s="584" t="s">
        <v>885</v>
      </c>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5"/>
      <c r="AL480" s="585"/>
      <c r="AM480" s="585"/>
      <c r="AN480" s="585"/>
      <c r="AO480" s="585"/>
      <c r="AP480" s="585"/>
      <c r="AQ480" s="585"/>
      <c r="AR480" s="585"/>
      <c r="AS480" s="585"/>
      <c r="AT480" s="585"/>
      <c r="AU480" s="585"/>
      <c r="AV480" s="585"/>
      <c r="AW480" s="585"/>
      <c r="AX480" s="585"/>
      <c r="AY480" s="585"/>
      <c r="AZ480" s="585"/>
      <c r="BA480" s="585"/>
      <c r="BB480" s="586"/>
      <c r="BC480" s="675">
        <v>1</v>
      </c>
      <c r="BD480" s="676"/>
      <c r="BE480" s="676"/>
      <c r="BF480" s="676"/>
      <c r="BG480" s="676"/>
      <c r="BH480" s="676"/>
      <c r="BI480" s="676"/>
      <c r="BJ480" s="676"/>
      <c r="BK480" s="676"/>
      <c r="BL480" s="676"/>
      <c r="BM480" s="676"/>
      <c r="BN480" s="676"/>
      <c r="BO480" s="676"/>
      <c r="BP480" s="676"/>
      <c r="BQ480" s="676"/>
      <c r="BR480" s="677"/>
      <c r="BS480" s="627"/>
      <c r="BT480" s="628"/>
      <c r="BU480" s="628"/>
      <c r="BV480" s="628"/>
      <c r="BW480" s="628"/>
      <c r="BX480" s="628"/>
      <c r="BY480" s="628"/>
      <c r="BZ480" s="628"/>
      <c r="CA480" s="628"/>
      <c r="CB480" s="628"/>
      <c r="CC480" s="628"/>
      <c r="CD480" s="628"/>
      <c r="CE480" s="628"/>
      <c r="CF480" s="628"/>
      <c r="CG480" s="628"/>
      <c r="CH480" s="629"/>
      <c r="CI480" s="627">
        <f t="shared" si="7"/>
        <v>0</v>
      </c>
      <c r="CJ480" s="628"/>
      <c r="CK480" s="628"/>
      <c r="CL480" s="628"/>
      <c r="CM480" s="628"/>
      <c r="CN480" s="628"/>
      <c r="CO480" s="628"/>
      <c r="CP480" s="628"/>
      <c r="CQ480" s="628"/>
      <c r="CR480" s="628"/>
      <c r="CS480" s="628"/>
      <c r="CT480" s="628"/>
      <c r="CU480" s="628"/>
      <c r="CV480" s="628"/>
      <c r="CW480" s="628"/>
      <c r="CX480" s="628"/>
      <c r="CY480" s="628"/>
      <c r="CZ480" s="629"/>
      <c r="DA480" s="214"/>
    </row>
    <row r="481" spans="1:106" s="16" customFormat="1" ht="25.2" customHeight="1" x14ac:dyDescent="0.3">
      <c r="A481" s="630" t="s">
        <v>1015</v>
      </c>
      <c r="B481" s="631"/>
      <c r="C481" s="631"/>
      <c r="D481" s="631"/>
      <c r="E481" s="631"/>
      <c r="F481" s="631"/>
      <c r="G481" s="632"/>
      <c r="H481" s="584" t="s">
        <v>956</v>
      </c>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5"/>
      <c r="AL481" s="585"/>
      <c r="AM481" s="585"/>
      <c r="AN481" s="585"/>
      <c r="AO481" s="585"/>
      <c r="AP481" s="585"/>
      <c r="AQ481" s="585"/>
      <c r="AR481" s="585"/>
      <c r="AS481" s="585"/>
      <c r="AT481" s="585"/>
      <c r="AU481" s="585"/>
      <c r="AV481" s="585"/>
      <c r="AW481" s="585"/>
      <c r="AX481" s="585"/>
      <c r="AY481" s="585"/>
      <c r="AZ481" s="585"/>
      <c r="BA481" s="585"/>
      <c r="BB481" s="586"/>
      <c r="BC481" s="675">
        <v>1</v>
      </c>
      <c r="BD481" s="676"/>
      <c r="BE481" s="676"/>
      <c r="BF481" s="676"/>
      <c r="BG481" s="676"/>
      <c r="BH481" s="676"/>
      <c r="BI481" s="676"/>
      <c r="BJ481" s="676"/>
      <c r="BK481" s="676"/>
      <c r="BL481" s="676"/>
      <c r="BM481" s="676"/>
      <c r="BN481" s="676"/>
      <c r="BO481" s="676"/>
      <c r="BP481" s="676"/>
      <c r="BQ481" s="676"/>
      <c r="BR481" s="677"/>
      <c r="BS481" s="627">
        <v>24000</v>
      </c>
      <c r="BT481" s="628"/>
      <c r="BU481" s="628"/>
      <c r="BV481" s="628"/>
      <c r="BW481" s="628"/>
      <c r="BX481" s="628"/>
      <c r="BY481" s="628"/>
      <c r="BZ481" s="628"/>
      <c r="CA481" s="628"/>
      <c r="CB481" s="628"/>
      <c r="CC481" s="628"/>
      <c r="CD481" s="628"/>
      <c r="CE481" s="628"/>
      <c r="CF481" s="628"/>
      <c r="CG481" s="628"/>
      <c r="CH481" s="629"/>
      <c r="CI481" s="627">
        <f t="shared" si="7"/>
        <v>24000</v>
      </c>
      <c r="CJ481" s="628"/>
      <c r="CK481" s="628"/>
      <c r="CL481" s="628"/>
      <c r="CM481" s="628"/>
      <c r="CN481" s="628"/>
      <c r="CO481" s="628"/>
      <c r="CP481" s="628"/>
      <c r="CQ481" s="628"/>
      <c r="CR481" s="628"/>
      <c r="CS481" s="628"/>
      <c r="CT481" s="628"/>
      <c r="CU481" s="628"/>
      <c r="CV481" s="628"/>
      <c r="CW481" s="628"/>
      <c r="CX481" s="628"/>
      <c r="CY481" s="628"/>
      <c r="CZ481" s="629"/>
      <c r="DA481" s="214"/>
    </row>
    <row r="482" spans="1:106" s="16" customFormat="1" ht="15" customHeight="1" x14ac:dyDescent="0.3">
      <c r="A482" s="633" t="s">
        <v>292</v>
      </c>
      <c r="B482" s="634"/>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4"/>
      <c r="AL482" s="634"/>
      <c r="AM482" s="634"/>
      <c r="AN482" s="634"/>
      <c r="AO482" s="634"/>
      <c r="AP482" s="634"/>
      <c r="AQ482" s="634"/>
      <c r="AR482" s="634"/>
      <c r="AS482" s="634"/>
      <c r="AT482" s="634"/>
      <c r="AU482" s="634"/>
      <c r="AV482" s="634"/>
      <c r="AW482" s="634"/>
      <c r="AX482" s="634"/>
      <c r="AY482" s="634"/>
      <c r="AZ482" s="634"/>
      <c r="BA482" s="634"/>
      <c r="BB482" s="635"/>
      <c r="BC482" s="544" t="s">
        <v>4</v>
      </c>
      <c r="BD482" s="545"/>
      <c r="BE482" s="545"/>
      <c r="BF482" s="545"/>
      <c r="BG482" s="545"/>
      <c r="BH482" s="545"/>
      <c r="BI482" s="545"/>
      <c r="BJ482" s="545"/>
      <c r="BK482" s="545"/>
      <c r="BL482" s="545"/>
      <c r="BM482" s="545"/>
      <c r="BN482" s="545"/>
      <c r="BO482" s="545"/>
      <c r="BP482" s="545"/>
      <c r="BQ482" s="545"/>
      <c r="BR482" s="546"/>
      <c r="BS482" s="544" t="s">
        <v>4</v>
      </c>
      <c r="BT482" s="545"/>
      <c r="BU482" s="545"/>
      <c r="BV482" s="545"/>
      <c r="BW482" s="545"/>
      <c r="BX482" s="545"/>
      <c r="BY482" s="545"/>
      <c r="BZ482" s="545"/>
      <c r="CA482" s="545"/>
      <c r="CB482" s="545"/>
      <c r="CC482" s="545"/>
      <c r="CD482" s="545"/>
      <c r="CE482" s="545"/>
      <c r="CF482" s="545"/>
      <c r="CG482" s="545"/>
      <c r="CH482" s="546"/>
      <c r="CI482" s="636">
        <f>SUM(CI442:CZ481)</f>
        <v>1566918.27</v>
      </c>
      <c r="CJ482" s="654"/>
      <c r="CK482" s="654"/>
      <c r="CL482" s="654"/>
      <c r="CM482" s="654"/>
      <c r="CN482" s="654"/>
      <c r="CO482" s="654"/>
      <c r="CP482" s="654"/>
      <c r="CQ482" s="654"/>
      <c r="CR482" s="654"/>
      <c r="CS482" s="654"/>
      <c r="CT482" s="654"/>
      <c r="CU482" s="654"/>
      <c r="CV482" s="654"/>
      <c r="CW482" s="654"/>
      <c r="CX482" s="654"/>
      <c r="CY482" s="654"/>
      <c r="CZ482" s="655"/>
      <c r="DA482" s="214"/>
    </row>
    <row r="483" spans="1:106" s="16" customFormat="1" ht="15" customHeight="1" x14ac:dyDescent="0.3">
      <c r="A483" s="648" t="s">
        <v>634</v>
      </c>
      <c r="B483" s="649"/>
      <c r="C483" s="649"/>
      <c r="D483" s="649"/>
      <c r="E483" s="649"/>
      <c r="F483" s="649"/>
      <c r="G483" s="649"/>
      <c r="H483" s="649"/>
      <c r="I483" s="649"/>
      <c r="J483" s="649"/>
      <c r="K483" s="649"/>
      <c r="L483" s="649"/>
      <c r="M483" s="649"/>
      <c r="N483" s="649"/>
      <c r="O483" s="649"/>
      <c r="P483" s="649"/>
      <c r="Q483" s="649"/>
      <c r="R483" s="649"/>
      <c r="S483" s="649"/>
      <c r="T483" s="649"/>
      <c r="U483" s="649"/>
      <c r="V483" s="649"/>
      <c r="W483" s="649"/>
      <c r="X483" s="649"/>
      <c r="Y483" s="649"/>
      <c r="Z483" s="649"/>
      <c r="AA483" s="649"/>
      <c r="AB483" s="649"/>
      <c r="AC483" s="649"/>
      <c r="AD483" s="649"/>
      <c r="AE483" s="649"/>
      <c r="AF483" s="649"/>
      <c r="AG483" s="649"/>
      <c r="AH483" s="649"/>
      <c r="AI483" s="649"/>
      <c r="AJ483" s="649"/>
      <c r="AK483" s="649"/>
      <c r="AL483" s="649"/>
      <c r="AM483" s="649"/>
      <c r="AN483" s="649"/>
      <c r="AO483" s="649"/>
      <c r="AP483" s="649"/>
      <c r="AQ483" s="649"/>
      <c r="AR483" s="649"/>
      <c r="AS483" s="649"/>
      <c r="AT483" s="649"/>
      <c r="AU483" s="649"/>
      <c r="AV483" s="649"/>
      <c r="AW483" s="649"/>
      <c r="AX483" s="649"/>
      <c r="AY483" s="649"/>
      <c r="AZ483" s="649"/>
      <c r="BA483" s="649"/>
      <c r="BB483" s="649"/>
      <c r="BC483" s="649"/>
      <c r="BD483" s="649"/>
      <c r="BE483" s="649"/>
      <c r="BF483" s="649"/>
      <c r="BG483" s="649"/>
      <c r="BH483" s="649"/>
      <c r="BI483" s="649"/>
      <c r="BJ483" s="649"/>
      <c r="BK483" s="649"/>
      <c r="BL483" s="649"/>
      <c r="BM483" s="649"/>
      <c r="BN483" s="649"/>
      <c r="BO483" s="649"/>
      <c r="BP483" s="649"/>
      <c r="BQ483" s="649"/>
      <c r="BR483" s="649"/>
      <c r="BS483" s="649"/>
      <c r="BT483" s="649"/>
      <c r="BU483" s="649"/>
      <c r="BV483" s="649"/>
      <c r="BW483" s="649"/>
      <c r="BX483" s="649"/>
      <c r="BY483" s="649"/>
      <c r="BZ483" s="649"/>
      <c r="CA483" s="649"/>
      <c r="CB483" s="649"/>
      <c r="CC483" s="649"/>
      <c r="CD483" s="649"/>
      <c r="CE483" s="649"/>
      <c r="CF483" s="649"/>
      <c r="CG483" s="649"/>
      <c r="CH483" s="649"/>
      <c r="CI483" s="649"/>
      <c r="CJ483" s="649"/>
      <c r="CK483" s="649"/>
      <c r="CL483" s="649"/>
      <c r="CM483" s="649"/>
      <c r="CN483" s="649"/>
      <c r="CO483" s="649"/>
      <c r="CP483" s="649"/>
      <c r="CQ483" s="649"/>
      <c r="CR483" s="649"/>
      <c r="CS483" s="649"/>
      <c r="CT483" s="649"/>
      <c r="CU483" s="649"/>
      <c r="CV483" s="649"/>
      <c r="CW483" s="649"/>
      <c r="CX483" s="649"/>
      <c r="CY483" s="649"/>
      <c r="CZ483" s="649"/>
      <c r="DA483" s="214"/>
    </row>
    <row r="484" spans="1:106" s="16" customFormat="1" ht="15" customHeight="1" x14ac:dyDescent="0.3">
      <c r="A484" s="630" t="s">
        <v>441</v>
      </c>
      <c r="B484" s="631"/>
      <c r="C484" s="631"/>
      <c r="D484" s="631"/>
      <c r="E484" s="631"/>
      <c r="F484" s="631"/>
      <c r="G484" s="632"/>
      <c r="H484" s="584" t="s">
        <v>635</v>
      </c>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585"/>
      <c r="AY484" s="585"/>
      <c r="AZ484" s="585"/>
      <c r="BA484" s="585"/>
      <c r="BB484" s="586"/>
      <c r="BC484" s="675">
        <v>1</v>
      </c>
      <c r="BD484" s="676"/>
      <c r="BE484" s="676"/>
      <c r="BF484" s="676"/>
      <c r="BG484" s="676"/>
      <c r="BH484" s="676"/>
      <c r="BI484" s="676"/>
      <c r="BJ484" s="676"/>
      <c r="BK484" s="676"/>
      <c r="BL484" s="676"/>
      <c r="BM484" s="676"/>
      <c r="BN484" s="676"/>
      <c r="BO484" s="676"/>
      <c r="BP484" s="676"/>
      <c r="BQ484" s="676"/>
      <c r="BR484" s="677"/>
      <c r="BS484" s="627">
        <f>CI484/BC484</f>
        <v>1740000</v>
      </c>
      <c r="BT484" s="628"/>
      <c r="BU484" s="628"/>
      <c r="BV484" s="628"/>
      <c r="BW484" s="628"/>
      <c r="BX484" s="628"/>
      <c r="BY484" s="628"/>
      <c r="BZ484" s="628"/>
      <c r="CA484" s="628"/>
      <c r="CB484" s="628"/>
      <c r="CC484" s="628"/>
      <c r="CD484" s="628"/>
      <c r="CE484" s="628"/>
      <c r="CF484" s="628"/>
      <c r="CG484" s="628"/>
      <c r="CH484" s="629"/>
      <c r="CI484" s="627">
        <v>1740000</v>
      </c>
      <c r="CJ484" s="628"/>
      <c r="CK484" s="628"/>
      <c r="CL484" s="628"/>
      <c r="CM484" s="628"/>
      <c r="CN484" s="628"/>
      <c r="CO484" s="628"/>
      <c r="CP484" s="628"/>
      <c r="CQ484" s="628"/>
      <c r="CR484" s="628"/>
      <c r="CS484" s="628"/>
      <c r="CT484" s="628"/>
      <c r="CU484" s="628"/>
      <c r="CV484" s="628"/>
      <c r="CW484" s="628"/>
      <c r="CX484" s="628"/>
      <c r="CY484" s="628"/>
      <c r="CZ484" s="629"/>
      <c r="DA484" s="214"/>
    </row>
    <row r="485" spans="1:106" s="16" customFormat="1" ht="21" customHeight="1" x14ac:dyDescent="0.3">
      <c r="A485" s="630" t="s">
        <v>444</v>
      </c>
      <c r="B485" s="631"/>
      <c r="C485" s="631"/>
      <c r="D485" s="631"/>
      <c r="E485" s="631"/>
      <c r="F485" s="631"/>
      <c r="G485" s="632"/>
      <c r="H485" s="584" t="s">
        <v>833</v>
      </c>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5"/>
      <c r="AL485" s="585"/>
      <c r="AM485" s="585"/>
      <c r="AN485" s="585"/>
      <c r="AO485" s="585"/>
      <c r="AP485" s="585"/>
      <c r="AQ485" s="585"/>
      <c r="AR485" s="585"/>
      <c r="AS485" s="585"/>
      <c r="AT485" s="585"/>
      <c r="AU485" s="585"/>
      <c r="AV485" s="585"/>
      <c r="AW485" s="585"/>
      <c r="AX485" s="585"/>
      <c r="AY485" s="585"/>
      <c r="AZ485" s="585"/>
      <c r="BA485" s="585"/>
      <c r="BB485" s="586"/>
      <c r="BC485" s="675">
        <v>1</v>
      </c>
      <c r="BD485" s="676"/>
      <c r="BE485" s="676"/>
      <c r="BF485" s="676"/>
      <c r="BG485" s="676"/>
      <c r="BH485" s="676"/>
      <c r="BI485" s="676"/>
      <c r="BJ485" s="676"/>
      <c r="BK485" s="676"/>
      <c r="BL485" s="676"/>
      <c r="BM485" s="676"/>
      <c r="BN485" s="676"/>
      <c r="BO485" s="676"/>
      <c r="BP485" s="676"/>
      <c r="BQ485" s="676"/>
      <c r="BR485" s="677"/>
      <c r="BS485" s="627">
        <f>CI485/BC485</f>
        <v>10000</v>
      </c>
      <c r="BT485" s="628"/>
      <c r="BU485" s="628"/>
      <c r="BV485" s="628"/>
      <c r="BW485" s="628"/>
      <c r="BX485" s="628"/>
      <c r="BY485" s="628"/>
      <c r="BZ485" s="628"/>
      <c r="CA485" s="628"/>
      <c r="CB485" s="628"/>
      <c r="CC485" s="628"/>
      <c r="CD485" s="628"/>
      <c r="CE485" s="628"/>
      <c r="CF485" s="628"/>
      <c r="CG485" s="628"/>
      <c r="CH485" s="629"/>
      <c r="CI485" s="627">
        <v>10000</v>
      </c>
      <c r="CJ485" s="628"/>
      <c r="CK485" s="628"/>
      <c r="CL485" s="628"/>
      <c r="CM485" s="628"/>
      <c r="CN485" s="628"/>
      <c r="CO485" s="628"/>
      <c r="CP485" s="628"/>
      <c r="CQ485" s="628"/>
      <c r="CR485" s="628"/>
      <c r="CS485" s="628"/>
      <c r="CT485" s="628"/>
      <c r="CU485" s="628"/>
      <c r="CV485" s="628"/>
      <c r="CW485" s="628"/>
      <c r="CX485" s="628"/>
      <c r="CY485" s="628"/>
      <c r="CZ485" s="629"/>
      <c r="DA485" s="214"/>
    </row>
    <row r="486" spans="1:106" s="16" customFormat="1" ht="27.75" customHeight="1" x14ac:dyDescent="0.3">
      <c r="A486" s="630" t="s">
        <v>446</v>
      </c>
      <c r="B486" s="631"/>
      <c r="C486" s="631"/>
      <c r="D486" s="631"/>
      <c r="E486" s="631"/>
      <c r="F486" s="631"/>
      <c r="G486" s="632"/>
      <c r="H486" s="584" t="s">
        <v>896</v>
      </c>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5"/>
      <c r="AL486" s="585"/>
      <c r="AM486" s="585"/>
      <c r="AN486" s="585"/>
      <c r="AO486" s="585"/>
      <c r="AP486" s="585"/>
      <c r="AQ486" s="585"/>
      <c r="AR486" s="585"/>
      <c r="AS486" s="585"/>
      <c r="AT486" s="585"/>
      <c r="AU486" s="585"/>
      <c r="AV486" s="585"/>
      <c r="AW486" s="585"/>
      <c r="AX486" s="585"/>
      <c r="AY486" s="585"/>
      <c r="AZ486" s="585"/>
      <c r="BA486" s="585"/>
      <c r="BB486" s="586"/>
      <c r="BC486" s="675">
        <v>1</v>
      </c>
      <c r="BD486" s="676"/>
      <c r="BE486" s="676"/>
      <c r="BF486" s="676"/>
      <c r="BG486" s="676"/>
      <c r="BH486" s="676"/>
      <c r="BI486" s="676"/>
      <c r="BJ486" s="676"/>
      <c r="BK486" s="676"/>
      <c r="BL486" s="676"/>
      <c r="BM486" s="676"/>
      <c r="BN486" s="676"/>
      <c r="BO486" s="676"/>
      <c r="BP486" s="676"/>
      <c r="BQ486" s="676"/>
      <c r="BR486" s="677"/>
      <c r="BS486" s="627">
        <f>CI486/BC486</f>
        <v>868980.76</v>
      </c>
      <c r="BT486" s="628"/>
      <c r="BU486" s="628"/>
      <c r="BV486" s="628"/>
      <c r="BW486" s="628"/>
      <c r="BX486" s="628"/>
      <c r="BY486" s="628"/>
      <c r="BZ486" s="628"/>
      <c r="CA486" s="628"/>
      <c r="CB486" s="628"/>
      <c r="CC486" s="628"/>
      <c r="CD486" s="628"/>
      <c r="CE486" s="628"/>
      <c r="CF486" s="628"/>
      <c r="CG486" s="628"/>
      <c r="CH486" s="629"/>
      <c r="CI486" s="627">
        <f>1214688.18-119250.54-254741.43+29236.79-952.24</f>
        <v>868980.76</v>
      </c>
      <c r="CJ486" s="628"/>
      <c r="CK486" s="628"/>
      <c r="CL486" s="628"/>
      <c r="CM486" s="628"/>
      <c r="CN486" s="628"/>
      <c r="CO486" s="628"/>
      <c r="CP486" s="628"/>
      <c r="CQ486" s="628"/>
      <c r="CR486" s="628"/>
      <c r="CS486" s="628"/>
      <c r="CT486" s="628"/>
      <c r="CU486" s="628"/>
      <c r="CV486" s="628"/>
      <c r="CW486" s="628"/>
      <c r="CX486" s="628"/>
      <c r="CY486" s="628"/>
      <c r="CZ486" s="629"/>
      <c r="DA486" s="214"/>
    </row>
    <row r="487" spans="1:106" s="16" customFormat="1" ht="27.6" hidden="1" customHeight="1" x14ac:dyDescent="0.3">
      <c r="A487" s="630" t="s">
        <v>551</v>
      </c>
      <c r="B487" s="631"/>
      <c r="C487" s="631"/>
      <c r="D487" s="631"/>
      <c r="E487" s="631"/>
      <c r="F487" s="631"/>
      <c r="G487" s="632"/>
      <c r="H487" s="584" t="s">
        <v>928</v>
      </c>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5"/>
      <c r="AL487" s="585"/>
      <c r="AM487" s="585"/>
      <c r="AN487" s="585"/>
      <c r="AO487" s="585"/>
      <c r="AP487" s="585"/>
      <c r="AQ487" s="585"/>
      <c r="AR487" s="585"/>
      <c r="AS487" s="585"/>
      <c r="AT487" s="585"/>
      <c r="AU487" s="585"/>
      <c r="AV487" s="585"/>
      <c r="AW487" s="585"/>
      <c r="AX487" s="585"/>
      <c r="AY487" s="585"/>
      <c r="AZ487" s="585"/>
      <c r="BA487" s="585"/>
      <c r="BB487" s="586"/>
      <c r="BC487" s="675">
        <v>1</v>
      </c>
      <c r="BD487" s="676"/>
      <c r="BE487" s="676"/>
      <c r="BF487" s="676"/>
      <c r="BG487" s="676"/>
      <c r="BH487" s="676"/>
      <c r="BI487" s="676"/>
      <c r="BJ487" s="676"/>
      <c r="BK487" s="676"/>
      <c r="BL487" s="676"/>
      <c r="BM487" s="676"/>
      <c r="BN487" s="676"/>
      <c r="BO487" s="676"/>
      <c r="BP487" s="676"/>
      <c r="BQ487" s="676"/>
      <c r="BR487" s="677"/>
      <c r="BS487" s="627">
        <f>CI487/BC487</f>
        <v>0</v>
      </c>
      <c r="BT487" s="628"/>
      <c r="BU487" s="628"/>
      <c r="BV487" s="628"/>
      <c r="BW487" s="628"/>
      <c r="BX487" s="628"/>
      <c r="BY487" s="628"/>
      <c r="BZ487" s="628"/>
      <c r="CA487" s="628"/>
      <c r="CB487" s="628"/>
      <c r="CC487" s="628"/>
      <c r="CD487" s="628"/>
      <c r="CE487" s="628"/>
      <c r="CF487" s="628"/>
      <c r="CG487" s="628"/>
      <c r="CH487" s="629"/>
      <c r="CI487" s="627"/>
      <c r="CJ487" s="628"/>
      <c r="CK487" s="628"/>
      <c r="CL487" s="628"/>
      <c r="CM487" s="628"/>
      <c r="CN487" s="628"/>
      <c r="CO487" s="628"/>
      <c r="CP487" s="628"/>
      <c r="CQ487" s="628"/>
      <c r="CR487" s="628"/>
      <c r="CS487" s="628"/>
      <c r="CT487" s="628"/>
      <c r="CU487" s="628"/>
      <c r="CV487" s="628"/>
      <c r="CW487" s="628"/>
      <c r="CX487" s="628"/>
      <c r="CY487" s="628"/>
      <c r="CZ487" s="629"/>
      <c r="DA487" s="214"/>
    </row>
    <row r="488" spans="1:106" s="16" customFormat="1" ht="15" hidden="1" customHeight="1" x14ac:dyDescent="0.3">
      <c r="A488" s="630" t="s">
        <v>599</v>
      </c>
      <c r="B488" s="631"/>
      <c r="C488" s="631"/>
      <c r="D488" s="631"/>
      <c r="E488" s="631"/>
      <c r="F488" s="631"/>
      <c r="G488" s="632"/>
      <c r="H488" s="584" t="s">
        <v>929</v>
      </c>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585"/>
      <c r="AO488" s="585"/>
      <c r="AP488" s="585"/>
      <c r="AQ488" s="585"/>
      <c r="AR488" s="585"/>
      <c r="AS488" s="585"/>
      <c r="AT488" s="585"/>
      <c r="AU488" s="585"/>
      <c r="AV488" s="585"/>
      <c r="AW488" s="585"/>
      <c r="AX488" s="585"/>
      <c r="AY488" s="585"/>
      <c r="AZ488" s="585"/>
      <c r="BA488" s="585"/>
      <c r="BB488" s="586"/>
      <c r="BC488" s="675">
        <v>1</v>
      </c>
      <c r="BD488" s="676"/>
      <c r="BE488" s="676"/>
      <c r="BF488" s="676"/>
      <c r="BG488" s="676"/>
      <c r="BH488" s="676"/>
      <c r="BI488" s="676"/>
      <c r="BJ488" s="676"/>
      <c r="BK488" s="676"/>
      <c r="BL488" s="676"/>
      <c r="BM488" s="676"/>
      <c r="BN488" s="676"/>
      <c r="BO488" s="676"/>
      <c r="BP488" s="676"/>
      <c r="BQ488" s="676"/>
      <c r="BR488" s="677"/>
      <c r="BS488" s="627">
        <f>CI488/BC488</f>
        <v>0</v>
      </c>
      <c r="BT488" s="628"/>
      <c r="BU488" s="628"/>
      <c r="BV488" s="628"/>
      <c r="BW488" s="628"/>
      <c r="BX488" s="628"/>
      <c r="BY488" s="628"/>
      <c r="BZ488" s="628"/>
      <c r="CA488" s="628"/>
      <c r="CB488" s="628"/>
      <c r="CC488" s="628"/>
      <c r="CD488" s="628"/>
      <c r="CE488" s="628"/>
      <c r="CF488" s="628"/>
      <c r="CG488" s="628"/>
      <c r="CH488" s="629"/>
      <c r="CI488" s="627"/>
      <c r="CJ488" s="628"/>
      <c r="CK488" s="628"/>
      <c r="CL488" s="628"/>
      <c r="CM488" s="628"/>
      <c r="CN488" s="628"/>
      <c r="CO488" s="628"/>
      <c r="CP488" s="628"/>
      <c r="CQ488" s="628"/>
      <c r="CR488" s="628"/>
      <c r="CS488" s="628"/>
      <c r="CT488" s="628"/>
      <c r="CU488" s="628"/>
      <c r="CV488" s="628"/>
      <c r="CW488" s="628"/>
      <c r="CX488" s="628"/>
      <c r="CY488" s="628"/>
      <c r="CZ488" s="629"/>
      <c r="DA488" s="214"/>
    </row>
    <row r="489" spans="1:106" s="16" customFormat="1" ht="15" customHeight="1" x14ac:dyDescent="0.3">
      <c r="A489" s="633" t="s">
        <v>292</v>
      </c>
      <c r="B489" s="634"/>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34"/>
      <c r="AL489" s="634"/>
      <c r="AM489" s="634"/>
      <c r="AN489" s="634"/>
      <c r="AO489" s="634"/>
      <c r="AP489" s="634"/>
      <c r="AQ489" s="634"/>
      <c r="AR489" s="634"/>
      <c r="AS489" s="634"/>
      <c r="AT489" s="634"/>
      <c r="AU489" s="634"/>
      <c r="AV489" s="634"/>
      <c r="AW489" s="634"/>
      <c r="AX489" s="634"/>
      <c r="AY489" s="634"/>
      <c r="AZ489" s="634"/>
      <c r="BA489" s="634"/>
      <c r="BB489" s="635"/>
      <c r="BC489" s="544" t="s">
        <v>4</v>
      </c>
      <c r="BD489" s="545"/>
      <c r="BE489" s="545"/>
      <c r="BF489" s="545"/>
      <c r="BG489" s="545"/>
      <c r="BH489" s="545"/>
      <c r="BI489" s="545"/>
      <c r="BJ489" s="545"/>
      <c r="BK489" s="545"/>
      <c r="BL489" s="545"/>
      <c r="BM489" s="545"/>
      <c r="BN489" s="545"/>
      <c r="BO489" s="545"/>
      <c r="BP489" s="545"/>
      <c r="BQ489" s="545"/>
      <c r="BR489" s="546"/>
      <c r="BS489" s="544" t="s">
        <v>4</v>
      </c>
      <c r="BT489" s="545"/>
      <c r="BU489" s="545"/>
      <c r="BV489" s="545"/>
      <c r="BW489" s="545"/>
      <c r="BX489" s="545"/>
      <c r="BY489" s="545"/>
      <c r="BZ489" s="545"/>
      <c r="CA489" s="545"/>
      <c r="CB489" s="545"/>
      <c r="CC489" s="545"/>
      <c r="CD489" s="545"/>
      <c r="CE489" s="545"/>
      <c r="CF489" s="545"/>
      <c r="CG489" s="545"/>
      <c r="CH489" s="546"/>
      <c r="CI489" s="636">
        <f>SUM(CI484:CZ486)</f>
        <v>2618980.7599999998</v>
      </c>
      <c r="CJ489" s="637"/>
      <c r="CK489" s="637"/>
      <c r="CL489" s="637"/>
      <c r="CM489" s="637"/>
      <c r="CN489" s="637"/>
      <c r="CO489" s="637"/>
      <c r="CP489" s="637"/>
      <c r="CQ489" s="637"/>
      <c r="CR489" s="637"/>
      <c r="CS489" s="637"/>
      <c r="CT489" s="637"/>
      <c r="CU489" s="637"/>
      <c r="CV489" s="637"/>
      <c r="CW489" s="637"/>
      <c r="CX489" s="637"/>
      <c r="CY489" s="637"/>
      <c r="CZ489" s="638"/>
      <c r="DA489" s="220"/>
    </row>
    <row r="490" spans="1:106" s="16" customFormat="1" ht="15" customHeight="1" x14ac:dyDescent="0.3">
      <c r="A490" s="648" t="s">
        <v>573</v>
      </c>
      <c r="B490" s="649"/>
      <c r="C490" s="649"/>
      <c r="D490" s="649"/>
      <c r="E490" s="649"/>
      <c r="F490" s="649"/>
      <c r="G490" s="649"/>
      <c r="H490" s="649"/>
      <c r="I490" s="649"/>
      <c r="J490" s="649"/>
      <c r="K490" s="649"/>
      <c r="L490" s="649"/>
      <c r="M490" s="649"/>
      <c r="N490" s="649"/>
      <c r="O490" s="649"/>
      <c r="P490" s="649"/>
      <c r="Q490" s="649"/>
      <c r="R490" s="649"/>
      <c r="S490" s="649"/>
      <c r="T490" s="649"/>
      <c r="U490" s="649"/>
      <c r="V490" s="649"/>
      <c r="W490" s="649"/>
      <c r="X490" s="649"/>
      <c r="Y490" s="649"/>
      <c r="Z490" s="649"/>
      <c r="AA490" s="649"/>
      <c r="AB490" s="649"/>
      <c r="AC490" s="649"/>
      <c r="AD490" s="649"/>
      <c r="AE490" s="649"/>
      <c r="AF490" s="649"/>
      <c r="AG490" s="649"/>
      <c r="AH490" s="649"/>
      <c r="AI490" s="649"/>
      <c r="AJ490" s="649"/>
      <c r="AK490" s="649"/>
      <c r="AL490" s="649"/>
      <c r="AM490" s="649"/>
      <c r="AN490" s="649"/>
      <c r="AO490" s="649"/>
      <c r="AP490" s="649"/>
      <c r="AQ490" s="649"/>
      <c r="AR490" s="649"/>
      <c r="AS490" s="649"/>
      <c r="AT490" s="649"/>
      <c r="AU490" s="649"/>
      <c r="AV490" s="649"/>
      <c r="AW490" s="649"/>
      <c r="AX490" s="649"/>
      <c r="AY490" s="649"/>
      <c r="AZ490" s="649"/>
      <c r="BA490" s="649"/>
      <c r="BB490" s="649"/>
      <c r="BC490" s="649"/>
      <c r="BD490" s="649"/>
      <c r="BE490" s="649"/>
      <c r="BF490" s="649"/>
      <c r="BG490" s="649"/>
      <c r="BH490" s="649"/>
      <c r="BI490" s="649"/>
      <c r="BJ490" s="649"/>
      <c r="BK490" s="649"/>
      <c r="BL490" s="649"/>
      <c r="BM490" s="649"/>
      <c r="BN490" s="649"/>
      <c r="BO490" s="649"/>
      <c r="BP490" s="649"/>
      <c r="BQ490" s="649"/>
      <c r="BR490" s="649"/>
      <c r="BS490" s="649"/>
      <c r="BT490" s="649"/>
      <c r="BU490" s="649"/>
      <c r="BV490" s="649"/>
      <c r="BW490" s="649"/>
      <c r="BX490" s="649"/>
      <c r="BY490" s="649"/>
      <c r="BZ490" s="649"/>
      <c r="CA490" s="649"/>
      <c r="CB490" s="649"/>
      <c r="CC490" s="649"/>
      <c r="CD490" s="649"/>
      <c r="CE490" s="649"/>
      <c r="CF490" s="649"/>
      <c r="CG490" s="649"/>
      <c r="CH490" s="649"/>
      <c r="CI490" s="649"/>
      <c r="CJ490" s="649"/>
      <c r="CK490" s="649"/>
      <c r="CL490" s="649"/>
      <c r="CM490" s="649"/>
      <c r="CN490" s="649"/>
      <c r="CO490" s="649"/>
      <c r="CP490" s="649"/>
      <c r="CQ490" s="649"/>
      <c r="CR490" s="649"/>
      <c r="CS490" s="649"/>
      <c r="CT490" s="649"/>
      <c r="CU490" s="649"/>
      <c r="CV490" s="649"/>
      <c r="CW490" s="649"/>
      <c r="CX490" s="649"/>
      <c r="CY490" s="649"/>
      <c r="CZ490" s="649"/>
      <c r="DA490" s="214"/>
    </row>
    <row r="491" spans="1:106" s="16" customFormat="1" ht="15" customHeight="1" x14ac:dyDescent="0.3">
      <c r="A491" s="630" t="s">
        <v>441</v>
      </c>
      <c r="B491" s="631"/>
      <c r="C491" s="631"/>
      <c r="D491" s="631"/>
      <c r="E491" s="631"/>
      <c r="F491" s="631"/>
      <c r="G491" s="632"/>
      <c r="H491" s="584" t="s">
        <v>1005</v>
      </c>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5"/>
      <c r="AL491" s="585"/>
      <c r="AM491" s="585"/>
      <c r="AN491" s="585"/>
      <c r="AO491" s="585"/>
      <c r="AP491" s="585"/>
      <c r="AQ491" s="585"/>
      <c r="AR491" s="585"/>
      <c r="AS491" s="585"/>
      <c r="AT491" s="585"/>
      <c r="AU491" s="585"/>
      <c r="AV491" s="585"/>
      <c r="AW491" s="585"/>
      <c r="AX491" s="585"/>
      <c r="AY491" s="585"/>
      <c r="AZ491" s="585"/>
      <c r="BA491" s="585"/>
      <c r="BB491" s="586"/>
      <c r="BC491" s="675">
        <v>1</v>
      </c>
      <c r="BD491" s="676"/>
      <c r="BE491" s="676"/>
      <c r="BF491" s="676"/>
      <c r="BG491" s="676"/>
      <c r="BH491" s="676"/>
      <c r="BI491" s="676"/>
      <c r="BJ491" s="676"/>
      <c r="BK491" s="676"/>
      <c r="BL491" s="676"/>
      <c r="BM491" s="676"/>
      <c r="BN491" s="676"/>
      <c r="BO491" s="676"/>
      <c r="BP491" s="676"/>
      <c r="BQ491" s="676"/>
      <c r="BR491" s="677"/>
      <c r="BS491" s="627">
        <f>CI491/BC491</f>
        <v>6752980</v>
      </c>
      <c r="BT491" s="628"/>
      <c r="BU491" s="628"/>
      <c r="BV491" s="628"/>
      <c r="BW491" s="628"/>
      <c r="BX491" s="628"/>
      <c r="BY491" s="628"/>
      <c r="BZ491" s="628"/>
      <c r="CA491" s="628"/>
      <c r="CB491" s="628"/>
      <c r="CC491" s="628"/>
      <c r="CD491" s="628"/>
      <c r="CE491" s="628"/>
      <c r="CF491" s="628"/>
      <c r="CG491" s="628"/>
      <c r="CH491" s="629"/>
      <c r="CI491" s="627">
        <v>6752980</v>
      </c>
      <c r="CJ491" s="628"/>
      <c r="CK491" s="628"/>
      <c r="CL491" s="628"/>
      <c r="CM491" s="628"/>
      <c r="CN491" s="628"/>
      <c r="CO491" s="628"/>
      <c r="CP491" s="628"/>
      <c r="CQ491" s="628"/>
      <c r="CR491" s="628"/>
      <c r="CS491" s="628"/>
      <c r="CT491" s="628"/>
      <c r="CU491" s="628"/>
      <c r="CV491" s="628"/>
      <c r="CW491" s="628"/>
      <c r="CX491" s="628"/>
      <c r="CY491" s="628"/>
      <c r="CZ491" s="629"/>
      <c r="DA491" s="217">
        <f>CI491</f>
        <v>6752980</v>
      </c>
    </row>
    <row r="492" spans="1:106" s="16" customFormat="1" ht="15" customHeight="1" x14ac:dyDescent="0.3">
      <c r="A492" s="630" t="s">
        <v>551</v>
      </c>
      <c r="B492" s="631"/>
      <c r="C492" s="631"/>
      <c r="D492" s="631"/>
      <c r="E492" s="631"/>
      <c r="F492" s="631"/>
      <c r="G492" s="632"/>
      <c r="H492" s="584" t="s">
        <v>1071</v>
      </c>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5"/>
      <c r="AL492" s="585"/>
      <c r="AM492" s="585"/>
      <c r="AN492" s="585"/>
      <c r="AO492" s="585"/>
      <c r="AP492" s="585"/>
      <c r="AQ492" s="585"/>
      <c r="AR492" s="585"/>
      <c r="AS492" s="585"/>
      <c r="AT492" s="585"/>
      <c r="AU492" s="585"/>
      <c r="AV492" s="585"/>
      <c r="AW492" s="585"/>
      <c r="AX492" s="585"/>
      <c r="AY492" s="585"/>
      <c r="AZ492" s="585"/>
      <c r="BA492" s="585"/>
      <c r="BB492" s="586"/>
      <c r="BC492" s="675">
        <v>1</v>
      </c>
      <c r="BD492" s="676"/>
      <c r="BE492" s="676"/>
      <c r="BF492" s="676"/>
      <c r="BG492" s="676"/>
      <c r="BH492" s="676"/>
      <c r="BI492" s="676"/>
      <c r="BJ492" s="676"/>
      <c r="BK492" s="676"/>
      <c r="BL492" s="676"/>
      <c r="BM492" s="676"/>
      <c r="BN492" s="676"/>
      <c r="BO492" s="676"/>
      <c r="BP492" s="676"/>
      <c r="BQ492" s="676"/>
      <c r="BR492" s="677"/>
      <c r="BS492" s="627">
        <f t="shared" ref="BS492" si="8">CI492/BC492</f>
        <v>369371.19</v>
      </c>
      <c r="BT492" s="628"/>
      <c r="BU492" s="628"/>
      <c r="BV492" s="628"/>
      <c r="BW492" s="628"/>
      <c r="BX492" s="628"/>
      <c r="BY492" s="628"/>
      <c r="BZ492" s="628"/>
      <c r="CA492" s="628"/>
      <c r="CB492" s="628"/>
      <c r="CC492" s="628"/>
      <c r="CD492" s="628"/>
      <c r="CE492" s="628"/>
      <c r="CF492" s="628"/>
      <c r="CG492" s="628"/>
      <c r="CH492" s="629"/>
      <c r="CI492" s="627">
        <v>369371.19</v>
      </c>
      <c r="CJ492" s="628"/>
      <c r="CK492" s="628"/>
      <c r="CL492" s="628"/>
      <c r="CM492" s="628"/>
      <c r="CN492" s="628"/>
      <c r="CO492" s="628"/>
      <c r="CP492" s="628"/>
      <c r="CQ492" s="628"/>
      <c r="CR492" s="628"/>
      <c r="CS492" s="628"/>
      <c r="CT492" s="628"/>
      <c r="CU492" s="628"/>
      <c r="CV492" s="628"/>
      <c r="CW492" s="628"/>
      <c r="CX492" s="628"/>
      <c r="CY492" s="628"/>
      <c r="CZ492" s="629"/>
      <c r="DA492" s="227">
        <v>630100</v>
      </c>
      <c r="DB492" s="228" t="s">
        <v>638</v>
      </c>
    </row>
    <row r="493" spans="1:106" s="16" customFormat="1" ht="27.6" hidden="1" customHeight="1" x14ac:dyDescent="0.3">
      <c r="A493" s="630" t="s">
        <v>444</v>
      </c>
      <c r="B493" s="631"/>
      <c r="C493" s="631"/>
      <c r="D493" s="631"/>
      <c r="E493" s="631"/>
      <c r="F493" s="631"/>
      <c r="G493" s="632"/>
      <c r="H493" s="584" t="s">
        <v>846</v>
      </c>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5"/>
      <c r="AL493" s="585"/>
      <c r="AM493" s="585"/>
      <c r="AN493" s="585"/>
      <c r="AO493" s="585"/>
      <c r="AP493" s="585"/>
      <c r="AQ493" s="585"/>
      <c r="AR493" s="585"/>
      <c r="AS493" s="585"/>
      <c r="AT493" s="585"/>
      <c r="AU493" s="585"/>
      <c r="AV493" s="585"/>
      <c r="AW493" s="585"/>
      <c r="AX493" s="585"/>
      <c r="AY493" s="585"/>
      <c r="AZ493" s="585"/>
      <c r="BA493" s="585"/>
      <c r="BB493" s="586"/>
      <c r="BC493" s="675">
        <v>1</v>
      </c>
      <c r="BD493" s="676"/>
      <c r="BE493" s="676"/>
      <c r="BF493" s="676"/>
      <c r="BG493" s="676"/>
      <c r="BH493" s="676"/>
      <c r="BI493" s="676"/>
      <c r="BJ493" s="676"/>
      <c r="BK493" s="676"/>
      <c r="BL493" s="676"/>
      <c r="BM493" s="676"/>
      <c r="BN493" s="676"/>
      <c r="BO493" s="676"/>
      <c r="BP493" s="676"/>
      <c r="BQ493" s="676"/>
      <c r="BR493" s="677"/>
      <c r="BS493" s="627">
        <f t="shared" ref="BS493:BS499" si="9">CI493/BC493</f>
        <v>0</v>
      </c>
      <c r="BT493" s="628"/>
      <c r="BU493" s="628"/>
      <c r="BV493" s="628"/>
      <c r="BW493" s="628"/>
      <c r="BX493" s="628"/>
      <c r="BY493" s="628"/>
      <c r="BZ493" s="628"/>
      <c r="CA493" s="628"/>
      <c r="CB493" s="628"/>
      <c r="CC493" s="628"/>
      <c r="CD493" s="628"/>
      <c r="CE493" s="628"/>
      <c r="CF493" s="628"/>
      <c r="CG493" s="628"/>
      <c r="CH493" s="629"/>
      <c r="CI493" s="627"/>
      <c r="CJ493" s="628"/>
      <c r="CK493" s="628"/>
      <c r="CL493" s="628"/>
      <c r="CM493" s="628"/>
      <c r="CN493" s="628"/>
      <c r="CO493" s="628"/>
      <c r="CP493" s="628"/>
      <c r="CQ493" s="628"/>
      <c r="CR493" s="628"/>
      <c r="CS493" s="628"/>
      <c r="CT493" s="628"/>
      <c r="CU493" s="628"/>
      <c r="CV493" s="628"/>
      <c r="CW493" s="628"/>
      <c r="CX493" s="628"/>
      <c r="CY493" s="628"/>
      <c r="CZ493" s="629"/>
      <c r="DA493" s="227"/>
      <c r="DB493" s="228"/>
    </row>
    <row r="494" spans="1:106" s="16" customFormat="1" ht="15" customHeight="1" x14ac:dyDescent="0.3">
      <c r="A494" s="630" t="s">
        <v>71</v>
      </c>
      <c r="B494" s="631"/>
      <c r="C494" s="631"/>
      <c r="D494" s="631"/>
      <c r="E494" s="631"/>
      <c r="F494" s="631"/>
      <c r="G494" s="632"/>
      <c r="H494" s="584" t="s">
        <v>1070</v>
      </c>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5"/>
      <c r="AL494" s="585"/>
      <c r="AM494" s="585"/>
      <c r="AN494" s="585"/>
      <c r="AO494" s="585"/>
      <c r="AP494" s="585"/>
      <c r="AQ494" s="585"/>
      <c r="AR494" s="585"/>
      <c r="AS494" s="585"/>
      <c r="AT494" s="585"/>
      <c r="AU494" s="585"/>
      <c r="AV494" s="585"/>
      <c r="AW494" s="585"/>
      <c r="AX494" s="585"/>
      <c r="AY494" s="585"/>
      <c r="AZ494" s="585"/>
      <c r="BA494" s="585"/>
      <c r="BB494" s="586"/>
      <c r="BC494" s="675">
        <v>1</v>
      </c>
      <c r="BD494" s="676"/>
      <c r="BE494" s="676"/>
      <c r="BF494" s="676"/>
      <c r="BG494" s="676"/>
      <c r="BH494" s="676"/>
      <c r="BI494" s="676"/>
      <c r="BJ494" s="676"/>
      <c r="BK494" s="676"/>
      <c r="BL494" s="676"/>
      <c r="BM494" s="676"/>
      <c r="BN494" s="676"/>
      <c r="BO494" s="676"/>
      <c r="BP494" s="676"/>
      <c r="BQ494" s="676"/>
      <c r="BR494" s="677"/>
      <c r="BS494" s="627">
        <f t="shared" si="9"/>
        <v>3845000</v>
      </c>
      <c r="BT494" s="628"/>
      <c r="BU494" s="628"/>
      <c r="BV494" s="628"/>
      <c r="BW494" s="628"/>
      <c r="BX494" s="628"/>
      <c r="BY494" s="628"/>
      <c r="BZ494" s="628"/>
      <c r="CA494" s="628"/>
      <c r="CB494" s="628"/>
      <c r="CC494" s="628"/>
      <c r="CD494" s="628"/>
      <c r="CE494" s="628"/>
      <c r="CF494" s="628"/>
      <c r="CG494" s="628"/>
      <c r="CH494" s="629"/>
      <c r="CI494" s="627">
        <f>3830322+14678</f>
        <v>3845000</v>
      </c>
      <c r="CJ494" s="628"/>
      <c r="CK494" s="628"/>
      <c r="CL494" s="628"/>
      <c r="CM494" s="628"/>
      <c r="CN494" s="628"/>
      <c r="CO494" s="628"/>
      <c r="CP494" s="628"/>
      <c r="CQ494" s="628"/>
      <c r="CR494" s="628"/>
      <c r="CS494" s="628"/>
      <c r="CT494" s="628"/>
      <c r="CU494" s="628"/>
      <c r="CV494" s="628"/>
      <c r="CW494" s="628"/>
      <c r="CX494" s="628"/>
      <c r="CY494" s="628"/>
      <c r="CZ494" s="629"/>
      <c r="DA494" s="227"/>
      <c r="DB494" s="228"/>
    </row>
    <row r="495" spans="1:106" s="16" customFormat="1" ht="15" hidden="1" customHeight="1" x14ac:dyDescent="0.3">
      <c r="A495" s="630"/>
      <c r="B495" s="631"/>
      <c r="C495" s="631"/>
      <c r="D495" s="631"/>
      <c r="E495" s="631"/>
      <c r="F495" s="631"/>
      <c r="G495" s="632"/>
      <c r="H495" s="584"/>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5"/>
      <c r="AL495" s="585"/>
      <c r="AM495" s="585"/>
      <c r="AN495" s="585"/>
      <c r="AO495" s="585"/>
      <c r="AP495" s="585"/>
      <c r="AQ495" s="585"/>
      <c r="AR495" s="585"/>
      <c r="AS495" s="585"/>
      <c r="AT495" s="585"/>
      <c r="AU495" s="585"/>
      <c r="AV495" s="585"/>
      <c r="AW495" s="585"/>
      <c r="AX495" s="585"/>
      <c r="AY495" s="585"/>
      <c r="AZ495" s="585"/>
      <c r="BA495" s="585"/>
      <c r="BB495" s="586"/>
      <c r="BC495" s="675"/>
      <c r="BD495" s="676"/>
      <c r="BE495" s="676"/>
      <c r="BF495" s="676"/>
      <c r="BG495" s="676"/>
      <c r="BH495" s="676"/>
      <c r="BI495" s="676"/>
      <c r="BJ495" s="676"/>
      <c r="BK495" s="676"/>
      <c r="BL495" s="676"/>
      <c r="BM495" s="676"/>
      <c r="BN495" s="676"/>
      <c r="BO495" s="676"/>
      <c r="BP495" s="676"/>
      <c r="BQ495" s="676"/>
      <c r="BR495" s="677"/>
      <c r="BS495" s="627"/>
      <c r="BT495" s="628"/>
      <c r="BU495" s="628"/>
      <c r="BV495" s="628"/>
      <c r="BW495" s="628"/>
      <c r="BX495" s="628"/>
      <c r="BY495" s="628"/>
      <c r="BZ495" s="628"/>
      <c r="CA495" s="628"/>
      <c r="CB495" s="628"/>
      <c r="CC495" s="628"/>
      <c r="CD495" s="628"/>
      <c r="CE495" s="628"/>
      <c r="CF495" s="628"/>
      <c r="CG495" s="628"/>
      <c r="CH495" s="629"/>
      <c r="CI495" s="627"/>
      <c r="CJ495" s="628"/>
      <c r="CK495" s="628"/>
      <c r="CL495" s="628"/>
      <c r="CM495" s="628"/>
      <c r="CN495" s="628"/>
      <c r="CO495" s="628"/>
      <c r="CP495" s="628"/>
      <c r="CQ495" s="628"/>
      <c r="CR495" s="628"/>
      <c r="CS495" s="628"/>
      <c r="CT495" s="628"/>
      <c r="CU495" s="628"/>
      <c r="CV495" s="628"/>
      <c r="CW495" s="628"/>
      <c r="CX495" s="628"/>
      <c r="CY495" s="628"/>
      <c r="CZ495" s="629"/>
      <c r="DA495" s="227"/>
      <c r="DB495" s="228"/>
    </row>
    <row r="496" spans="1:106" s="16" customFormat="1" ht="15" hidden="1" customHeight="1" x14ac:dyDescent="0.3">
      <c r="A496" s="630" t="s">
        <v>599</v>
      </c>
      <c r="B496" s="631"/>
      <c r="C496" s="631"/>
      <c r="D496" s="631"/>
      <c r="E496" s="631"/>
      <c r="F496" s="631"/>
      <c r="G496" s="632"/>
      <c r="H496" s="584" t="s">
        <v>860</v>
      </c>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5"/>
      <c r="AL496" s="585"/>
      <c r="AM496" s="585"/>
      <c r="AN496" s="585"/>
      <c r="AO496" s="585"/>
      <c r="AP496" s="585"/>
      <c r="AQ496" s="585"/>
      <c r="AR496" s="585"/>
      <c r="AS496" s="585"/>
      <c r="AT496" s="585"/>
      <c r="AU496" s="585"/>
      <c r="AV496" s="585"/>
      <c r="AW496" s="585"/>
      <c r="AX496" s="585"/>
      <c r="AY496" s="585"/>
      <c r="AZ496" s="585"/>
      <c r="BA496" s="585"/>
      <c r="BB496" s="586"/>
      <c r="BC496" s="675">
        <v>13</v>
      </c>
      <c r="BD496" s="676"/>
      <c r="BE496" s="676"/>
      <c r="BF496" s="676"/>
      <c r="BG496" s="676"/>
      <c r="BH496" s="676"/>
      <c r="BI496" s="676"/>
      <c r="BJ496" s="676"/>
      <c r="BK496" s="676"/>
      <c r="BL496" s="676"/>
      <c r="BM496" s="676"/>
      <c r="BN496" s="676"/>
      <c r="BO496" s="676"/>
      <c r="BP496" s="676"/>
      <c r="BQ496" s="676"/>
      <c r="BR496" s="677"/>
      <c r="BS496" s="627">
        <f t="shared" si="9"/>
        <v>0</v>
      </c>
      <c r="BT496" s="628"/>
      <c r="BU496" s="628"/>
      <c r="BV496" s="628"/>
      <c r="BW496" s="628"/>
      <c r="BX496" s="628"/>
      <c r="BY496" s="628"/>
      <c r="BZ496" s="628"/>
      <c r="CA496" s="628"/>
      <c r="CB496" s="628"/>
      <c r="CC496" s="628"/>
      <c r="CD496" s="628"/>
      <c r="CE496" s="628"/>
      <c r="CF496" s="628"/>
      <c r="CG496" s="628"/>
      <c r="CH496" s="629"/>
      <c r="CI496" s="627"/>
      <c r="CJ496" s="628"/>
      <c r="CK496" s="628"/>
      <c r="CL496" s="628"/>
      <c r="CM496" s="628"/>
      <c r="CN496" s="628"/>
      <c r="CO496" s="628"/>
      <c r="CP496" s="628"/>
      <c r="CQ496" s="628"/>
      <c r="CR496" s="628"/>
      <c r="CS496" s="628"/>
      <c r="CT496" s="628"/>
      <c r="CU496" s="628"/>
      <c r="CV496" s="628"/>
      <c r="CW496" s="628"/>
      <c r="CX496" s="628"/>
      <c r="CY496" s="628"/>
      <c r="CZ496" s="629"/>
      <c r="DA496" s="227"/>
      <c r="DB496" s="228"/>
    </row>
    <row r="497" spans="1:106" s="16" customFormat="1" ht="15" hidden="1" customHeight="1" x14ac:dyDescent="0.3">
      <c r="A497" s="630" t="s">
        <v>642</v>
      </c>
      <c r="B497" s="631"/>
      <c r="C497" s="631"/>
      <c r="D497" s="631"/>
      <c r="E497" s="631"/>
      <c r="F497" s="631"/>
      <c r="G497" s="632"/>
      <c r="H497" s="584" t="s">
        <v>887</v>
      </c>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585"/>
      <c r="AE497" s="585"/>
      <c r="AF497" s="585"/>
      <c r="AG497" s="585"/>
      <c r="AH497" s="585"/>
      <c r="AI497" s="585"/>
      <c r="AJ497" s="585"/>
      <c r="AK497" s="585"/>
      <c r="AL497" s="585"/>
      <c r="AM497" s="585"/>
      <c r="AN497" s="585"/>
      <c r="AO497" s="585"/>
      <c r="AP497" s="585"/>
      <c r="AQ497" s="585"/>
      <c r="AR497" s="585"/>
      <c r="AS497" s="585"/>
      <c r="AT497" s="585"/>
      <c r="AU497" s="585"/>
      <c r="AV497" s="585"/>
      <c r="AW497" s="585"/>
      <c r="AX497" s="585"/>
      <c r="AY497" s="585"/>
      <c r="AZ497" s="585"/>
      <c r="BA497" s="585"/>
      <c r="BB497" s="586"/>
      <c r="BC497" s="675">
        <v>1</v>
      </c>
      <c r="BD497" s="676"/>
      <c r="BE497" s="676"/>
      <c r="BF497" s="676"/>
      <c r="BG497" s="676"/>
      <c r="BH497" s="676"/>
      <c r="BI497" s="676"/>
      <c r="BJ497" s="676"/>
      <c r="BK497" s="676"/>
      <c r="BL497" s="676"/>
      <c r="BM497" s="676"/>
      <c r="BN497" s="676"/>
      <c r="BO497" s="676"/>
      <c r="BP497" s="676"/>
      <c r="BQ497" s="676"/>
      <c r="BR497" s="677"/>
      <c r="BS497" s="627">
        <f t="shared" si="9"/>
        <v>0</v>
      </c>
      <c r="BT497" s="628"/>
      <c r="BU497" s="628"/>
      <c r="BV497" s="628"/>
      <c r="BW497" s="628"/>
      <c r="BX497" s="628"/>
      <c r="BY497" s="628"/>
      <c r="BZ497" s="628"/>
      <c r="CA497" s="628"/>
      <c r="CB497" s="628"/>
      <c r="CC497" s="628"/>
      <c r="CD497" s="628"/>
      <c r="CE497" s="628"/>
      <c r="CF497" s="628"/>
      <c r="CG497" s="628"/>
      <c r="CH497" s="629"/>
      <c r="CI497" s="627"/>
      <c r="CJ497" s="628"/>
      <c r="CK497" s="628"/>
      <c r="CL497" s="628"/>
      <c r="CM497" s="628"/>
      <c r="CN497" s="628"/>
      <c r="CO497" s="628"/>
      <c r="CP497" s="628"/>
      <c r="CQ497" s="628"/>
      <c r="CR497" s="628"/>
      <c r="CS497" s="628"/>
      <c r="CT497" s="628"/>
      <c r="CU497" s="628"/>
      <c r="CV497" s="628"/>
      <c r="CW497" s="628"/>
      <c r="CX497" s="628"/>
      <c r="CY497" s="628"/>
      <c r="CZ497" s="629"/>
      <c r="DA497" s="227"/>
      <c r="DB497" s="228"/>
    </row>
    <row r="498" spans="1:106" s="16" customFormat="1" ht="15" customHeight="1" x14ac:dyDescent="0.3">
      <c r="A498" s="630" t="s">
        <v>462</v>
      </c>
      <c r="B498" s="631"/>
      <c r="C498" s="631"/>
      <c r="D498" s="631"/>
      <c r="E498" s="631"/>
      <c r="F498" s="631"/>
      <c r="G498" s="632"/>
      <c r="H498" s="584" t="s">
        <v>639</v>
      </c>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5"/>
      <c r="AF498" s="585"/>
      <c r="AG498" s="585"/>
      <c r="AH498" s="585"/>
      <c r="AI498" s="585"/>
      <c r="AJ498" s="585"/>
      <c r="AK498" s="585"/>
      <c r="AL498" s="585"/>
      <c r="AM498" s="585"/>
      <c r="AN498" s="585"/>
      <c r="AO498" s="585"/>
      <c r="AP498" s="585"/>
      <c r="AQ498" s="585"/>
      <c r="AR498" s="585"/>
      <c r="AS498" s="585"/>
      <c r="AT498" s="585"/>
      <c r="AU498" s="585"/>
      <c r="AV498" s="585"/>
      <c r="AW498" s="585"/>
      <c r="AX498" s="585"/>
      <c r="AY498" s="585"/>
      <c r="AZ498" s="585"/>
      <c r="BA498" s="585"/>
      <c r="BB498" s="586"/>
      <c r="BC498" s="675">
        <v>1</v>
      </c>
      <c r="BD498" s="676"/>
      <c r="BE498" s="676"/>
      <c r="BF498" s="676"/>
      <c r="BG498" s="676"/>
      <c r="BH498" s="676"/>
      <c r="BI498" s="676"/>
      <c r="BJ498" s="676"/>
      <c r="BK498" s="676"/>
      <c r="BL498" s="676"/>
      <c r="BM498" s="676"/>
      <c r="BN498" s="676"/>
      <c r="BO498" s="676"/>
      <c r="BP498" s="676"/>
      <c r="BQ498" s="676"/>
      <c r="BR498" s="677"/>
      <c r="BS498" s="627">
        <f t="shared" si="9"/>
        <v>41340</v>
      </c>
      <c r="BT498" s="628"/>
      <c r="BU498" s="628"/>
      <c r="BV498" s="628"/>
      <c r="BW498" s="628"/>
      <c r="BX498" s="628"/>
      <c r="BY498" s="628"/>
      <c r="BZ498" s="628"/>
      <c r="CA498" s="628"/>
      <c r="CB498" s="628"/>
      <c r="CC498" s="628"/>
      <c r="CD498" s="628"/>
      <c r="CE498" s="628"/>
      <c r="CF498" s="628"/>
      <c r="CG498" s="628"/>
      <c r="CH498" s="629"/>
      <c r="CI498" s="627">
        <v>41340</v>
      </c>
      <c r="CJ498" s="628"/>
      <c r="CK498" s="628"/>
      <c r="CL498" s="628"/>
      <c r="CM498" s="628"/>
      <c r="CN498" s="628"/>
      <c r="CO498" s="628"/>
      <c r="CP498" s="628"/>
      <c r="CQ498" s="628"/>
      <c r="CR498" s="628"/>
      <c r="CS498" s="628"/>
      <c r="CT498" s="628"/>
      <c r="CU498" s="628"/>
      <c r="CV498" s="628"/>
      <c r="CW498" s="628"/>
      <c r="CX498" s="628"/>
      <c r="CY498" s="628"/>
      <c r="CZ498" s="629"/>
      <c r="DA498" s="214"/>
    </row>
    <row r="499" spans="1:106" s="16" customFormat="1" ht="15" customHeight="1" x14ac:dyDescent="0.3">
      <c r="A499" s="630" t="s">
        <v>477</v>
      </c>
      <c r="B499" s="631"/>
      <c r="C499" s="631"/>
      <c r="D499" s="631"/>
      <c r="E499" s="631"/>
      <c r="F499" s="631"/>
      <c r="G499" s="632"/>
      <c r="H499" s="584" t="s">
        <v>640</v>
      </c>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5"/>
      <c r="AL499" s="585"/>
      <c r="AM499" s="585"/>
      <c r="AN499" s="585"/>
      <c r="AO499" s="585"/>
      <c r="AP499" s="585"/>
      <c r="AQ499" s="585"/>
      <c r="AR499" s="585"/>
      <c r="AS499" s="585"/>
      <c r="AT499" s="585"/>
      <c r="AU499" s="585"/>
      <c r="AV499" s="585"/>
      <c r="AW499" s="585"/>
      <c r="AX499" s="585"/>
      <c r="AY499" s="585"/>
      <c r="AZ499" s="585"/>
      <c r="BA499" s="585"/>
      <c r="BB499" s="586"/>
      <c r="BC499" s="675">
        <v>2</v>
      </c>
      <c r="BD499" s="676"/>
      <c r="BE499" s="676"/>
      <c r="BF499" s="676"/>
      <c r="BG499" s="676"/>
      <c r="BH499" s="676"/>
      <c r="BI499" s="676"/>
      <c r="BJ499" s="676"/>
      <c r="BK499" s="676"/>
      <c r="BL499" s="676"/>
      <c r="BM499" s="676"/>
      <c r="BN499" s="676"/>
      <c r="BO499" s="676"/>
      <c r="BP499" s="676"/>
      <c r="BQ499" s="676"/>
      <c r="BR499" s="677"/>
      <c r="BS499" s="627">
        <f t="shared" si="9"/>
        <v>98214.32</v>
      </c>
      <c r="BT499" s="628"/>
      <c r="BU499" s="628"/>
      <c r="BV499" s="628"/>
      <c r="BW499" s="628"/>
      <c r="BX499" s="628"/>
      <c r="BY499" s="628"/>
      <c r="BZ499" s="628"/>
      <c r="CA499" s="628"/>
      <c r="CB499" s="628"/>
      <c r="CC499" s="628"/>
      <c r="CD499" s="628"/>
      <c r="CE499" s="628"/>
      <c r="CF499" s="628"/>
      <c r="CG499" s="628"/>
      <c r="CH499" s="629"/>
      <c r="CI499" s="627">
        <v>196428.64</v>
      </c>
      <c r="CJ499" s="628"/>
      <c r="CK499" s="628"/>
      <c r="CL499" s="628"/>
      <c r="CM499" s="628"/>
      <c r="CN499" s="628"/>
      <c r="CO499" s="628"/>
      <c r="CP499" s="628"/>
      <c r="CQ499" s="628"/>
      <c r="CR499" s="628"/>
      <c r="CS499" s="628"/>
      <c r="CT499" s="628"/>
      <c r="CU499" s="628"/>
      <c r="CV499" s="628"/>
      <c r="CW499" s="628"/>
      <c r="CX499" s="628"/>
      <c r="CY499" s="628"/>
      <c r="CZ499" s="629"/>
      <c r="DA499" s="217">
        <f>CI498+CI499+CI500+CI559+CI876+CI908+CL142</f>
        <v>537200</v>
      </c>
    </row>
    <row r="500" spans="1:106" s="16" customFormat="1" ht="15" customHeight="1" x14ac:dyDescent="0.3">
      <c r="A500" s="630" t="s">
        <v>479</v>
      </c>
      <c r="B500" s="631"/>
      <c r="C500" s="631"/>
      <c r="D500" s="631"/>
      <c r="E500" s="631"/>
      <c r="F500" s="631"/>
      <c r="G500" s="632"/>
      <c r="H500" s="584" t="s">
        <v>641</v>
      </c>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5"/>
      <c r="AL500" s="585"/>
      <c r="AM500" s="585"/>
      <c r="AN500" s="585"/>
      <c r="AO500" s="585"/>
      <c r="AP500" s="585"/>
      <c r="AQ500" s="585"/>
      <c r="AR500" s="585"/>
      <c r="AS500" s="585"/>
      <c r="AT500" s="585"/>
      <c r="AU500" s="585"/>
      <c r="AV500" s="585"/>
      <c r="AW500" s="585"/>
      <c r="AX500" s="585"/>
      <c r="AY500" s="585"/>
      <c r="AZ500" s="585"/>
      <c r="BA500" s="585"/>
      <c r="BB500" s="586"/>
      <c r="BC500" s="675">
        <v>1</v>
      </c>
      <c r="BD500" s="676"/>
      <c r="BE500" s="676"/>
      <c r="BF500" s="676"/>
      <c r="BG500" s="676"/>
      <c r="BH500" s="676"/>
      <c r="BI500" s="676"/>
      <c r="BJ500" s="676"/>
      <c r="BK500" s="676"/>
      <c r="BL500" s="676"/>
      <c r="BM500" s="676"/>
      <c r="BN500" s="676"/>
      <c r="BO500" s="676"/>
      <c r="BP500" s="676"/>
      <c r="BQ500" s="676"/>
      <c r="BR500" s="677"/>
      <c r="BS500" s="627">
        <f>CI500/BC500</f>
        <v>33000</v>
      </c>
      <c r="BT500" s="628"/>
      <c r="BU500" s="628"/>
      <c r="BV500" s="628"/>
      <c r="BW500" s="628"/>
      <c r="BX500" s="628"/>
      <c r="BY500" s="628"/>
      <c r="BZ500" s="628"/>
      <c r="CA500" s="628"/>
      <c r="CB500" s="628"/>
      <c r="CC500" s="628"/>
      <c r="CD500" s="628"/>
      <c r="CE500" s="628"/>
      <c r="CF500" s="628"/>
      <c r="CG500" s="628"/>
      <c r="CH500" s="629"/>
      <c r="CI500" s="627">
        <f>30000+3000</f>
        <v>33000</v>
      </c>
      <c r="CJ500" s="628"/>
      <c r="CK500" s="628"/>
      <c r="CL500" s="628"/>
      <c r="CM500" s="628"/>
      <c r="CN500" s="628"/>
      <c r="CO500" s="628"/>
      <c r="CP500" s="628"/>
      <c r="CQ500" s="628"/>
      <c r="CR500" s="628"/>
      <c r="CS500" s="628"/>
      <c r="CT500" s="628"/>
      <c r="CU500" s="628"/>
      <c r="CV500" s="628"/>
      <c r="CW500" s="628"/>
      <c r="CX500" s="628"/>
      <c r="CY500" s="628"/>
      <c r="CZ500" s="629"/>
      <c r="DA500" s="217"/>
    </row>
    <row r="501" spans="1:106" s="16" customFormat="1" ht="24.75" hidden="1" customHeight="1" x14ac:dyDescent="0.3">
      <c r="A501" s="630" t="s">
        <v>642</v>
      </c>
      <c r="B501" s="631"/>
      <c r="C501" s="631"/>
      <c r="D501" s="631"/>
      <c r="E501" s="631"/>
      <c r="F501" s="631"/>
      <c r="G501" s="632"/>
      <c r="H501" s="584" t="s">
        <v>643</v>
      </c>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5"/>
      <c r="AL501" s="585"/>
      <c r="AM501" s="585"/>
      <c r="AN501" s="585"/>
      <c r="AO501" s="585"/>
      <c r="AP501" s="585"/>
      <c r="AQ501" s="585"/>
      <c r="AR501" s="585"/>
      <c r="AS501" s="585"/>
      <c r="AT501" s="585"/>
      <c r="AU501" s="585"/>
      <c r="AV501" s="585"/>
      <c r="AW501" s="585"/>
      <c r="AX501" s="585"/>
      <c r="AY501" s="585"/>
      <c r="AZ501" s="585"/>
      <c r="BA501" s="585"/>
      <c r="BB501" s="586"/>
      <c r="BC501" s="675"/>
      <c r="BD501" s="676"/>
      <c r="BE501" s="676"/>
      <c r="BF501" s="676"/>
      <c r="BG501" s="676"/>
      <c r="BH501" s="676"/>
      <c r="BI501" s="676"/>
      <c r="BJ501" s="676"/>
      <c r="BK501" s="676"/>
      <c r="BL501" s="676"/>
      <c r="BM501" s="676"/>
      <c r="BN501" s="676"/>
      <c r="BO501" s="676"/>
      <c r="BP501" s="676"/>
      <c r="BQ501" s="676"/>
      <c r="BR501" s="677"/>
      <c r="BS501" s="627"/>
      <c r="BT501" s="628"/>
      <c r="BU501" s="628"/>
      <c r="BV501" s="628"/>
      <c r="BW501" s="628"/>
      <c r="BX501" s="628"/>
      <c r="BY501" s="628"/>
      <c r="BZ501" s="628"/>
      <c r="CA501" s="628"/>
      <c r="CB501" s="628"/>
      <c r="CC501" s="628"/>
      <c r="CD501" s="628"/>
      <c r="CE501" s="628"/>
      <c r="CF501" s="628"/>
      <c r="CG501" s="628"/>
      <c r="CH501" s="629"/>
      <c r="CI501" s="627"/>
      <c r="CJ501" s="628"/>
      <c r="CK501" s="628"/>
      <c r="CL501" s="628"/>
      <c r="CM501" s="628"/>
      <c r="CN501" s="628"/>
      <c r="CO501" s="628"/>
      <c r="CP501" s="628"/>
      <c r="CQ501" s="628"/>
      <c r="CR501" s="628"/>
      <c r="CS501" s="628"/>
      <c r="CT501" s="628"/>
      <c r="CU501" s="628"/>
      <c r="CV501" s="628"/>
      <c r="CW501" s="628"/>
      <c r="CX501" s="628"/>
      <c r="CY501" s="628"/>
      <c r="CZ501" s="629"/>
      <c r="DA501" s="227"/>
    </row>
    <row r="502" spans="1:106" s="16" customFormat="1" ht="15" customHeight="1" x14ac:dyDescent="0.3">
      <c r="A502" s="633" t="s">
        <v>292</v>
      </c>
      <c r="B502" s="634"/>
      <c r="C502" s="634"/>
      <c r="D502" s="634"/>
      <c r="E502" s="634"/>
      <c r="F502" s="634"/>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634"/>
      <c r="AD502" s="634"/>
      <c r="AE502" s="634"/>
      <c r="AF502" s="634"/>
      <c r="AG502" s="634"/>
      <c r="AH502" s="634"/>
      <c r="AI502" s="634"/>
      <c r="AJ502" s="634"/>
      <c r="AK502" s="634"/>
      <c r="AL502" s="634"/>
      <c r="AM502" s="634"/>
      <c r="AN502" s="634"/>
      <c r="AO502" s="634"/>
      <c r="AP502" s="634"/>
      <c r="AQ502" s="634"/>
      <c r="AR502" s="634"/>
      <c r="AS502" s="634"/>
      <c r="AT502" s="634"/>
      <c r="AU502" s="634"/>
      <c r="AV502" s="634"/>
      <c r="AW502" s="634"/>
      <c r="AX502" s="634"/>
      <c r="AY502" s="634"/>
      <c r="AZ502" s="634"/>
      <c r="BA502" s="634"/>
      <c r="BB502" s="635"/>
      <c r="BC502" s="544" t="s">
        <v>4</v>
      </c>
      <c r="BD502" s="545"/>
      <c r="BE502" s="545"/>
      <c r="BF502" s="545"/>
      <c r="BG502" s="545"/>
      <c r="BH502" s="545"/>
      <c r="BI502" s="545"/>
      <c r="BJ502" s="545"/>
      <c r="BK502" s="545"/>
      <c r="BL502" s="545"/>
      <c r="BM502" s="545"/>
      <c r="BN502" s="545"/>
      <c r="BO502" s="545"/>
      <c r="BP502" s="545"/>
      <c r="BQ502" s="545"/>
      <c r="BR502" s="546"/>
      <c r="BS502" s="544" t="s">
        <v>4</v>
      </c>
      <c r="BT502" s="545"/>
      <c r="BU502" s="545"/>
      <c r="BV502" s="545"/>
      <c r="BW502" s="545"/>
      <c r="BX502" s="545"/>
      <c r="BY502" s="545"/>
      <c r="BZ502" s="545"/>
      <c r="CA502" s="545"/>
      <c r="CB502" s="545"/>
      <c r="CC502" s="545"/>
      <c r="CD502" s="545"/>
      <c r="CE502" s="545"/>
      <c r="CF502" s="545"/>
      <c r="CG502" s="545"/>
      <c r="CH502" s="546"/>
      <c r="CI502" s="636">
        <f>SUM(CI491:CZ500)</f>
        <v>11238119.830000002</v>
      </c>
      <c r="CJ502" s="637"/>
      <c r="CK502" s="637"/>
      <c r="CL502" s="637"/>
      <c r="CM502" s="637"/>
      <c r="CN502" s="637"/>
      <c r="CO502" s="637"/>
      <c r="CP502" s="637"/>
      <c r="CQ502" s="637"/>
      <c r="CR502" s="637"/>
      <c r="CS502" s="637"/>
      <c r="CT502" s="637"/>
      <c r="CU502" s="637"/>
      <c r="CV502" s="637"/>
      <c r="CW502" s="637"/>
      <c r="CX502" s="637"/>
      <c r="CY502" s="637"/>
      <c r="CZ502" s="638"/>
      <c r="DA502" s="217"/>
      <c r="DB502" s="228" t="s">
        <v>644</v>
      </c>
    </row>
    <row r="503" spans="1:106" s="16" customFormat="1" ht="15" customHeight="1" x14ac:dyDescent="0.3">
      <c r="A503" s="553" t="s">
        <v>56</v>
      </c>
      <c r="B503" s="554"/>
      <c r="C503" s="554"/>
      <c r="D503" s="554"/>
      <c r="E503" s="554"/>
      <c r="F503" s="554"/>
      <c r="G503" s="554"/>
      <c r="H503" s="554"/>
      <c r="I503" s="554"/>
      <c r="J503" s="554"/>
      <c r="K503" s="554"/>
      <c r="L503" s="554"/>
      <c r="M503" s="554"/>
      <c r="N503" s="554"/>
      <c r="O503" s="554"/>
      <c r="P503" s="554"/>
      <c r="Q503" s="554"/>
      <c r="R503" s="554"/>
      <c r="S503" s="554"/>
      <c r="T503" s="554"/>
      <c r="U503" s="554"/>
      <c r="V503" s="554"/>
      <c r="W503" s="554"/>
      <c r="X503" s="554"/>
      <c r="Y503" s="554"/>
      <c r="Z503" s="554"/>
      <c r="AA503" s="554"/>
      <c r="AB503" s="554"/>
      <c r="AC503" s="554"/>
      <c r="AD503" s="554"/>
      <c r="AE503" s="554"/>
      <c r="AF503" s="554"/>
      <c r="AG503" s="554"/>
      <c r="AH503" s="554"/>
      <c r="AI503" s="554"/>
      <c r="AJ503" s="554"/>
      <c r="AK503" s="554"/>
      <c r="AL503" s="554"/>
      <c r="AM503" s="554"/>
      <c r="AN503" s="554"/>
      <c r="AO503" s="554"/>
      <c r="AP503" s="554"/>
      <c r="AQ503" s="554"/>
      <c r="AR503" s="554"/>
      <c r="AS503" s="554"/>
      <c r="AT503" s="554"/>
      <c r="AU503" s="554"/>
      <c r="AV503" s="554"/>
      <c r="AW503" s="554"/>
      <c r="AX503" s="554"/>
      <c r="AY503" s="554"/>
      <c r="AZ503" s="554"/>
      <c r="BA503" s="554"/>
      <c r="BB503" s="555"/>
      <c r="BC503" s="582" t="s">
        <v>4</v>
      </c>
      <c r="BD503" s="582"/>
      <c r="BE503" s="582"/>
      <c r="BF503" s="582"/>
      <c r="BG503" s="582"/>
      <c r="BH503" s="582"/>
      <c r="BI503" s="582"/>
      <c r="BJ503" s="582"/>
      <c r="BK503" s="582"/>
      <c r="BL503" s="582"/>
      <c r="BM503" s="582"/>
      <c r="BN503" s="582"/>
      <c r="BO503" s="582"/>
      <c r="BP503" s="582"/>
      <c r="BQ503" s="582"/>
      <c r="BR503" s="582"/>
      <c r="BS503" s="582" t="s">
        <v>4</v>
      </c>
      <c r="BT503" s="582"/>
      <c r="BU503" s="582"/>
      <c r="BV503" s="582"/>
      <c r="BW503" s="582"/>
      <c r="BX503" s="582"/>
      <c r="BY503" s="582"/>
      <c r="BZ503" s="582"/>
      <c r="CA503" s="582"/>
      <c r="CB503" s="582"/>
      <c r="CC503" s="582"/>
      <c r="CD503" s="582"/>
      <c r="CE503" s="582"/>
      <c r="CF503" s="582"/>
      <c r="CG503" s="582"/>
      <c r="CH503" s="582"/>
      <c r="CI503" s="611">
        <f>CI482+CI489+CI502</f>
        <v>15424018.860000001</v>
      </c>
      <c r="CJ503" s="560"/>
      <c r="CK503" s="560"/>
      <c r="CL503" s="560"/>
      <c r="CM503" s="560"/>
      <c r="CN503" s="560"/>
      <c r="CO503" s="560"/>
      <c r="CP503" s="560"/>
      <c r="CQ503" s="560"/>
      <c r="CR503" s="560"/>
      <c r="CS503" s="560"/>
      <c r="CT503" s="560"/>
      <c r="CU503" s="560"/>
      <c r="CV503" s="560"/>
      <c r="CW503" s="560"/>
      <c r="CX503" s="560"/>
      <c r="CY503" s="560"/>
      <c r="CZ503" s="560"/>
      <c r="DA503" s="220"/>
    </row>
    <row r="504" spans="1:106" s="16" customFormat="1" ht="15" customHeight="1" x14ac:dyDescent="0.3">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3"/>
      <c r="BD504" s="223"/>
      <c r="BE504" s="223"/>
      <c r="BF504" s="223"/>
      <c r="BG504" s="223"/>
      <c r="BH504" s="223"/>
      <c r="BI504" s="223"/>
      <c r="BJ504" s="223"/>
      <c r="BK504" s="223"/>
      <c r="BL504" s="223"/>
      <c r="BM504" s="223"/>
      <c r="BN504" s="223"/>
      <c r="BO504" s="223"/>
      <c r="BP504" s="223"/>
      <c r="BQ504" s="223"/>
      <c r="BR504" s="223"/>
      <c r="BS504" s="223"/>
      <c r="BT504" s="223"/>
      <c r="BU504" s="223"/>
      <c r="BV504" s="223"/>
      <c r="BW504" s="223"/>
      <c r="BX504" s="223"/>
      <c r="BY504" s="223"/>
      <c r="BZ504" s="223"/>
      <c r="CA504" s="223"/>
      <c r="CB504" s="223"/>
      <c r="CC504" s="223"/>
      <c r="CD504" s="223"/>
      <c r="CE504" s="223"/>
      <c r="CF504" s="223"/>
      <c r="CG504" s="223"/>
      <c r="CH504" s="223"/>
      <c r="CI504" s="229"/>
      <c r="CJ504" s="45"/>
      <c r="CK504" s="45"/>
      <c r="CL504" s="45"/>
      <c r="CM504" s="45"/>
      <c r="CN504" s="45"/>
      <c r="CO504" s="45"/>
      <c r="CP504" s="45"/>
      <c r="CQ504" s="45"/>
      <c r="CR504" s="45"/>
      <c r="CS504" s="45"/>
      <c r="CT504" s="45"/>
      <c r="CU504" s="45"/>
      <c r="CV504" s="45"/>
      <c r="CW504" s="45"/>
      <c r="CX504" s="45"/>
      <c r="CY504" s="45"/>
      <c r="CZ504" s="45"/>
      <c r="DA504" s="220"/>
    </row>
    <row r="505" spans="1:106" s="20" customFormat="1" ht="14.25" customHeight="1" x14ac:dyDescent="0.25">
      <c r="A505" s="594" t="s">
        <v>360</v>
      </c>
      <c r="B505" s="594"/>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4"/>
      <c r="AL505" s="594"/>
      <c r="AM505" s="594"/>
      <c r="AN505" s="594"/>
      <c r="AO505" s="594"/>
      <c r="AP505" s="594"/>
      <c r="AQ505" s="594"/>
      <c r="AR505" s="594"/>
      <c r="AS505" s="594"/>
      <c r="AT505" s="594"/>
      <c r="AU505" s="594"/>
      <c r="AV505" s="594"/>
      <c r="AW505" s="594"/>
      <c r="AX505" s="594"/>
      <c r="AY505" s="594"/>
      <c r="AZ505" s="594"/>
      <c r="BA505" s="594"/>
      <c r="BB505" s="594"/>
      <c r="BC505" s="594"/>
      <c r="BD505" s="594"/>
      <c r="BE505" s="594"/>
      <c r="BF505" s="594"/>
      <c r="BG505" s="594"/>
      <c r="BH505" s="594"/>
      <c r="BI505" s="594"/>
      <c r="BJ505" s="594"/>
      <c r="BK505" s="594"/>
      <c r="BL505" s="594"/>
      <c r="BM505" s="594"/>
      <c r="BN505" s="594"/>
      <c r="BO505" s="594"/>
      <c r="BP505" s="594"/>
      <c r="BQ505" s="594"/>
      <c r="BR505" s="594"/>
      <c r="BS505" s="594"/>
      <c r="BT505" s="594"/>
      <c r="BU505" s="594"/>
      <c r="BV505" s="594"/>
      <c r="BW505" s="594"/>
      <c r="BX505" s="594"/>
      <c r="BY505" s="594"/>
      <c r="BZ505" s="594"/>
      <c r="CA505" s="594"/>
      <c r="CB505" s="594"/>
      <c r="CC505" s="594"/>
      <c r="CD505" s="594"/>
      <c r="CE505" s="594"/>
      <c r="CF505" s="594"/>
      <c r="CG505" s="594"/>
      <c r="CH505" s="594"/>
      <c r="CI505" s="594"/>
      <c r="CJ505" s="594"/>
      <c r="CK505" s="594"/>
      <c r="CL505" s="594"/>
      <c r="CM505" s="594"/>
      <c r="CN505" s="594"/>
      <c r="CO505" s="594"/>
      <c r="CP505" s="594"/>
      <c r="CQ505" s="594"/>
      <c r="CR505" s="594"/>
      <c r="CS505" s="594"/>
      <c r="CT505" s="594"/>
      <c r="CU505" s="594"/>
      <c r="CV505" s="594"/>
      <c r="CW505" s="594"/>
      <c r="CX505" s="594"/>
      <c r="CY505" s="594"/>
      <c r="CZ505" s="594"/>
    </row>
    <row r="506" spans="1:106" s="20" customFormat="1" ht="9" customHeight="1" x14ac:dyDescent="0.25"/>
    <row r="507" spans="1:106" s="20" customFormat="1" ht="14.25" customHeight="1" x14ac:dyDescent="0.25">
      <c r="A507" s="20" t="s">
        <v>47</v>
      </c>
      <c r="W507" s="595" t="s">
        <v>587</v>
      </c>
      <c r="X507" s="595"/>
      <c r="Y507" s="595"/>
      <c r="Z507" s="595"/>
      <c r="AA507" s="595"/>
      <c r="AB507" s="595"/>
      <c r="AC507" s="595"/>
      <c r="AD507" s="595"/>
      <c r="AE507" s="595"/>
      <c r="AF507" s="595"/>
      <c r="AG507" s="595"/>
      <c r="AH507" s="595"/>
      <c r="AI507" s="595"/>
      <c r="AJ507" s="595"/>
      <c r="AK507" s="595"/>
      <c r="AL507" s="595"/>
      <c r="AM507" s="595"/>
      <c r="AN507" s="595"/>
      <c r="AO507" s="595"/>
      <c r="AP507" s="595"/>
      <c r="AQ507" s="595"/>
      <c r="AR507" s="595"/>
      <c r="AS507" s="595"/>
      <c r="AT507" s="595"/>
      <c r="AU507" s="595"/>
      <c r="AV507" s="595"/>
      <c r="AW507" s="595"/>
      <c r="AX507" s="595"/>
      <c r="AY507" s="595"/>
      <c r="AZ507" s="595"/>
      <c r="BA507" s="595"/>
      <c r="BB507" s="595"/>
      <c r="BC507" s="595"/>
      <c r="BD507" s="595"/>
      <c r="BE507" s="595"/>
      <c r="BF507" s="595"/>
      <c r="BG507" s="595"/>
      <c r="BH507" s="595"/>
      <c r="BI507" s="595"/>
      <c r="BJ507" s="595"/>
      <c r="BK507" s="595"/>
      <c r="BL507" s="595"/>
      <c r="BM507" s="595"/>
      <c r="BN507" s="595"/>
      <c r="BO507" s="595"/>
      <c r="BP507" s="595"/>
      <c r="BQ507" s="595"/>
      <c r="BR507" s="595"/>
      <c r="BS507" s="595"/>
      <c r="BT507" s="595"/>
      <c r="BU507" s="595"/>
      <c r="BV507" s="595"/>
      <c r="BW507" s="595"/>
      <c r="BX507" s="595"/>
      <c r="BY507" s="595"/>
      <c r="BZ507" s="595"/>
      <c r="CA507" s="595"/>
      <c r="CB507" s="595"/>
      <c r="CC507" s="595"/>
      <c r="CD507" s="595"/>
      <c r="CE507" s="595"/>
      <c r="CF507" s="595"/>
      <c r="CG507" s="595"/>
      <c r="CH507" s="595"/>
      <c r="CI507" s="595"/>
      <c r="CJ507" s="595"/>
      <c r="CK507" s="595"/>
      <c r="CL507" s="595"/>
      <c r="CM507" s="595"/>
      <c r="CN507" s="595"/>
      <c r="CO507" s="595"/>
      <c r="CP507" s="595"/>
      <c r="CQ507" s="595"/>
      <c r="CR507" s="595"/>
      <c r="CS507" s="595"/>
      <c r="CT507" s="595"/>
      <c r="CU507" s="595"/>
      <c r="CV507" s="595"/>
      <c r="CW507" s="595"/>
      <c r="CX507" s="595"/>
      <c r="CY507" s="595"/>
      <c r="CZ507" s="595"/>
      <c r="DA507" s="230">
        <v>226</v>
      </c>
    </row>
    <row r="508" spans="1:106" s="20" customFormat="1" ht="10.5" customHeight="1" x14ac:dyDescent="0.25"/>
    <row r="509" spans="1:106" ht="30" customHeight="1" x14ac:dyDescent="0.25">
      <c r="A509" s="475" t="s">
        <v>49</v>
      </c>
      <c r="B509" s="476"/>
      <c r="C509" s="476"/>
      <c r="D509" s="476"/>
      <c r="E509" s="476"/>
      <c r="F509" s="476"/>
      <c r="G509" s="477"/>
      <c r="H509" s="475" t="s">
        <v>78</v>
      </c>
      <c r="I509" s="476"/>
      <c r="J509" s="476"/>
      <c r="K509" s="476"/>
      <c r="L509" s="476"/>
      <c r="M509" s="476"/>
      <c r="N509" s="476"/>
      <c r="O509" s="476"/>
      <c r="P509" s="476"/>
      <c r="Q509" s="476"/>
      <c r="R509" s="476"/>
      <c r="S509" s="476"/>
      <c r="T509" s="476"/>
      <c r="U509" s="476"/>
      <c r="V509" s="476"/>
      <c r="W509" s="476"/>
      <c r="X509" s="476"/>
      <c r="Y509" s="476"/>
      <c r="Z509" s="476"/>
      <c r="AA509" s="476"/>
      <c r="AB509" s="476"/>
      <c r="AC509" s="476"/>
      <c r="AD509" s="476"/>
      <c r="AE509" s="476"/>
      <c r="AF509" s="476"/>
      <c r="AG509" s="476"/>
      <c r="AH509" s="476"/>
      <c r="AI509" s="476"/>
      <c r="AJ509" s="476"/>
      <c r="AK509" s="476"/>
      <c r="AL509" s="476"/>
      <c r="AM509" s="476"/>
      <c r="AN509" s="476"/>
      <c r="AO509" s="476"/>
      <c r="AP509" s="476"/>
      <c r="AQ509" s="476"/>
      <c r="AR509" s="476"/>
      <c r="AS509" s="476"/>
      <c r="AT509" s="476"/>
      <c r="AU509" s="476"/>
      <c r="AV509" s="476"/>
      <c r="AW509" s="476"/>
      <c r="AX509" s="476"/>
      <c r="AY509" s="476"/>
      <c r="AZ509" s="476"/>
      <c r="BA509" s="476"/>
      <c r="BB509" s="476"/>
      <c r="BC509" s="476"/>
      <c r="BD509" s="476"/>
      <c r="BE509" s="476"/>
      <c r="BF509" s="476"/>
      <c r="BG509" s="476"/>
      <c r="BH509" s="476"/>
      <c r="BI509" s="476"/>
      <c r="BJ509" s="476"/>
      <c r="BK509" s="476"/>
      <c r="BL509" s="476"/>
      <c r="BM509" s="476"/>
      <c r="BN509" s="476"/>
      <c r="BO509" s="476"/>
      <c r="BP509" s="476"/>
      <c r="BQ509" s="476"/>
      <c r="BR509" s="477"/>
      <c r="BS509" s="606" t="s">
        <v>291</v>
      </c>
      <c r="BT509" s="606"/>
      <c r="BU509" s="606"/>
      <c r="BV509" s="606"/>
      <c r="BW509" s="606"/>
      <c r="BX509" s="606"/>
      <c r="BY509" s="606"/>
      <c r="BZ509" s="606"/>
      <c r="CA509" s="606"/>
      <c r="CB509" s="606"/>
      <c r="CC509" s="606"/>
      <c r="CD509" s="606"/>
      <c r="CE509" s="606"/>
      <c r="CF509" s="606"/>
      <c r="CG509" s="606"/>
      <c r="CH509" s="606"/>
      <c r="CI509" s="606" t="s">
        <v>99</v>
      </c>
      <c r="CJ509" s="606"/>
      <c r="CK509" s="606"/>
      <c r="CL509" s="606"/>
      <c r="CM509" s="606"/>
      <c r="CN509" s="606"/>
      <c r="CO509" s="606"/>
      <c r="CP509" s="606"/>
      <c r="CQ509" s="606"/>
      <c r="CR509" s="606"/>
      <c r="CS509" s="606"/>
      <c r="CT509" s="606"/>
      <c r="CU509" s="606"/>
      <c r="CV509" s="606"/>
      <c r="CW509" s="606"/>
      <c r="CX509" s="606"/>
      <c r="CY509" s="606"/>
      <c r="CZ509" s="606"/>
    </row>
    <row r="510" spans="1:106" s="17" customFormat="1" ht="12.75" customHeight="1" x14ac:dyDescent="0.25">
      <c r="A510" s="591">
        <v>1</v>
      </c>
      <c r="B510" s="591"/>
      <c r="C510" s="591"/>
      <c r="D510" s="591"/>
      <c r="E510" s="591"/>
      <c r="F510" s="591"/>
      <c r="G510" s="591"/>
      <c r="H510" s="591">
        <v>2</v>
      </c>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1"/>
      <c r="AL510" s="591"/>
      <c r="AM510" s="591"/>
      <c r="AN510" s="591"/>
      <c r="AO510" s="591"/>
      <c r="AP510" s="591"/>
      <c r="AQ510" s="591"/>
      <c r="AR510" s="591"/>
      <c r="AS510" s="591"/>
      <c r="AT510" s="591"/>
      <c r="AU510" s="591"/>
      <c r="AV510" s="591"/>
      <c r="AW510" s="591"/>
      <c r="AX510" s="591"/>
      <c r="AY510" s="591"/>
      <c r="AZ510" s="591"/>
      <c r="BA510" s="591"/>
      <c r="BB510" s="591"/>
      <c r="BC510" s="591"/>
      <c r="BD510" s="591"/>
      <c r="BE510" s="591"/>
      <c r="BF510" s="591"/>
      <c r="BG510" s="591"/>
      <c r="BH510" s="591"/>
      <c r="BI510" s="591"/>
      <c r="BJ510" s="591"/>
      <c r="BK510" s="591"/>
      <c r="BL510" s="591"/>
      <c r="BM510" s="591"/>
      <c r="BN510" s="591"/>
      <c r="BO510" s="591"/>
      <c r="BP510" s="591"/>
      <c r="BQ510" s="591"/>
      <c r="BR510" s="591"/>
      <c r="BS510" s="591">
        <v>3</v>
      </c>
      <c r="BT510" s="591"/>
      <c r="BU510" s="591"/>
      <c r="BV510" s="591"/>
      <c r="BW510" s="591"/>
      <c r="BX510" s="591"/>
      <c r="BY510" s="591"/>
      <c r="BZ510" s="591"/>
      <c r="CA510" s="591"/>
      <c r="CB510" s="591"/>
      <c r="CC510" s="591"/>
      <c r="CD510" s="591"/>
      <c r="CE510" s="591"/>
      <c r="CF510" s="591"/>
      <c r="CG510" s="591"/>
      <c r="CH510" s="591"/>
      <c r="CI510" s="591">
        <v>4</v>
      </c>
      <c r="CJ510" s="591"/>
      <c r="CK510" s="591"/>
      <c r="CL510" s="591"/>
      <c r="CM510" s="591"/>
      <c r="CN510" s="591"/>
      <c r="CO510" s="591"/>
      <c r="CP510" s="591"/>
      <c r="CQ510" s="591"/>
      <c r="CR510" s="591"/>
      <c r="CS510" s="591"/>
      <c r="CT510" s="591"/>
      <c r="CU510" s="591"/>
      <c r="CV510" s="591"/>
      <c r="CW510" s="591"/>
      <c r="CX510" s="591"/>
      <c r="CY510" s="591"/>
      <c r="CZ510" s="591"/>
      <c r="DA510" s="232"/>
    </row>
    <row r="511" spans="1:106" ht="15" customHeight="1" x14ac:dyDescent="0.25">
      <c r="A511" s="656" t="s">
        <v>537</v>
      </c>
      <c r="B511" s="657"/>
      <c r="C511" s="657"/>
      <c r="D511" s="657"/>
      <c r="E511" s="657"/>
      <c r="F511" s="657"/>
      <c r="G511" s="657"/>
      <c r="H511" s="657"/>
      <c r="I511" s="657"/>
      <c r="J511" s="657"/>
      <c r="K511" s="657"/>
      <c r="L511" s="657"/>
      <c r="M511" s="657"/>
      <c r="N511" s="657"/>
      <c r="O511" s="657"/>
      <c r="P511" s="657"/>
      <c r="Q511" s="657"/>
      <c r="R511" s="657"/>
      <c r="S511" s="657"/>
      <c r="T511" s="657"/>
      <c r="U511" s="657"/>
      <c r="V511" s="657"/>
      <c r="W511" s="657"/>
      <c r="X511" s="657"/>
      <c r="Y511" s="657"/>
      <c r="Z511" s="657"/>
      <c r="AA511" s="657"/>
      <c r="AB511" s="657"/>
      <c r="AC511" s="657"/>
      <c r="AD511" s="657"/>
      <c r="AE511" s="657"/>
      <c r="AF511" s="657"/>
      <c r="AG511" s="657"/>
      <c r="AH511" s="657"/>
      <c r="AI511" s="657"/>
      <c r="AJ511" s="657"/>
      <c r="AK511" s="657"/>
      <c r="AL511" s="657"/>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57"/>
      <c r="BQ511" s="657"/>
      <c r="BR511" s="657"/>
      <c r="BS511" s="657"/>
      <c r="BT511" s="657"/>
      <c r="BU511" s="657"/>
      <c r="BV511" s="657"/>
      <c r="BW511" s="657"/>
      <c r="BX511" s="657"/>
      <c r="BY511" s="657"/>
      <c r="BZ511" s="657"/>
      <c r="CA511" s="657"/>
      <c r="CB511" s="657"/>
      <c r="CC511" s="657"/>
      <c r="CD511" s="657"/>
      <c r="CE511" s="657"/>
      <c r="CF511" s="657"/>
      <c r="CG511" s="657"/>
      <c r="CH511" s="657"/>
      <c r="CI511" s="657"/>
      <c r="CJ511" s="657"/>
      <c r="CK511" s="657"/>
      <c r="CL511" s="657"/>
      <c r="CM511" s="657"/>
      <c r="CN511" s="657"/>
      <c r="CO511" s="657"/>
      <c r="CP511" s="657"/>
      <c r="CQ511" s="657"/>
      <c r="CR511" s="657"/>
      <c r="CS511" s="657"/>
      <c r="CT511" s="657"/>
      <c r="CU511" s="657"/>
      <c r="CV511" s="657"/>
      <c r="CW511" s="657"/>
      <c r="CX511" s="657"/>
      <c r="CY511" s="657"/>
      <c r="CZ511" s="658"/>
    </row>
    <row r="512" spans="1:106" ht="19.5" hidden="1" customHeight="1" x14ac:dyDescent="0.25">
      <c r="A512" s="659" t="s">
        <v>441</v>
      </c>
      <c r="B512" s="659"/>
      <c r="C512" s="659"/>
      <c r="D512" s="659"/>
      <c r="E512" s="659"/>
      <c r="F512" s="659"/>
      <c r="G512" s="659"/>
      <c r="H512" s="584" t="s">
        <v>645</v>
      </c>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5"/>
      <c r="AL512" s="585"/>
      <c r="AM512" s="585"/>
      <c r="AN512" s="585"/>
      <c r="AO512" s="585"/>
      <c r="AP512" s="585"/>
      <c r="AQ512" s="585"/>
      <c r="AR512" s="585"/>
      <c r="AS512" s="585"/>
      <c r="AT512" s="585"/>
      <c r="AU512" s="585"/>
      <c r="AV512" s="585"/>
      <c r="AW512" s="585"/>
      <c r="AX512" s="585"/>
      <c r="AY512" s="585"/>
      <c r="AZ512" s="585"/>
      <c r="BA512" s="585"/>
      <c r="BB512" s="585"/>
      <c r="BC512" s="585"/>
      <c r="BD512" s="585"/>
      <c r="BE512" s="585"/>
      <c r="BF512" s="585"/>
      <c r="BG512" s="585"/>
      <c r="BH512" s="585"/>
      <c r="BI512" s="585"/>
      <c r="BJ512" s="585"/>
      <c r="BK512" s="585"/>
      <c r="BL512" s="585"/>
      <c r="BM512" s="585"/>
      <c r="BN512" s="585"/>
      <c r="BO512" s="585"/>
      <c r="BP512" s="585"/>
      <c r="BQ512" s="585"/>
      <c r="BR512" s="586"/>
      <c r="BS512" s="582">
        <v>1</v>
      </c>
      <c r="BT512" s="582"/>
      <c r="BU512" s="582"/>
      <c r="BV512" s="582"/>
      <c r="BW512" s="582"/>
      <c r="BX512" s="582"/>
      <c r="BY512" s="582"/>
      <c r="BZ512" s="582"/>
      <c r="CA512" s="582"/>
      <c r="CB512" s="582"/>
      <c r="CC512" s="582"/>
      <c r="CD512" s="582"/>
      <c r="CE512" s="582"/>
      <c r="CF512" s="582"/>
      <c r="CG512" s="582"/>
      <c r="CH512" s="582"/>
      <c r="CI512" s="664"/>
      <c r="CJ512" s="664"/>
      <c r="CK512" s="664"/>
      <c r="CL512" s="664"/>
      <c r="CM512" s="664"/>
      <c r="CN512" s="664"/>
      <c r="CO512" s="664"/>
      <c r="CP512" s="664"/>
      <c r="CQ512" s="664"/>
      <c r="CR512" s="664"/>
      <c r="CS512" s="664"/>
      <c r="CT512" s="664"/>
      <c r="CU512" s="664"/>
      <c r="CV512" s="664"/>
      <c r="CW512" s="664"/>
      <c r="CX512" s="664"/>
      <c r="CY512" s="664"/>
      <c r="CZ512" s="664"/>
    </row>
    <row r="513" spans="1:104" ht="17.25" customHeight="1" x14ac:dyDescent="0.25">
      <c r="A513" s="659" t="s">
        <v>67</v>
      </c>
      <c r="B513" s="659"/>
      <c r="C513" s="659"/>
      <c r="D513" s="659"/>
      <c r="E513" s="659"/>
      <c r="F513" s="659"/>
      <c r="G513" s="659"/>
      <c r="H513" s="584" t="s">
        <v>836</v>
      </c>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c r="BB513" s="585"/>
      <c r="BC513" s="585"/>
      <c r="BD513" s="585"/>
      <c r="BE513" s="585"/>
      <c r="BF513" s="585"/>
      <c r="BG513" s="585"/>
      <c r="BH513" s="585"/>
      <c r="BI513" s="585"/>
      <c r="BJ513" s="585"/>
      <c r="BK513" s="585"/>
      <c r="BL513" s="585"/>
      <c r="BM513" s="585"/>
      <c r="BN513" s="585"/>
      <c r="BO513" s="585"/>
      <c r="BP513" s="585"/>
      <c r="BQ513" s="585"/>
      <c r="BR513" s="586"/>
      <c r="BS513" s="582">
        <v>1</v>
      </c>
      <c r="BT513" s="582"/>
      <c r="BU513" s="582"/>
      <c r="BV513" s="582"/>
      <c r="BW513" s="582"/>
      <c r="BX513" s="582"/>
      <c r="BY513" s="582"/>
      <c r="BZ513" s="582"/>
      <c r="CA513" s="582"/>
      <c r="CB513" s="582"/>
      <c r="CC513" s="582"/>
      <c r="CD513" s="582"/>
      <c r="CE513" s="582"/>
      <c r="CF513" s="582"/>
      <c r="CG513" s="582"/>
      <c r="CH513" s="582"/>
      <c r="CI513" s="664">
        <v>48000</v>
      </c>
      <c r="CJ513" s="664"/>
      <c r="CK513" s="664"/>
      <c r="CL513" s="664"/>
      <c r="CM513" s="664"/>
      <c r="CN513" s="664"/>
      <c r="CO513" s="664"/>
      <c r="CP513" s="664"/>
      <c r="CQ513" s="664"/>
      <c r="CR513" s="664"/>
      <c r="CS513" s="664"/>
      <c r="CT513" s="664"/>
      <c r="CU513" s="664"/>
      <c r="CV513" s="664"/>
      <c r="CW513" s="664"/>
      <c r="CX513" s="664"/>
      <c r="CY513" s="664"/>
      <c r="CZ513" s="664"/>
    </row>
    <row r="514" spans="1:104" ht="39.75" customHeight="1" x14ac:dyDescent="0.25">
      <c r="A514" s="659" t="s">
        <v>71</v>
      </c>
      <c r="B514" s="659"/>
      <c r="C514" s="659"/>
      <c r="D514" s="659"/>
      <c r="E514" s="659"/>
      <c r="F514" s="659"/>
      <c r="G514" s="659"/>
      <c r="H514" s="584" t="s">
        <v>886</v>
      </c>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5"/>
      <c r="AL514" s="585"/>
      <c r="AM514" s="585"/>
      <c r="AN514" s="585"/>
      <c r="AO514" s="585"/>
      <c r="AP514" s="585"/>
      <c r="AQ514" s="585"/>
      <c r="AR514" s="585"/>
      <c r="AS514" s="585"/>
      <c r="AT514" s="585"/>
      <c r="AU514" s="585"/>
      <c r="AV514" s="585"/>
      <c r="AW514" s="585"/>
      <c r="AX514" s="585"/>
      <c r="AY514" s="585"/>
      <c r="AZ514" s="585"/>
      <c r="BA514" s="585"/>
      <c r="BB514" s="585"/>
      <c r="BC514" s="585"/>
      <c r="BD514" s="585"/>
      <c r="BE514" s="585"/>
      <c r="BF514" s="585"/>
      <c r="BG514" s="585"/>
      <c r="BH514" s="585"/>
      <c r="BI514" s="585"/>
      <c r="BJ514" s="585"/>
      <c r="BK514" s="585"/>
      <c r="BL514" s="585"/>
      <c r="BM514" s="585"/>
      <c r="BN514" s="585"/>
      <c r="BO514" s="585"/>
      <c r="BP514" s="585"/>
      <c r="BQ514" s="585"/>
      <c r="BR514" s="586"/>
      <c r="BS514" s="582">
        <v>4</v>
      </c>
      <c r="BT514" s="582"/>
      <c r="BU514" s="582"/>
      <c r="BV514" s="582"/>
      <c r="BW514" s="582"/>
      <c r="BX514" s="582"/>
      <c r="BY514" s="582"/>
      <c r="BZ514" s="582"/>
      <c r="CA514" s="582"/>
      <c r="CB514" s="582"/>
      <c r="CC514" s="582"/>
      <c r="CD514" s="582"/>
      <c r="CE514" s="582"/>
      <c r="CF514" s="582"/>
      <c r="CG514" s="582"/>
      <c r="CH514" s="582"/>
      <c r="CI514" s="664">
        <v>4000</v>
      </c>
      <c r="CJ514" s="664"/>
      <c r="CK514" s="664"/>
      <c r="CL514" s="664"/>
      <c r="CM514" s="664"/>
      <c r="CN514" s="664"/>
      <c r="CO514" s="664"/>
      <c r="CP514" s="664"/>
      <c r="CQ514" s="664"/>
      <c r="CR514" s="664"/>
      <c r="CS514" s="664"/>
      <c r="CT514" s="664"/>
      <c r="CU514" s="664"/>
      <c r="CV514" s="664"/>
      <c r="CW514" s="664"/>
      <c r="CX514" s="664"/>
      <c r="CY514" s="664"/>
      <c r="CZ514" s="664"/>
    </row>
    <row r="515" spans="1:104" ht="15" customHeight="1" x14ac:dyDescent="0.25">
      <c r="A515" s="659" t="s">
        <v>462</v>
      </c>
      <c r="B515" s="659"/>
      <c r="C515" s="659"/>
      <c r="D515" s="659"/>
      <c r="E515" s="659"/>
      <c r="F515" s="659"/>
      <c r="G515" s="659"/>
      <c r="H515" s="584" t="s">
        <v>646</v>
      </c>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5"/>
      <c r="AL515" s="585"/>
      <c r="AM515" s="585"/>
      <c r="AN515" s="585"/>
      <c r="AO515" s="585"/>
      <c r="AP515" s="585"/>
      <c r="AQ515" s="585"/>
      <c r="AR515" s="585"/>
      <c r="AS515" s="585"/>
      <c r="AT515" s="585"/>
      <c r="AU515" s="585"/>
      <c r="AV515" s="585"/>
      <c r="AW515" s="585"/>
      <c r="AX515" s="585"/>
      <c r="AY515" s="585"/>
      <c r="AZ515" s="585"/>
      <c r="BA515" s="585"/>
      <c r="BB515" s="585"/>
      <c r="BC515" s="585"/>
      <c r="BD515" s="585"/>
      <c r="BE515" s="585"/>
      <c r="BF515" s="585"/>
      <c r="BG515" s="585"/>
      <c r="BH515" s="585"/>
      <c r="BI515" s="585"/>
      <c r="BJ515" s="585"/>
      <c r="BK515" s="585"/>
      <c r="BL515" s="585"/>
      <c r="BM515" s="585"/>
      <c r="BN515" s="585"/>
      <c r="BO515" s="585"/>
      <c r="BP515" s="585"/>
      <c r="BQ515" s="585"/>
      <c r="BR515" s="586"/>
      <c r="BS515" s="582">
        <v>31</v>
      </c>
      <c r="BT515" s="582"/>
      <c r="BU515" s="582"/>
      <c r="BV515" s="582"/>
      <c r="BW515" s="582"/>
      <c r="BX515" s="582"/>
      <c r="BY515" s="582"/>
      <c r="BZ515" s="582"/>
      <c r="CA515" s="582"/>
      <c r="CB515" s="582"/>
      <c r="CC515" s="582"/>
      <c r="CD515" s="582"/>
      <c r="CE515" s="582"/>
      <c r="CF515" s="582"/>
      <c r="CG515" s="582"/>
      <c r="CH515" s="582"/>
      <c r="CI515" s="664">
        <v>80828</v>
      </c>
      <c r="CJ515" s="664"/>
      <c r="CK515" s="664"/>
      <c r="CL515" s="664"/>
      <c r="CM515" s="664"/>
      <c r="CN515" s="664"/>
      <c r="CO515" s="664"/>
      <c r="CP515" s="664"/>
      <c r="CQ515" s="664"/>
      <c r="CR515" s="664"/>
      <c r="CS515" s="664"/>
      <c r="CT515" s="664"/>
      <c r="CU515" s="664"/>
      <c r="CV515" s="664"/>
      <c r="CW515" s="664"/>
      <c r="CX515" s="664"/>
      <c r="CY515" s="664"/>
      <c r="CZ515" s="664"/>
    </row>
    <row r="516" spans="1:104" ht="15" customHeight="1" x14ac:dyDescent="0.25">
      <c r="A516" s="659" t="s">
        <v>477</v>
      </c>
      <c r="B516" s="659"/>
      <c r="C516" s="659"/>
      <c r="D516" s="659"/>
      <c r="E516" s="659"/>
      <c r="F516" s="659"/>
      <c r="G516" s="659"/>
      <c r="H516" s="584" t="s">
        <v>835</v>
      </c>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5"/>
      <c r="AL516" s="585"/>
      <c r="AM516" s="585"/>
      <c r="AN516" s="585"/>
      <c r="AO516" s="585"/>
      <c r="AP516" s="585"/>
      <c r="AQ516" s="585"/>
      <c r="AR516" s="585"/>
      <c r="AS516" s="585"/>
      <c r="AT516" s="585"/>
      <c r="AU516" s="585"/>
      <c r="AV516" s="585"/>
      <c r="AW516" s="585"/>
      <c r="AX516" s="585"/>
      <c r="AY516" s="585"/>
      <c r="AZ516" s="585"/>
      <c r="BA516" s="585"/>
      <c r="BB516" s="585"/>
      <c r="BC516" s="585"/>
      <c r="BD516" s="585"/>
      <c r="BE516" s="585"/>
      <c r="BF516" s="585"/>
      <c r="BG516" s="585"/>
      <c r="BH516" s="585"/>
      <c r="BI516" s="585"/>
      <c r="BJ516" s="585"/>
      <c r="BK516" s="585"/>
      <c r="BL516" s="585"/>
      <c r="BM516" s="585"/>
      <c r="BN516" s="585"/>
      <c r="BO516" s="585"/>
      <c r="BP516" s="585"/>
      <c r="BQ516" s="585"/>
      <c r="BR516" s="586"/>
      <c r="BS516" s="582">
        <v>6</v>
      </c>
      <c r="BT516" s="582"/>
      <c r="BU516" s="582"/>
      <c r="BV516" s="582"/>
      <c r="BW516" s="582"/>
      <c r="BX516" s="582"/>
      <c r="BY516" s="582"/>
      <c r="BZ516" s="582"/>
      <c r="CA516" s="582"/>
      <c r="CB516" s="582"/>
      <c r="CC516" s="582"/>
      <c r="CD516" s="582"/>
      <c r="CE516" s="582"/>
      <c r="CF516" s="582"/>
      <c r="CG516" s="582"/>
      <c r="CH516" s="582"/>
      <c r="CI516" s="664">
        <v>26672</v>
      </c>
      <c r="CJ516" s="664"/>
      <c r="CK516" s="664"/>
      <c r="CL516" s="664"/>
      <c r="CM516" s="664"/>
      <c r="CN516" s="664"/>
      <c r="CO516" s="664"/>
      <c r="CP516" s="664"/>
      <c r="CQ516" s="664"/>
      <c r="CR516" s="664"/>
      <c r="CS516" s="664"/>
      <c r="CT516" s="664"/>
      <c r="CU516" s="664"/>
      <c r="CV516" s="664"/>
      <c r="CW516" s="664"/>
      <c r="CX516" s="664"/>
      <c r="CY516" s="664"/>
      <c r="CZ516" s="664"/>
    </row>
    <row r="517" spans="1:104" ht="15" customHeight="1" x14ac:dyDescent="0.25">
      <c r="A517" s="659" t="s">
        <v>479</v>
      </c>
      <c r="B517" s="659"/>
      <c r="C517" s="659"/>
      <c r="D517" s="659"/>
      <c r="E517" s="659"/>
      <c r="F517" s="659"/>
      <c r="G517" s="659"/>
      <c r="H517" s="584" t="s">
        <v>647</v>
      </c>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5"/>
      <c r="AL517" s="585"/>
      <c r="AM517" s="585"/>
      <c r="AN517" s="585"/>
      <c r="AO517" s="585"/>
      <c r="AP517" s="585"/>
      <c r="AQ517" s="585"/>
      <c r="AR517" s="585"/>
      <c r="AS517" s="585"/>
      <c r="AT517" s="585"/>
      <c r="AU517" s="585"/>
      <c r="AV517" s="585"/>
      <c r="AW517" s="585"/>
      <c r="AX517" s="585"/>
      <c r="AY517" s="585"/>
      <c r="AZ517" s="585"/>
      <c r="BA517" s="585"/>
      <c r="BB517" s="585"/>
      <c r="BC517" s="585"/>
      <c r="BD517" s="585"/>
      <c r="BE517" s="585"/>
      <c r="BF517" s="585"/>
      <c r="BG517" s="585"/>
      <c r="BH517" s="585"/>
      <c r="BI517" s="585"/>
      <c r="BJ517" s="585"/>
      <c r="BK517" s="585"/>
      <c r="BL517" s="585"/>
      <c r="BM517" s="585"/>
      <c r="BN517" s="585"/>
      <c r="BO517" s="585"/>
      <c r="BP517" s="585"/>
      <c r="BQ517" s="585"/>
      <c r="BR517" s="586"/>
      <c r="BS517" s="582">
        <v>1</v>
      </c>
      <c r="BT517" s="582"/>
      <c r="BU517" s="582"/>
      <c r="BV517" s="582"/>
      <c r="BW517" s="582"/>
      <c r="BX517" s="582"/>
      <c r="BY517" s="582"/>
      <c r="BZ517" s="582"/>
      <c r="CA517" s="582"/>
      <c r="CB517" s="582"/>
      <c r="CC517" s="582"/>
      <c r="CD517" s="582"/>
      <c r="CE517" s="582"/>
      <c r="CF517" s="582"/>
      <c r="CG517" s="582"/>
      <c r="CH517" s="582"/>
      <c r="CI517" s="664">
        <v>1395000</v>
      </c>
      <c r="CJ517" s="664"/>
      <c r="CK517" s="664"/>
      <c r="CL517" s="664"/>
      <c r="CM517" s="664"/>
      <c r="CN517" s="664"/>
      <c r="CO517" s="664"/>
      <c r="CP517" s="664"/>
      <c r="CQ517" s="664"/>
      <c r="CR517" s="664"/>
      <c r="CS517" s="664"/>
      <c r="CT517" s="664"/>
      <c r="CU517" s="664"/>
      <c r="CV517" s="664"/>
      <c r="CW517" s="664"/>
      <c r="CX517" s="664"/>
      <c r="CY517" s="664"/>
      <c r="CZ517" s="664"/>
    </row>
    <row r="518" spans="1:104" ht="15" hidden="1" customHeight="1" x14ac:dyDescent="0.25">
      <c r="A518" s="659" t="s">
        <v>481</v>
      </c>
      <c r="B518" s="659"/>
      <c r="C518" s="659"/>
      <c r="D518" s="659"/>
      <c r="E518" s="659"/>
      <c r="F518" s="659"/>
      <c r="G518" s="659"/>
      <c r="H518" s="584" t="s">
        <v>649</v>
      </c>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5"/>
      <c r="AL518" s="585"/>
      <c r="AM518" s="585"/>
      <c r="AN518" s="585"/>
      <c r="AO518" s="585"/>
      <c r="AP518" s="585"/>
      <c r="AQ518" s="585"/>
      <c r="AR518" s="585"/>
      <c r="AS518" s="585"/>
      <c r="AT518" s="585"/>
      <c r="AU518" s="585"/>
      <c r="AV518" s="585"/>
      <c r="AW518" s="585"/>
      <c r="AX518" s="585"/>
      <c r="AY518" s="585"/>
      <c r="AZ518" s="585"/>
      <c r="BA518" s="585"/>
      <c r="BB518" s="585"/>
      <c r="BC518" s="585"/>
      <c r="BD518" s="585"/>
      <c r="BE518" s="585"/>
      <c r="BF518" s="585"/>
      <c r="BG518" s="585"/>
      <c r="BH518" s="585"/>
      <c r="BI518" s="585"/>
      <c r="BJ518" s="585"/>
      <c r="BK518" s="585"/>
      <c r="BL518" s="585"/>
      <c r="BM518" s="585"/>
      <c r="BN518" s="585"/>
      <c r="BO518" s="585"/>
      <c r="BP518" s="585"/>
      <c r="BQ518" s="585"/>
      <c r="BR518" s="586"/>
      <c r="BS518" s="582">
        <v>1</v>
      </c>
      <c r="BT518" s="582"/>
      <c r="BU518" s="582"/>
      <c r="BV518" s="582"/>
      <c r="BW518" s="582"/>
      <c r="BX518" s="582"/>
      <c r="BY518" s="582"/>
      <c r="BZ518" s="582"/>
      <c r="CA518" s="582"/>
      <c r="CB518" s="582"/>
      <c r="CC518" s="582"/>
      <c r="CD518" s="582"/>
      <c r="CE518" s="582"/>
      <c r="CF518" s="582"/>
      <c r="CG518" s="582"/>
      <c r="CH518" s="582"/>
      <c r="CI518" s="664"/>
      <c r="CJ518" s="664"/>
      <c r="CK518" s="664"/>
      <c r="CL518" s="664"/>
      <c r="CM518" s="664"/>
      <c r="CN518" s="664"/>
      <c r="CO518" s="664"/>
      <c r="CP518" s="664"/>
      <c r="CQ518" s="664"/>
      <c r="CR518" s="664"/>
      <c r="CS518" s="664"/>
      <c r="CT518" s="664"/>
      <c r="CU518" s="664"/>
      <c r="CV518" s="664"/>
      <c r="CW518" s="664"/>
      <c r="CX518" s="664"/>
      <c r="CY518" s="664"/>
      <c r="CZ518" s="664"/>
    </row>
    <row r="519" spans="1:104" ht="20.25" customHeight="1" x14ac:dyDescent="0.25">
      <c r="A519" s="659" t="s">
        <v>481</v>
      </c>
      <c r="B519" s="659"/>
      <c r="C519" s="659"/>
      <c r="D519" s="659"/>
      <c r="E519" s="659"/>
      <c r="F519" s="659"/>
      <c r="G519" s="659"/>
      <c r="H519" s="584" t="s">
        <v>832</v>
      </c>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5"/>
      <c r="AL519" s="585"/>
      <c r="AM519" s="585"/>
      <c r="AN519" s="585"/>
      <c r="AO519" s="585"/>
      <c r="AP519" s="585"/>
      <c r="AQ519" s="585"/>
      <c r="AR519" s="585"/>
      <c r="AS519" s="585"/>
      <c r="AT519" s="585"/>
      <c r="AU519" s="585"/>
      <c r="AV519" s="585"/>
      <c r="AW519" s="585"/>
      <c r="AX519" s="585"/>
      <c r="AY519" s="585"/>
      <c r="AZ519" s="585"/>
      <c r="BA519" s="585"/>
      <c r="BB519" s="585"/>
      <c r="BC519" s="585"/>
      <c r="BD519" s="585"/>
      <c r="BE519" s="585"/>
      <c r="BF519" s="585"/>
      <c r="BG519" s="585"/>
      <c r="BH519" s="585"/>
      <c r="BI519" s="585"/>
      <c r="BJ519" s="585"/>
      <c r="BK519" s="585"/>
      <c r="BL519" s="585"/>
      <c r="BM519" s="585"/>
      <c r="BN519" s="585"/>
      <c r="BO519" s="585"/>
      <c r="BP519" s="585"/>
      <c r="BQ519" s="585"/>
      <c r="BR519" s="586"/>
      <c r="BS519" s="582">
        <v>1</v>
      </c>
      <c r="BT519" s="582"/>
      <c r="BU519" s="582"/>
      <c r="BV519" s="582"/>
      <c r="BW519" s="582"/>
      <c r="BX519" s="582"/>
      <c r="BY519" s="582"/>
      <c r="BZ519" s="582"/>
      <c r="CA519" s="582"/>
      <c r="CB519" s="582"/>
      <c r="CC519" s="582"/>
      <c r="CD519" s="582"/>
      <c r="CE519" s="582"/>
      <c r="CF519" s="582"/>
      <c r="CG519" s="582"/>
      <c r="CH519" s="582"/>
      <c r="CI519" s="664">
        <v>8600</v>
      </c>
      <c r="CJ519" s="664"/>
      <c r="CK519" s="664"/>
      <c r="CL519" s="664"/>
      <c r="CM519" s="664"/>
      <c r="CN519" s="664"/>
      <c r="CO519" s="664"/>
      <c r="CP519" s="664"/>
      <c r="CQ519" s="664"/>
      <c r="CR519" s="664"/>
      <c r="CS519" s="664"/>
      <c r="CT519" s="664"/>
      <c r="CU519" s="664"/>
      <c r="CV519" s="664"/>
      <c r="CW519" s="664"/>
      <c r="CX519" s="664"/>
      <c r="CY519" s="664"/>
      <c r="CZ519" s="664"/>
    </row>
    <row r="520" spans="1:104" ht="15" customHeight="1" x14ac:dyDescent="0.25">
      <c r="A520" s="659" t="s">
        <v>483</v>
      </c>
      <c r="B520" s="659"/>
      <c r="C520" s="659"/>
      <c r="D520" s="659"/>
      <c r="E520" s="659"/>
      <c r="F520" s="659"/>
      <c r="G520" s="659"/>
      <c r="H520" s="584" t="s">
        <v>888</v>
      </c>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5"/>
      <c r="AL520" s="585"/>
      <c r="AM520" s="585"/>
      <c r="AN520" s="585"/>
      <c r="AO520" s="585"/>
      <c r="AP520" s="585"/>
      <c r="AQ520" s="585"/>
      <c r="AR520" s="585"/>
      <c r="AS520" s="585"/>
      <c r="AT520" s="585"/>
      <c r="AU520" s="585"/>
      <c r="AV520" s="585"/>
      <c r="AW520" s="585"/>
      <c r="AX520" s="585"/>
      <c r="AY520" s="585"/>
      <c r="AZ520" s="585"/>
      <c r="BA520" s="585"/>
      <c r="BB520" s="585"/>
      <c r="BC520" s="585"/>
      <c r="BD520" s="585"/>
      <c r="BE520" s="585"/>
      <c r="BF520" s="585"/>
      <c r="BG520" s="585"/>
      <c r="BH520" s="585"/>
      <c r="BI520" s="585"/>
      <c r="BJ520" s="585"/>
      <c r="BK520" s="585"/>
      <c r="BL520" s="585"/>
      <c r="BM520" s="585"/>
      <c r="BN520" s="585"/>
      <c r="BO520" s="585"/>
      <c r="BP520" s="585"/>
      <c r="BQ520" s="585"/>
      <c r="BR520" s="586"/>
      <c r="BS520" s="582">
        <v>1</v>
      </c>
      <c r="BT520" s="582"/>
      <c r="BU520" s="582"/>
      <c r="BV520" s="582"/>
      <c r="BW520" s="582"/>
      <c r="BX520" s="582"/>
      <c r="BY520" s="582"/>
      <c r="BZ520" s="582"/>
      <c r="CA520" s="582"/>
      <c r="CB520" s="582"/>
      <c r="CC520" s="582"/>
      <c r="CD520" s="582"/>
      <c r="CE520" s="582"/>
      <c r="CF520" s="582"/>
      <c r="CG520" s="582"/>
      <c r="CH520" s="582"/>
      <c r="CI520" s="664">
        <v>40000</v>
      </c>
      <c r="CJ520" s="664"/>
      <c r="CK520" s="664"/>
      <c r="CL520" s="664"/>
      <c r="CM520" s="664"/>
      <c r="CN520" s="664"/>
      <c r="CO520" s="664"/>
      <c r="CP520" s="664"/>
      <c r="CQ520" s="664"/>
      <c r="CR520" s="664"/>
      <c r="CS520" s="664"/>
      <c r="CT520" s="664"/>
      <c r="CU520" s="664"/>
      <c r="CV520" s="664"/>
      <c r="CW520" s="664"/>
      <c r="CX520" s="664"/>
      <c r="CY520" s="664"/>
      <c r="CZ520" s="664"/>
    </row>
    <row r="521" spans="1:104" ht="15" hidden="1" customHeight="1" x14ac:dyDescent="0.25">
      <c r="A521" s="659" t="s">
        <v>487</v>
      </c>
      <c r="B521" s="659"/>
      <c r="C521" s="659"/>
      <c r="D521" s="659"/>
      <c r="E521" s="659"/>
      <c r="F521" s="659"/>
      <c r="G521" s="659"/>
      <c r="H521" s="584" t="s">
        <v>652</v>
      </c>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5"/>
      <c r="AL521" s="585"/>
      <c r="AM521" s="585"/>
      <c r="AN521" s="585"/>
      <c r="AO521" s="585"/>
      <c r="AP521" s="585"/>
      <c r="AQ521" s="585"/>
      <c r="AR521" s="585"/>
      <c r="AS521" s="585"/>
      <c r="AT521" s="585"/>
      <c r="AU521" s="585"/>
      <c r="AV521" s="585"/>
      <c r="AW521" s="585"/>
      <c r="AX521" s="585"/>
      <c r="AY521" s="585"/>
      <c r="AZ521" s="585"/>
      <c r="BA521" s="585"/>
      <c r="BB521" s="585"/>
      <c r="BC521" s="585"/>
      <c r="BD521" s="585"/>
      <c r="BE521" s="585"/>
      <c r="BF521" s="585"/>
      <c r="BG521" s="585"/>
      <c r="BH521" s="585"/>
      <c r="BI521" s="585"/>
      <c r="BJ521" s="585"/>
      <c r="BK521" s="585"/>
      <c r="BL521" s="585"/>
      <c r="BM521" s="585"/>
      <c r="BN521" s="585"/>
      <c r="BO521" s="585"/>
      <c r="BP521" s="585"/>
      <c r="BQ521" s="585"/>
      <c r="BR521" s="586"/>
      <c r="BS521" s="582"/>
      <c r="BT521" s="582"/>
      <c r="BU521" s="582"/>
      <c r="BV521" s="582"/>
      <c r="BW521" s="582"/>
      <c r="BX521" s="582"/>
      <c r="BY521" s="582"/>
      <c r="BZ521" s="582"/>
      <c r="CA521" s="582"/>
      <c r="CB521" s="582"/>
      <c r="CC521" s="582"/>
      <c r="CD521" s="582"/>
      <c r="CE521" s="582"/>
      <c r="CF521" s="582"/>
      <c r="CG521" s="582"/>
      <c r="CH521" s="582"/>
      <c r="CI521" s="664"/>
      <c r="CJ521" s="664"/>
      <c r="CK521" s="664"/>
      <c r="CL521" s="664"/>
      <c r="CM521" s="664"/>
      <c r="CN521" s="664"/>
      <c r="CO521" s="664"/>
      <c r="CP521" s="664"/>
      <c r="CQ521" s="664"/>
      <c r="CR521" s="664"/>
      <c r="CS521" s="664"/>
      <c r="CT521" s="664"/>
      <c r="CU521" s="664"/>
      <c r="CV521" s="664"/>
      <c r="CW521" s="664"/>
      <c r="CX521" s="664"/>
      <c r="CY521" s="664"/>
      <c r="CZ521" s="664"/>
    </row>
    <row r="522" spans="1:104" ht="15" customHeight="1" x14ac:dyDescent="0.25">
      <c r="A522" s="659" t="s">
        <v>485</v>
      </c>
      <c r="B522" s="659"/>
      <c r="C522" s="659"/>
      <c r="D522" s="659"/>
      <c r="E522" s="659"/>
      <c r="F522" s="659"/>
      <c r="G522" s="659"/>
      <c r="H522" s="584" t="s">
        <v>837</v>
      </c>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5"/>
      <c r="AL522" s="585"/>
      <c r="AM522" s="585"/>
      <c r="AN522" s="585"/>
      <c r="AO522" s="585"/>
      <c r="AP522" s="585"/>
      <c r="AQ522" s="585"/>
      <c r="AR522" s="585"/>
      <c r="AS522" s="585"/>
      <c r="AT522" s="585"/>
      <c r="AU522" s="585"/>
      <c r="AV522" s="585"/>
      <c r="AW522" s="585"/>
      <c r="AX522" s="585"/>
      <c r="AY522" s="585"/>
      <c r="AZ522" s="585"/>
      <c r="BA522" s="585"/>
      <c r="BB522" s="585"/>
      <c r="BC522" s="585"/>
      <c r="BD522" s="585"/>
      <c r="BE522" s="585"/>
      <c r="BF522" s="585"/>
      <c r="BG522" s="585"/>
      <c r="BH522" s="585"/>
      <c r="BI522" s="585"/>
      <c r="BJ522" s="585"/>
      <c r="BK522" s="585"/>
      <c r="BL522" s="585"/>
      <c r="BM522" s="585"/>
      <c r="BN522" s="585"/>
      <c r="BO522" s="585"/>
      <c r="BP522" s="585"/>
      <c r="BQ522" s="585"/>
      <c r="BR522" s="586"/>
      <c r="BS522" s="582">
        <v>1</v>
      </c>
      <c r="BT522" s="582"/>
      <c r="BU522" s="582"/>
      <c r="BV522" s="582"/>
      <c r="BW522" s="582"/>
      <c r="BX522" s="582"/>
      <c r="BY522" s="582"/>
      <c r="BZ522" s="582"/>
      <c r="CA522" s="582"/>
      <c r="CB522" s="582"/>
      <c r="CC522" s="582"/>
      <c r="CD522" s="582"/>
      <c r="CE522" s="582"/>
      <c r="CF522" s="582"/>
      <c r="CG522" s="582"/>
      <c r="CH522" s="582"/>
      <c r="CI522" s="664">
        <v>80000</v>
      </c>
      <c r="CJ522" s="664"/>
      <c r="CK522" s="664"/>
      <c r="CL522" s="664"/>
      <c r="CM522" s="664"/>
      <c r="CN522" s="664"/>
      <c r="CO522" s="664"/>
      <c r="CP522" s="664"/>
      <c r="CQ522" s="664"/>
      <c r="CR522" s="664"/>
      <c r="CS522" s="664"/>
      <c r="CT522" s="664"/>
      <c r="CU522" s="664"/>
      <c r="CV522" s="664"/>
      <c r="CW522" s="664"/>
      <c r="CX522" s="664"/>
      <c r="CY522" s="664"/>
      <c r="CZ522" s="664"/>
    </row>
    <row r="523" spans="1:104" ht="23.25" customHeight="1" x14ac:dyDescent="0.25">
      <c r="A523" s="659" t="s">
        <v>487</v>
      </c>
      <c r="B523" s="659"/>
      <c r="C523" s="659"/>
      <c r="D523" s="659"/>
      <c r="E523" s="659"/>
      <c r="F523" s="659"/>
      <c r="G523" s="659"/>
      <c r="H523" s="584" t="s">
        <v>838</v>
      </c>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5"/>
      <c r="AL523" s="585"/>
      <c r="AM523" s="585"/>
      <c r="AN523" s="585"/>
      <c r="AO523" s="585"/>
      <c r="AP523" s="585"/>
      <c r="AQ523" s="585"/>
      <c r="AR523" s="585"/>
      <c r="AS523" s="585"/>
      <c r="AT523" s="585"/>
      <c r="AU523" s="585"/>
      <c r="AV523" s="585"/>
      <c r="AW523" s="585"/>
      <c r="AX523" s="585"/>
      <c r="AY523" s="585"/>
      <c r="AZ523" s="585"/>
      <c r="BA523" s="585"/>
      <c r="BB523" s="585"/>
      <c r="BC523" s="585"/>
      <c r="BD523" s="585"/>
      <c r="BE523" s="585"/>
      <c r="BF523" s="585"/>
      <c r="BG523" s="585"/>
      <c r="BH523" s="585"/>
      <c r="BI523" s="585"/>
      <c r="BJ523" s="585"/>
      <c r="BK523" s="585"/>
      <c r="BL523" s="585"/>
      <c r="BM523" s="585"/>
      <c r="BN523" s="585"/>
      <c r="BO523" s="585"/>
      <c r="BP523" s="585"/>
      <c r="BQ523" s="585"/>
      <c r="BR523" s="586"/>
      <c r="BS523" s="582">
        <v>2</v>
      </c>
      <c r="BT523" s="582"/>
      <c r="BU523" s="582"/>
      <c r="BV523" s="582"/>
      <c r="BW523" s="582"/>
      <c r="BX523" s="582"/>
      <c r="BY523" s="582"/>
      <c r="BZ523" s="582"/>
      <c r="CA523" s="582"/>
      <c r="CB523" s="582"/>
      <c r="CC523" s="582"/>
      <c r="CD523" s="582"/>
      <c r="CE523" s="582"/>
      <c r="CF523" s="582"/>
      <c r="CG523" s="582"/>
      <c r="CH523" s="582"/>
      <c r="CI523" s="664">
        <v>500000</v>
      </c>
      <c r="CJ523" s="664"/>
      <c r="CK523" s="664"/>
      <c r="CL523" s="664"/>
      <c r="CM523" s="664"/>
      <c r="CN523" s="664"/>
      <c r="CO523" s="664"/>
      <c r="CP523" s="664"/>
      <c r="CQ523" s="664"/>
      <c r="CR523" s="664"/>
      <c r="CS523" s="664"/>
      <c r="CT523" s="664"/>
      <c r="CU523" s="664"/>
      <c r="CV523" s="664"/>
      <c r="CW523" s="664"/>
      <c r="CX523" s="664"/>
      <c r="CY523" s="664"/>
      <c r="CZ523" s="664"/>
    </row>
    <row r="524" spans="1:104" ht="28.5" customHeight="1" x14ac:dyDescent="0.25">
      <c r="A524" s="659" t="s">
        <v>489</v>
      </c>
      <c r="B524" s="659"/>
      <c r="C524" s="659"/>
      <c r="D524" s="659"/>
      <c r="E524" s="659"/>
      <c r="F524" s="659"/>
      <c r="G524" s="659"/>
      <c r="H524" s="584" t="s">
        <v>839</v>
      </c>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5"/>
      <c r="AL524" s="585"/>
      <c r="AM524" s="585"/>
      <c r="AN524" s="585"/>
      <c r="AO524" s="585"/>
      <c r="AP524" s="585"/>
      <c r="AQ524" s="585"/>
      <c r="AR524" s="585"/>
      <c r="AS524" s="585"/>
      <c r="AT524" s="585"/>
      <c r="AU524" s="585"/>
      <c r="AV524" s="585"/>
      <c r="AW524" s="585"/>
      <c r="AX524" s="585"/>
      <c r="AY524" s="585"/>
      <c r="AZ524" s="585"/>
      <c r="BA524" s="585"/>
      <c r="BB524" s="585"/>
      <c r="BC524" s="585"/>
      <c r="BD524" s="585"/>
      <c r="BE524" s="585"/>
      <c r="BF524" s="585"/>
      <c r="BG524" s="585"/>
      <c r="BH524" s="585"/>
      <c r="BI524" s="585"/>
      <c r="BJ524" s="585"/>
      <c r="BK524" s="585"/>
      <c r="BL524" s="585"/>
      <c r="BM524" s="585"/>
      <c r="BN524" s="585"/>
      <c r="BO524" s="585"/>
      <c r="BP524" s="585"/>
      <c r="BQ524" s="585"/>
      <c r="BR524" s="586"/>
      <c r="BS524" s="582">
        <v>1</v>
      </c>
      <c r="BT524" s="582"/>
      <c r="BU524" s="582"/>
      <c r="BV524" s="582"/>
      <c r="BW524" s="582"/>
      <c r="BX524" s="582"/>
      <c r="BY524" s="582"/>
      <c r="BZ524" s="582"/>
      <c r="CA524" s="582"/>
      <c r="CB524" s="582"/>
      <c r="CC524" s="582"/>
      <c r="CD524" s="582"/>
      <c r="CE524" s="582"/>
      <c r="CF524" s="582"/>
      <c r="CG524" s="582"/>
      <c r="CH524" s="582"/>
      <c r="CI524" s="664">
        <v>72950.429999999993</v>
      </c>
      <c r="CJ524" s="664"/>
      <c r="CK524" s="664"/>
      <c r="CL524" s="664"/>
      <c r="CM524" s="664"/>
      <c r="CN524" s="664"/>
      <c r="CO524" s="664"/>
      <c r="CP524" s="664"/>
      <c r="CQ524" s="664"/>
      <c r="CR524" s="664"/>
      <c r="CS524" s="664"/>
      <c r="CT524" s="664"/>
      <c r="CU524" s="664"/>
      <c r="CV524" s="664"/>
      <c r="CW524" s="664"/>
      <c r="CX524" s="664"/>
      <c r="CY524" s="664"/>
      <c r="CZ524" s="664"/>
    </row>
    <row r="525" spans="1:104" x14ac:dyDescent="0.25">
      <c r="A525" s="659" t="s">
        <v>491</v>
      </c>
      <c r="B525" s="659"/>
      <c r="C525" s="659"/>
      <c r="D525" s="659"/>
      <c r="E525" s="659"/>
      <c r="F525" s="659"/>
      <c r="G525" s="659"/>
      <c r="H525" s="584" t="s">
        <v>842</v>
      </c>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5"/>
      <c r="AL525" s="585"/>
      <c r="AM525" s="585"/>
      <c r="AN525" s="585"/>
      <c r="AO525" s="585"/>
      <c r="AP525" s="585"/>
      <c r="AQ525" s="585"/>
      <c r="AR525" s="585"/>
      <c r="AS525" s="585"/>
      <c r="AT525" s="585"/>
      <c r="AU525" s="585"/>
      <c r="AV525" s="585"/>
      <c r="AW525" s="585"/>
      <c r="AX525" s="585"/>
      <c r="AY525" s="585"/>
      <c r="AZ525" s="585"/>
      <c r="BA525" s="585"/>
      <c r="BB525" s="585"/>
      <c r="BC525" s="585"/>
      <c r="BD525" s="585"/>
      <c r="BE525" s="585"/>
      <c r="BF525" s="585"/>
      <c r="BG525" s="585"/>
      <c r="BH525" s="585"/>
      <c r="BI525" s="585"/>
      <c r="BJ525" s="585"/>
      <c r="BK525" s="585"/>
      <c r="BL525" s="585"/>
      <c r="BM525" s="585"/>
      <c r="BN525" s="585"/>
      <c r="BO525" s="585"/>
      <c r="BP525" s="585"/>
      <c r="BQ525" s="585"/>
      <c r="BR525" s="586"/>
      <c r="BS525" s="582">
        <v>1</v>
      </c>
      <c r="BT525" s="582"/>
      <c r="BU525" s="582"/>
      <c r="BV525" s="582"/>
      <c r="BW525" s="582"/>
      <c r="BX525" s="582"/>
      <c r="BY525" s="582"/>
      <c r="BZ525" s="582"/>
      <c r="CA525" s="582"/>
      <c r="CB525" s="582"/>
      <c r="CC525" s="582"/>
      <c r="CD525" s="582"/>
      <c r="CE525" s="582"/>
      <c r="CF525" s="582"/>
      <c r="CG525" s="582"/>
      <c r="CH525" s="582"/>
      <c r="CI525" s="664">
        <v>119218.87</v>
      </c>
      <c r="CJ525" s="664"/>
      <c r="CK525" s="664"/>
      <c r="CL525" s="664"/>
      <c r="CM525" s="664"/>
      <c r="CN525" s="664"/>
      <c r="CO525" s="664"/>
      <c r="CP525" s="664"/>
      <c r="CQ525" s="664"/>
      <c r="CR525" s="664"/>
      <c r="CS525" s="664"/>
      <c r="CT525" s="664"/>
      <c r="CU525" s="664"/>
      <c r="CV525" s="664"/>
      <c r="CW525" s="664"/>
      <c r="CX525" s="664"/>
      <c r="CY525" s="664"/>
      <c r="CZ525" s="664"/>
    </row>
    <row r="526" spans="1:104" x14ac:dyDescent="0.25">
      <c r="A526" s="659" t="s">
        <v>519</v>
      </c>
      <c r="B526" s="659"/>
      <c r="C526" s="659"/>
      <c r="D526" s="659"/>
      <c r="E526" s="659"/>
      <c r="F526" s="659"/>
      <c r="G526" s="659"/>
      <c r="H526" s="584" t="s">
        <v>1087</v>
      </c>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5"/>
      <c r="AL526" s="585"/>
      <c r="AM526" s="585"/>
      <c r="AN526" s="585"/>
      <c r="AO526" s="585"/>
      <c r="AP526" s="585"/>
      <c r="AQ526" s="585"/>
      <c r="AR526" s="585"/>
      <c r="AS526" s="585"/>
      <c r="AT526" s="585"/>
      <c r="AU526" s="585"/>
      <c r="AV526" s="585"/>
      <c r="AW526" s="585"/>
      <c r="AX526" s="585"/>
      <c r="AY526" s="585"/>
      <c r="AZ526" s="585"/>
      <c r="BA526" s="585"/>
      <c r="BB526" s="585"/>
      <c r="BC526" s="585"/>
      <c r="BD526" s="585"/>
      <c r="BE526" s="585"/>
      <c r="BF526" s="585"/>
      <c r="BG526" s="585"/>
      <c r="BH526" s="585"/>
      <c r="BI526" s="585"/>
      <c r="BJ526" s="585"/>
      <c r="BK526" s="585"/>
      <c r="BL526" s="585"/>
      <c r="BM526" s="585"/>
      <c r="BN526" s="585"/>
      <c r="BO526" s="585"/>
      <c r="BP526" s="585"/>
      <c r="BQ526" s="585"/>
      <c r="BR526" s="586"/>
      <c r="BS526" s="582">
        <v>1</v>
      </c>
      <c r="BT526" s="582"/>
      <c r="BU526" s="582"/>
      <c r="BV526" s="582"/>
      <c r="BW526" s="582"/>
      <c r="BX526" s="582"/>
      <c r="BY526" s="582"/>
      <c r="BZ526" s="582"/>
      <c r="CA526" s="582"/>
      <c r="CB526" s="582"/>
      <c r="CC526" s="582"/>
      <c r="CD526" s="582"/>
      <c r="CE526" s="582"/>
      <c r="CF526" s="582"/>
      <c r="CG526" s="582"/>
      <c r="CH526" s="582"/>
      <c r="CI526" s="664">
        <v>26500</v>
      </c>
      <c r="CJ526" s="664"/>
      <c r="CK526" s="664"/>
      <c r="CL526" s="664"/>
      <c r="CM526" s="664"/>
      <c r="CN526" s="664"/>
      <c r="CO526" s="664"/>
      <c r="CP526" s="664"/>
      <c r="CQ526" s="664"/>
      <c r="CR526" s="664"/>
      <c r="CS526" s="664"/>
      <c r="CT526" s="664"/>
      <c r="CU526" s="664"/>
      <c r="CV526" s="664"/>
      <c r="CW526" s="664"/>
      <c r="CX526" s="664"/>
      <c r="CY526" s="664"/>
      <c r="CZ526" s="664"/>
    </row>
    <row r="527" spans="1:104" x14ac:dyDescent="0.25">
      <c r="A527" s="659" t="s">
        <v>521</v>
      </c>
      <c r="B527" s="659"/>
      <c r="C527" s="659"/>
      <c r="D527" s="659"/>
      <c r="E527" s="659"/>
      <c r="F527" s="659"/>
      <c r="G527" s="659"/>
      <c r="H527" s="584" t="s">
        <v>1088</v>
      </c>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5"/>
      <c r="AL527" s="585"/>
      <c r="AM527" s="585"/>
      <c r="AN527" s="585"/>
      <c r="AO527" s="585"/>
      <c r="AP527" s="585"/>
      <c r="AQ527" s="585"/>
      <c r="AR527" s="585"/>
      <c r="AS527" s="585"/>
      <c r="AT527" s="585"/>
      <c r="AU527" s="585"/>
      <c r="AV527" s="585"/>
      <c r="AW527" s="585"/>
      <c r="AX527" s="585"/>
      <c r="AY527" s="585"/>
      <c r="AZ527" s="585"/>
      <c r="BA527" s="585"/>
      <c r="BB527" s="585"/>
      <c r="BC527" s="585"/>
      <c r="BD527" s="585"/>
      <c r="BE527" s="585"/>
      <c r="BF527" s="585"/>
      <c r="BG527" s="585"/>
      <c r="BH527" s="585"/>
      <c r="BI527" s="585"/>
      <c r="BJ527" s="585"/>
      <c r="BK527" s="585"/>
      <c r="BL527" s="585"/>
      <c r="BM527" s="585"/>
      <c r="BN527" s="585"/>
      <c r="BO527" s="585"/>
      <c r="BP527" s="585"/>
      <c r="BQ527" s="585"/>
      <c r="BR527" s="586"/>
      <c r="BS527" s="544">
        <v>1</v>
      </c>
      <c r="BT527" s="545"/>
      <c r="BU527" s="545"/>
      <c r="BV527" s="545"/>
      <c r="BW527" s="545"/>
      <c r="BX527" s="545"/>
      <c r="BY527" s="545"/>
      <c r="BZ527" s="545"/>
      <c r="CA527" s="545"/>
      <c r="CB527" s="545"/>
      <c r="CC527" s="545"/>
      <c r="CD527" s="545"/>
      <c r="CE527" s="545"/>
      <c r="CF527" s="545"/>
      <c r="CG527" s="545"/>
      <c r="CH527" s="546"/>
      <c r="CI527" s="627">
        <v>12000</v>
      </c>
      <c r="CJ527" s="628"/>
      <c r="CK527" s="628"/>
      <c r="CL527" s="628"/>
      <c r="CM527" s="628"/>
      <c r="CN527" s="628"/>
      <c r="CO527" s="628"/>
      <c r="CP527" s="628"/>
      <c r="CQ527" s="628"/>
      <c r="CR527" s="628"/>
      <c r="CS527" s="628"/>
      <c r="CT527" s="628"/>
      <c r="CU527" s="628"/>
      <c r="CV527" s="628"/>
      <c r="CW527" s="628"/>
      <c r="CX527" s="628"/>
      <c r="CY527" s="628"/>
      <c r="CZ527" s="629"/>
    </row>
    <row r="528" spans="1:104" x14ac:dyDescent="0.25">
      <c r="A528" s="659" t="s">
        <v>493</v>
      </c>
      <c r="B528" s="659"/>
      <c r="C528" s="659"/>
      <c r="D528" s="659"/>
      <c r="E528" s="659"/>
      <c r="F528" s="659"/>
      <c r="G528" s="659"/>
      <c r="H528" s="584" t="s">
        <v>840</v>
      </c>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5"/>
      <c r="AL528" s="585"/>
      <c r="AM528" s="585"/>
      <c r="AN528" s="585"/>
      <c r="AO528" s="585"/>
      <c r="AP528" s="585"/>
      <c r="AQ528" s="585"/>
      <c r="AR528" s="585"/>
      <c r="AS528" s="585"/>
      <c r="AT528" s="585"/>
      <c r="AU528" s="585"/>
      <c r="AV528" s="585"/>
      <c r="AW528" s="585"/>
      <c r="AX528" s="585"/>
      <c r="AY528" s="585"/>
      <c r="AZ528" s="585"/>
      <c r="BA528" s="585"/>
      <c r="BB528" s="585"/>
      <c r="BC528" s="585"/>
      <c r="BD528" s="585"/>
      <c r="BE528" s="585"/>
      <c r="BF528" s="585"/>
      <c r="BG528" s="585"/>
      <c r="BH528" s="585"/>
      <c r="BI528" s="585"/>
      <c r="BJ528" s="585"/>
      <c r="BK528" s="585"/>
      <c r="BL528" s="585"/>
      <c r="BM528" s="585"/>
      <c r="BN528" s="585"/>
      <c r="BO528" s="585"/>
      <c r="BP528" s="585"/>
      <c r="BQ528" s="585"/>
      <c r="BR528" s="586"/>
      <c r="BS528" s="544">
        <v>1</v>
      </c>
      <c r="BT528" s="545"/>
      <c r="BU528" s="545"/>
      <c r="BV528" s="545"/>
      <c r="BW528" s="545"/>
      <c r="BX528" s="545"/>
      <c r="BY528" s="545"/>
      <c r="BZ528" s="545"/>
      <c r="CA528" s="545"/>
      <c r="CB528" s="545"/>
      <c r="CC528" s="545"/>
      <c r="CD528" s="545"/>
      <c r="CE528" s="545"/>
      <c r="CF528" s="545"/>
      <c r="CG528" s="545"/>
      <c r="CH528" s="546"/>
      <c r="CI528" s="627">
        <v>45000</v>
      </c>
      <c r="CJ528" s="628"/>
      <c r="CK528" s="628"/>
      <c r="CL528" s="628"/>
      <c r="CM528" s="628"/>
      <c r="CN528" s="628"/>
      <c r="CO528" s="628"/>
      <c r="CP528" s="628"/>
      <c r="CQ528" s="628"/>
      <c r="CR528" s="628"/>
      <c r="CS528" s="628"/>
      <c r="CT528" s="628"/>
      <c r="CU528" s="628"/>
      <c r="CV528" s="628"/>
      <c r="CW528" s="628"/>
      <c r="CX528" s="628"/>
      <c r="CY528" s="628"/>
      <c r="CZ528" s="629"/>
    </row>
    <row r="529" spans="1:104" ht="15" customHeight="1" x14ac:dyDescent="0.25">
      <c r="A529" s="659" t="s">
        <v>515</v>
      </c>
      <c r="B529" s="659"/>
      <c r="C529" s="659"/>
      <c r="D529" s="659"/>
      <c r="E529" s="659"/>
      <c r="F529" s="659"/>
      <c r="G529" s="659"/>
      <c r="H529" s="584" t="s">
        <v>661</v>
      </c>
      <c r="I529" s="585"/>
      <c r="J529" s="585"/>
      <c r="K529" s="585"/>
      <c r="L529" s="585"/>
      <c r="M529" s="585"/>
      <c r="N529" s="585"/>
      <c r="O529" s="585"/>
      <c r="P529" s="585"/>
      <c r="Q529" s="585"/>
      <c r="R529" s="585"/>
      <c r="S529" s="585"/>
      <c r="T529" s="585"/>
      <c r="U529" s="585"/>
      <c r="V529" s="585"/>
      <c r="W529" s="585"/>
      <c r="X529" s="585"/>
      <c r="Y529" s="585"/>
      <c r="Z529" s="585"/>
      <c r="AA529" s="585"/>
      <c r="AB529" s="585"/>
      <c r="AC529" s="585"/>
      <c r="AD529" s="585"/>
      <c r="AE529" s="585"/>
      <c r="AF529" s="585"/>
      <c r="AG529" s="585"/>
      <c r="AH529" s="585"/>
      <c r="AI529" s="585"/>
      <c r="AJ529" s="585"/>
      <c r="AK529" s="585"/>
      <c r="AL529" s="585"/>
      <c r="AM529" s="585"/>
      <c r="AN529" s="585"/>
      <c r="AO529" s="585"/>
      <c r="AP529" s="585"/>
      <c r="AQ529" s="585"/>
      <c r="AR529" s="585"/>
      <c r="AS529" s="585"/>
      <c r="AT529" s="585"/>
      <c r="AU529" s="585"/>
      <c r="AV529" s="585"/>
      <c r="AW529" s="585"/>
      <c r="AX529" s="585"/>
      <c r="AY529" s="585"/>
      <c r="AZ529" s="585"/>
      <c r="BA529" s="585"/>
      <c r="BB529" s="585"/>
      <c r="BC529" s="585"/>
      <c r="BD529" s="585"/>
      <c r="BE529" s="585"/>
      <c r="BF529" s="585"/>
      <c r="BG529" s="585"/>
      <c r="BH529" s="585"/>
      <c r="BI529" s="585"/>
      <c r="BJ529" s="585"/>
      <c r="BK529" s="585"/>
      <c r="BL529" s="585"/>
      <c r="BM529" s="585"/>
      <c r="BN529" s="585"/>
      <c r="BO529" s="585"/>
      <c r="BP529" s="585"/>
      <c r="BQ529" s="585"/>
      <c r="BR529" s="586"/>
      <c r="BS529" s="582">
        <v>1</v>
      </c>
      <c r="BT529" s="582"/>
      <c r="BU529" s="582"/>
      <c r="BV529" s="582"/>
      <c r="BW529" s="582"/>
      <c r="BX529" s="582"/>
      <c r="BY529" s="582"/>
      <c r="BZ529" s="582"/>
      <c r="CA529" s="582"/>
      <c r="CB529" s="582"/>
      <c r="CC529" s="582"/>
      <c r="CD529" s="582"/>
      <c r="CE529" s="582"/>
      <c r="CF529" s="582"/>
      <c r="CG529" s="582"/>
      <c r="CH529" s="582"/>
      <c r="CI529" s="664">
        <f>102767555.556*0.045</f>
        <v>4624540.0000199992</v>
      </c>
      <c r="CJ529" s="664"/>
      <c r="CK529" s="664"/>
      <c r="CL529" s="664"/>
      <c r="CM529" s="664"/>
      <c r="CN529" s="664"/>
      <c r="CO529" s="664"/>
      <c r="CP529" s="664"/>
      <c r="CQ529" s="664"/>
      <c r="CR529" s="664"/>
      <c r="CS529" s="664"/>
      <c r="CT529" s="664"/>
      <c r="CU529" s="664"/>
      <c r="CV529" s="664"/>
      <c r="CW529" s="664"/>
      <c r="CX529" s="664"/>
      <c r="CY529" s="664"/>
      <c r="CZ529" s="664"/>
    </row>
    <row r="530" spans="1:104" ht="15" hidden="1" customHeight="1" x14ac:dyDescent="0.25">
      <c r="A530" s="659" t="s">
        <v>526</v>
      </c>
      <c r="B530" s="659"/>
      <c r="C530" s="659"/>
      <c r="D530" s="659"/>
      <c r="E530" s="659"/>
      <c r="F530" s="659"/>
      <c r="G530" s="659"/>
      <c r="H530" s="584"/>
      <c r="I530" s="585"/>
      <c r="J530" s="585"/>
      <c r="K530" s="585"/>
      <c r="L530" s="585"/>
      <c r="M530" s="585"/>
      <c r="N530" s="585"/>
      <c r="O530" s="585"/>
      <c r="P530" s="585"/>
      <c r="Q530" s="585"/>
      <c r="R530" s="585"/>
      <c r="S530" s="585"/>
      <c r="T530" s="585"/>
      <c r="U530" s="585"/>
      <c r="V530" s="585"/>
      <c r="W530" s="585"/>
      <c r="X530" s="585"/>
      <c r="Y530" s="585"/>
      <c r="Z530" s="585"/>
      <c r="AA530" s="585"/>
      <c r="AB530" s="585"/>
      <c r="AC530" s="585"/>
      <c r="AD530" s="585"/>
      <c r="AE530" s="585"/>
      <c r="AF530" s="585"/>
      <c r="AG530" s="585"/>
      <c r="AH530" s="585"/>
      <c r="AI530" s="585"/>
      <c r="AJ530" s="585"/>
      <c r="AK530" s="585"/>
      <c r="AL530" s="585"/>
      <c r="AM530" s="585"/>
      <c r="AN530" s="585"/>
      <c r="AO530" s="585"/>
      <c r="AP530" s="585"/>
      <c r="AQ530" s="585"/>
      <c r="AR530" s="585"/>
      <c r="AS530" s="585"/>
      <c r="AT530" s="585"/>
      <c r="AU530" s="585"/>
      <c r="AV530" s="585"/>
      <c r="AW530" s="585"/>
      <c r="AX530" s="585"/>
      <c r="AY530" s="585"/>
      <c r="AZ530" s="585"/>
      <c r="BA530" s="585"/>
      <c r="BB530" s="585"/>
      <c r="BC530" s="585"/>
      <c r="BD530" s="585"/>
      <c r="BE530" s="585"/>
      <c r="BF530" s="585"/>
      <c r="BG530" s="585"/>
      <c r="BH530" s="585"/>
      <c r="BI530" s="585"/>
      <c r="BJ530" s="585"/>
      <c r="BK530" s="585"/>
      <c r="BL530" s="585"/>
      <c r="BM530" s="585"/>
      <c r="BN530" s="585"/>
      <c r="BO530" s="585"/>
      <c r="BP530" s="585"/>
      <c r="BQ530" s="585"/>
      <c r="BR530" s="586"/>
      <c r="BS530" s="582"/>
      <c r="BT530" s="582"/>
      <c r="BU530" s="582"/>
      <c r="BV530" s="582"/>
      <c r="BW530" s="582"/>
      <c r="BX530" s="582"/>
      <c r="BY530" s="582"/>
      <c r="BZ530" s="582"/>
      <c r="CA530" s="582"/>
      <c r="CB530" s="582"/>
      <c r="CC530" s="582"/>
      <c r="CD530" s="582"/>
      <c r="CE530" s="582"/>
      <c r="CF530" s="582"/>
      <c r="CG530" s="582"/>
      <c r="CH530" s="582"/>
      <c r="CI530" s="664"/>
      <c r="CJ530" s="664"/>
      <c r="CK530" s="664"/>
      <c r="CL530" s="664"/>
      <c r="CM530" s="664"/>
      <c r="CN530" s="664"/>
      <c r="CO530" s="664"/>
      <c r="CP530" s="664"/>
      <c r="CQ530" s="664"/>
      <c r="CR530" s="664"/>
      <c r="CS530" s="664"/>
      <c r="CT530" s="664"/>
      <c r="CU530" s="664"/>
      <c r="CV530" s="664"/>
      <c r="CW530" s="664"/>
      <c r="CX530" s="664"/>
      <c r="CY530" s="664"/>
      <c r="CZ530" s="664"/>
    </row>
    <row r="531" spans="1:104" x14ac:dyDescent="0.25">
      <c r="A531" s="659" t="s">
        <v>519</v>
      </c>
      <c r="B531" s="659"/>
      <c r="C531" s="659"/>
      <c r="D531" s="659"/>
      <c r="E531" s="659"/>
      <c r="F531" s="659"/>
      <c r="G531" s="659"/>
      <c r="H531" s="584" t="s">
        <v>967</v>
      </c>
      <c r="I531" s="585"/>
      <c r="J531" s="585"/>
      <c r="K531" s="585"/>
      <c r="L531" s="585"/>
      <c r="M531" s="585"/>
      <c r="N531" s="585"/>
      <c r="O531" s="585"/>
      <c r="P531" s="585"/>
      <c r="Q531" s="585"/>
      <c r="R531" s="585"/>
      <c r="S531" s="585"/>
      <c r="T531" s="585"/>
      <c r="U531" s="585"/>
      <c r="V531" s="585"/>
      <c r="W531" s="585"/>
      <c r="X531" s="585"/>
      <c r="Y531" s="585"/>
      <c r="Z531" s="585"/>
      <c r="AA531" s="585"/>
      <c r="AB531" s="585"/>
      <c r="AC531" s="585"/>
      <c r="AD531" s="585"/>
      <c r="AE531" s="585"/>
      <c r="AF531" s="585"/>
      <c r="AG531" s="585"/>
      <c r="AH531" s="585"/>
      <c r="AI531" s="585"/>
      <c r="AJ531" s="585"/>
      <c r="AK531" s="585"/>
      <c r="AL531" s="585"/>
      <c r="AM531" s="585"/>
      <c r="AN531" s="585"/>
      <c r="AO531" s="585"/>
      <c r="AP531" s="585"/>
      <c r="AQ531" s="585"/>
      <c r="AR531" s="585"/>
      <c r="AS531" s="585"/>
      <c r="AT531" s="585"/>
      <c r="AU531" s="585"/>
      <c r="AV531" s="585"/>
      <c r="AW531" s="585"/>
      <c r="AX531" s="585"/>
      <c r="AY531" s="585"/>
      <c r="AZ531" s="585"/>
      <c r="BA531" s="585"/>
      <c r="BB531" s="585"/>
      <c r="BC531" s="585"/>
      <c r="BD531" s="585"/>
      <c r="BE531" s="585"/>
      <c r="BF531" s="585"/>
      <c r="BG531" s="585"/>
      <c r="BH531" s="585"/>
      <c r="BI531" s="585"/>
      <c r="BJ531" s="585"/>
      <c r="BK531" s="585"/>
      <c r="BL531" s="585"/>
      <c r="BM531" s="585"/>
      <c r="BN531" s="585"/>
      <c r="BO531" s="585"/>
      <c r="BP531" s="585"/>
      <c r="BQ531" s="585"/>
      <c r="BR531" s="586"/>
      <c r="BS531" s="582">
        <v>1</v>
      </c>
      <c r="BT531" s="582"/>
      <c r="BU531" s="582"/>
      <c r="BV531" s="582"/>
      <c r="BW531" s="582"/>
      <c r="BX531" s="582"/>
      <c r="BY531" s="582"/>
      <c r="BZ531" s="582"/>
      <c r="CA531" s="582"/>
      <c r="CB531" s="582"/>
      <c r="CC531" s="582"/>
      <c r="CD531" s="582"/>
      <c r="CE531" s="582"/>
      <c r="CF531" s="582"/>
      <c r="CG531" s="582"/>
      <c r="CH531" s="582"/>
      <c r="CI531" s="664">
        <v>9000</v>
      </c>
      <c r="CJ531" s="664"/>
      <c r="CK531" s="664"/>
      <c r="CL531" s="664"/>
      <c r="CM531" s="664"/>
      <c r="CN531" s="664"/>
      <c r="CO531" s="664"/>
      <c r="CP531" s="664"/>
      <c r="CQ531" s="664"/>
      <c r="CR531" s="664"/>
      <c r="CS531" s="664"/>
      <c r="CT531" s="664"/>
      <c r="CU531" s="664"/>
      <c r="CV531" s="664"/>
      <c r="CW531" s="664"/>
      <c r="CX531" s="664"/>
      <c r="CY531" s="664"/>
      <c r="CZ531" s="664"/>
    </row>
    <row r="532" spans="1:104" x14ac:dyDescent="0.25">
      <c r="A532" s="659" t="s">
        <v>521</v>
      </c>
      <c r="B532" s="659"/>
      <c r="C532" s="659"/>
      <c r="D532" s="659"/>
      <c r="E532" s="659"/>
      <c r="F532" s="659"/>
      <c r="G532" s="659"/>
      <c r="H532" s="584" t="s">
        <v>663</v>
      </c>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5"/>
      <c r="AL532" s="585"/>
      <c r="AM532" s="585"/>
      <c r="AN532" s="585"/>
      <c r="AO532" s="585"/>
      <c r="AP532" s="585"/>
      <c r="AQ532" s="585"/>
      <c r="AR532" s="585"/>
      <c r="AS532" s="585"/>
      <c r="AT532" s="585"/>
      <c r="AU532" s="585"/>
      <c r="AV532" s="585"/>
      <c r="AW532" s="585"/>
      <c r="AX532" s="585"/>
      <c r="AY532" s="585"/>
      <c r="AZ532" s="585"/>
      <c r="BA532" s="585"/>
      <c r="BB532" s="585"/>
      <c r="BC532" s="585"/>
      <c r="BD532" s="585"/>
      <c r="BE532" s="585"/>
      <c r="BF532" s="585"/>
      <c r="BG532" s="585"/>
      <c r="BH532" s="585"/>
      <c r="BI532" s="585"/>
      <c r="BJ532" s="585"/>
      <c r="BK532" s="585"/>
      <c r="BL532" s="585"/>
      <c r="BM532" s="585"/>
      <c r="BN532" s="585"/>
      <c r="BO532" s="585"/>
      <c r="BP532" s="585"/>
      <c r="BQ532" s="585"/>
      <c r="BR532" s="586"/>
      <c r="BS532" s="582">
        <v>1</v>
      </c>
      <c r="BT532" s="582"/>
      <c r="BU532" s="582"/>
      <c r="BV532" s="582"/>
      <c r="BW532" s="582"/>
      <c r="BX532" s="582"/>
      <c r="BY532" s="582"/>
      <c r="BZ532" s="582"/>
      <c r="CA532" s="582"/>
      <c r="CB532" s="582"/>
      <c r="CC532" s="582"/>
      <c r="CD532" s="582"/>
      <c r="CE532" s="582"/>
      <c r="CF532" s="582"/>
      <c r="CG532" s="582"/>
      <c r="CH532" s="582"/>
      <c r="CI532" s="664">
        <v>22297.200000000001</v>
      </c>
      <c r="CJ532" s="664"/>
      <c r="CK532" s="664"/>
      <c r="CL532" s="664"/>
      <c r="CM532" s="664"/>
      <c r="CN532" s="664"/>
      <c r="CO532" s="664"/>
      <c r="CP532" s="664"/>
      <c r="CQ532" s="664"/>
      <c r="CR532" s="664"/>
      <c r="CS532" s="664"/>
      <c r="CT532" s="664"/>
      <c r="CU532" s="664"/>
      <c r="CV532" s="664"/>
      <c r="CW532" s="664"/>
      <c r="CX532" s="664"/>
      <c r="CY532" s="664"/>
      <c r="CZ532" s="664"/>
    </row>
    <row r="533" spans="1:104" ht="14.4" customHeight="1" x14ac:dyDescent="0.25">
      <c r="A533" s="659" t="s">
        <v>523</v>
      </c>
      <c r="B533" s="659"/>
      <c r="C533" s="659"/>
      <c r="D533" s="659"/>
      <c r="E533" s="659"/>
      <c r="F533" s="659"/>
      <c r="G533" s="659"/>
      <c r="H533" s="584" t="s">
        <v>916</v>
      </c>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5"/>
      <c r="AL533" s="585"/>
      <c r="AM533" s="585"/>
      <c r="AN533" s="585"/>
      <c r="AO533" s="585"/>
      <c r="AP533" s="585"/>
      <c r="AQ533" s="585"/>
      <c r="AR533" s="585"/>
      <c r="AS533" s="585"/>
      <c r="AT533" s="585"/>
      <c r="AU533" s="585"/>
      <c r="AV533" s="585"/>
      <c r="AW533" s="585"/>
      <c r="AX533" s="585"/>
      <c r="AY533" s="585"/>
      <c r="AZ533" s="585"/>
      <c r="BA533" s="585"/>
      <c r="BB533" s="585"/>
      <c r="BC533" s="585"/>
      <c r="BD533" s="585"/>
      <c r="BE533" s="585"/>
      <c r="BF533" s="585"/>
      <c r="BG533" s="585"/>
      <c r="BH533" s="585"/>
      <c r="BI533" s="585"/>
      <c r="BJ533" s="585"/>
      <c r="BK533" s="585"/>
      <c r="BL533" s="585"/>
      <c r="BM533" s="585"/>
      <c r="BN533" s="585"/>
      <c r="BO533" s="585"/>
      <c r="BP533" s="585"/>
      <c r="BQ533" s="585"/>
      <c r="BR533" s="586"/>
      <c r="BS533" s="582">
        <v>1</v>
      </c>
      <c r="BT533" s="582"/>
      <c r="BU533" s="582"/>
      <c r="BV533" s="582"/>
      <c r="BW533" s="582"/>
      <c r="BX533" s="582"/>
      <c r="BY533" s="582"/>
      <c r="BZ533" s="582"/>
      <c r="CA533" s="582"/>
      <c r="CB533" s="582"/>
      <c r="CC533" s="582"/>
      <c r="CD533" s="582"/>
      <c r="CE533" s="582"/>
      <c r="CF533" s="582"/>
      <c r="CG533" s="582"/>
      <c r="CH533" s="582"/>
      <c r="CI533" s="664">
        <v>2702.8</v>
      </c>
      <c r="CJ533" s="664"/>
      <c r="CK533" s="664"/>
      <c r="CL533" s="664"/>
      <c r="CM533" s="664"/>
      <c r="CN533" s="664"/>
      <c r="CO533" s="664"/>
      <c r="CP533" s="664"/>
      <c r="CQ533" s="664"/>
      <c r="CR533" s="664"/>
      <c r="CS533" s="664"/>
      <c r="CT533" s="664"/>
      <c r="CU533" s="664"/>
      <c r="CV533" s="664"/>
      <c r="CW533" s="664"/>
      <c r="CX533" s="664"/>
      <c r="CY533" s="664"/>
      <c r="CZ533" s="664"/>
    </row>
    <row r="534" spans="1:104" ht="15" customHeight="1" x14ac:dyDescent="0.25">
      <c r="A534" s="659" t="s">
        <v>525</v>
      </c>
      <c r="B534" s="659"/>
      <c r="C534" s="659"/>
      <c r="D534" s="659"/>
      <c r="E534" s="659"/>
      <c r="F534" s="659"/>
      <c r="G534" s="659"/>
      <c r="H534" s="584" t="s">
        <v>665</v>
      </c>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5"/>
      <c r="AL534" s="585"/>
      <c r="AM534" s="585"/>
      <c r="AN534" s="585"/>
      <c r="AO534" s="585"/>
      <c r="AP534" s="585"/>
      <c r="AQ534" s="585"/>
      <c r="AR534" s="585"/>
      <c r="AS534" s="585"/>
      <c r="AT534" s="585"/>
      <c r="AU534" s="585"/>
      <c r="AV534" s="585"/>
      <c r="AW534" s="585"/>
      <c r="AX534" s="585"/>
      <c r="AY534" s="585"/>
      <c r="AZ534" s="585"/>
      <c r="BA534" s="585"/>
      <c r="BB534" s="585"/>
      <c r="BC534" s="585"/>
      <c r="BD534" s="585"/>
      <c r="BE534" s="585"/>
      <c r="BF534" s="585"/>
      <c r="BG534" s="585"/>
      <c r="BH534" s="585"/>
      <c r="BI534" s="585"/>
      <c r="BJ534" s="585"/>
      <c r="BK534" s="585"/>
      <c r="BL534" s="585"/>
      <c r="BM534" s="585"/>
      <c r="BN534" s="585"/>
      <c r="BO534" s="585"/>
      <c r="BP534" s="585"/>
      <c r="BQ534" s="585"/>
      <c r="BR534" s="586"/>
      <c r="BS534" s="582">
        <v>1</v>
      </c>
      <c r="BT534" s="582"/>
      <c r="BU534" s="582"/>
      <c r="BV534" s="582"/>
      <c r="BW534" s="582"/>
      <c r="BX534" s="582"/>
      <c r="BY534" s="582"/>
      <c r="BZ534" s="582"/>
      <c r="CA534" s="582"/>
      <c r="CB534" s="582"/>
      <c r="CC534" s="582"/>
      <c r="CD534" s="582"/>
      <c r="CE534" s="582"/>
      <c r="CF534" s="582"/>
      <c r="CG534" s="582"/>
      <c r="CH534" s="582"/>
      <c r="CI534" s="664">
        <v>350000</v>
      </c>
      <c r="CJ534" s="664"/>
      <c r="CK534" s="664"/>
      <c r="CL534" s="664"/>
      <c r="CM534" s="664"/>
      <c r="CN534" s="664"/>
      <c r="CO534" s="664"/>
      <c r="CP534" s="664"/>
      <c r="CQ534" s="664"/>
      <c r="CR534" s="664"/>
      <c r="CS534" s="664"/>
      <c r="CT534" s="664"/>
      <c r="CU534" s="664"/>
      <c r="CV534" s="664"/>
      <c r="CW534" s="664"/>
      <c r="CX534" s="664"/>
      <c r="CY534" s="664"/>
      <c r="CZ534" s="664"/>
    </row>
    <row r="535" spans="1:104" ht="30" customHeight="1" x14ac:dyDescent="0.25">
      <c r="A535" s="659" t="s">
        <v>526</v>
      </c>
      <c r="B535" s="659"/>
      <c r="C535" s="659"/>
      <c r="D535" s="659"/>
      <c r="E535" s="659"/>
      <c r="F535" s="659"/>
      <c r="G535" s="659"/>
      <c r="H535" s="584" t="s">
        <v>849</v>
      </c>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5"/>
      <c r="AL535" s="585"/>
      <c r="AM535" s="585"/>
      <c r="AN535" s="585"/>
      <c r="AO535" s="585"/>
      <c r="AP535" s="585"/>
      <c r="AQ535" s="585"/>
      <c r="AR535" s="585"/>
      <c r="AS535" s="585"/>
      <c r="AT535" s="585"/>
      <c r="AU535" s="585"/>
      <c r="AV535" s="585"/>
      <c r="AW535" s="585"/>
      <c r="AX535" s="585"/>
      <c r="AY535" s="585"/>
      <c r="AZ535" s="585"/>
      <c r="BA535" s="585"/>
      <c r="BB535" s="585"/>
      <c r="BC535" s="585"/>
      <c r="BD535" s="585"/>
      <c r="BE535" s="585"/>
      <c r="BF535" s="585"/>
      <c r="BG535" s="585"/>
      <c r="BH535" s="585"/>
      <c r="BI535" s="585"/>
      <c r="BJ535" s="585"/>
      <c r="BK535" s="585"/>
      <c r="BL535" s="585"/>
      <c r="BM535" s="585"/>
      <c r="BN535" s="585"/>
      <c r="BO535" s="585"/>
      <c r="BP535" s="585"/>
      <c r="BQ535" s="585"/>
      <c r="BR535" s="586"/>
      <c r="BS535" s="544">
        <v>1</v>
      </c>
      <c r="BT535" s="545"/>
      <c r="BU535" s="545"/>
      <c r="BV535" s="545"/>
      <c r="BW535" s="545"/>
      <c r="BX535" s="545"/>
      <c r="BY535" s="545"/>
      <c r="BZ535" s="545"/>
      <c r="CA535" s="545"/>
      <c r="CB535" s="545"/>
      <c r="CC535" s="545"/>
      <c r="CD535" s="545"/>
      <c r="CE535" s="545"/>
      <c r="CF535" s="545"/>
      <c r="CG535" s="545"/>
      <c r="CH535" s="546"/>
      <c r="CI535" s="627">
        <v>111694</v>
      </c>
      <c r="CJ535" s="628"/>
      <c r="CK535" s="628"/>
      <c r="CL535" s="628"/>
      <c r="CM535" s="628"/>
      <c r="CN535" s="628"/>
      <c r="CO535" s="628"/>
      <c r="CP535" s="628"/>
      <c r="CQ535" s="628"/>
      <c r="CR535" s="628"/>
      <c r="CS535" s="628"/>
      <c r="CT535" s="628"/>
      <c r="CU535" s="628"/>
      <c r="CV535" s="628"/>
      <c r="CW535" s="628"/>
      <c r="CX535" s="628"/>
      <c r="CY535" s="628"/>
      <c r="CZ535" s="629"/>
    </row>
    <row r="536" spans="1:104" ht="27.6" customHeight="1" x14ac:dyDescent="0.25">
      <c r="A536" s="659" t="s">
        <v>530</v>
      </c>
      <c r="B536" s="659"/>
      <c r="C536" s="659"/>
      <c r="D536" s="659"/>
      <c r="E536" s="659"/>
      <c r="F536" s="659"/>
      <c r="G536" s="659"/>
      <c r="H536" s="584" t="s">
        <v>841</v>
      </c>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5"/>
      <c r="AL536" s="585"/>
      <c r="AM536" s="585"/>
      <c r="AN536" s="585"/>
      <c r="AO536" s="585"/>
      <c r="AP536" s="585"/>
      <c r="AQ536" s="585"/>
      <c r="AR536" s="585"/>
      <c r="AS536" s="585"/>
      <c r="AT536" s="585"/>
      <c r="AU536" s="585"/>
      <c r="AV536" s="585"/>
      <c r="AW536" s="585"/>
      <c r="AX536" s="585"/>
      <c r="AY536" s="585"/>
      <c r="AZ536" s="585"/>
      <c r="BA536" s="585"/>
      <c r="BB536" s="585"/>
      <c r="BC536" s="585"/>
      <c r="BD536" s="585"/>
      <c r="BE536" s="585"/>
      <c r="BF536" s="585"/>
      <c r="BG536" s="585"/>
      <c r="BH536" s="585"/>
      <c r="BI536" s="585"/>
      <c r="BJ536" s="585"/>
      <c r="BK536" s="585"/>
      <c r="BL536" s="585"/>
      <c r="BM536" s="585"/>
      <c r="BN536" s="585"/>
      <c r="BO536" s="585"/>
      <c r="BP536" s="585"/>
      <c r="BQ536" s="585"/>
      <c r="BR536" s="586"/>
      <c r="BS536" s="582">
        <v>1</v>
      </c>
      <c r="BT536" s="582"/>
      <c r="BU536" s="582"/>
      <c r="BV536" s="582"/>
      <c r="BW536" s="582"/>
      <c r="BX536" s="582"/>
      <c r="BY536" s="582"/>
      <c r="BZ536" s="582"/>
      <c r="CA536" s="582"/>
      <c r="CB536" s="582"/>
      <c r="CC536" s="582"/>
      <c r="CD536" s="582"/>
      <c r="CE536" s="582"/>
      <c r="CF536" s="582"/>
      <c r="CG536" s="582"/>
      <c r="CH536" s="582"/>
      <c r="CI536" s="664">
        <v>26400</v>
      </c>
      <c r="CJ536" s="664"/>
      <c r="CK536" s="664"/>
      <c r="CL536" s="664"/>
      <c r="CM536" s="664"/>
      <c r="CN536" s="664"/>
      <c r="CO536" s="664"/>
      <c r="CP536" s="664"/>
      <c r="CQ536" s="664"/>
      <c r="CR536" s="664"/>
      <c r="CS536" s="664"/>
      <c r="CT536" s="664"/>
      <c r="CU536" s="664"/>
      <c r="CV536" s="664"/>
      <c r="CW536" s="664"/>
      <c r="CX536" s="664"/>
      <c r="CY536" s="664"/>
      <c r="CZ536" s="664"/>
    </row>
    <row r="537" spans="1:104" ht="15" hidden="1" customHeight="1" x14ac:dyDescent="0.25">
      <c r="A537" s="659" t="s">
        <v>625</v>
      </c>
      <c r="B537" s="659"/>
      <c r="C537" s="659"/>
      <c r="D537" s="659"/>
      <c r="E537" s="659"/>
      <c r="F537" s="659"/>
      <c r="G537" s="659"/>
      <c r="H537" s="584" t="s">
        <v>904</v>
      </c>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5"/>
      <c r="AL537" s="585"/>
      <c r="AM537" s="585"/>
      <c r="AN537" s="585"/>
      <c r="AO537" s="585"/>
      <c r="AP537" s="585"/>
      <c r="AQ537" s="585"/>
      <c r="AR537" s="585"/>
      <c r="AS537" s="585"/>
      <c r="AT537" s="585"/>
      <c r="AU537" s="585"/>
      <c r="AV537" s="585"/>
      <c r="AW537" s="585"/>
      <c r="AX537" s="585"/>
      <c r="AY537" s="585"/>
      <c r="AZ537" s="585"/>
      <c r="BA537" s="585"/>
      <c r="BB537" s="585"/>
      <c r="BC537" s="585"/>
      <c r="BD537" s="585"/>
      <c r="BE537" s="585"/>
      <c r="BF537" s="585"/>
      <c r="BG537" s="585"/>
      <c r="BH537" s="585"/>
      <c r="BI537" s="585"/>
      <c r="BJ537" s="585"/>
      <c r="BK537" s="585"/>
      <c r="BL537" s="585"/>
      <c r="BM537" s="585"/>
      <c r="BN537" s="585"/>
      <c r="BO537" s="585"/>
      <c r="BP537" s="585"/>
      <c r="BQ537" s="585"/>
      <c r="BR537" s="586"/>
      <c r="BS537" s="582">
        <v>1</v>
      </c>
      <c r="BT537" s="582"/>
      <c r="BU537" s="582"/>
      <c r="BV537" s="582"/>
      <c r="BW537" s="582"/>
      <c r="BX537" s="582"/>
      <c r="BY537" s="582"/>
      <c r="BZ537" s="582"/>
      <c r="CA537" s="582"/>
      <c r="CB537" s="582"/>
      <c r="CC537" s="582"/>
      <c r="CD537" s="582"/>
      <c r="CE537" s="582"/>
      <c r="CF537" s="582"/>
      <c r="CG537" s="582"/>
      <c r="CH537" s="582"/>
      <c r="CI537" s="664"/>
      <c r="CJ537" s="664"/>
      <c r="CK537" s="664"/>
      <c r="CL537" s="664"/>
      <c r="CM537" s="664"/>
      <c r="CN537" s="664"/>
      <c r="CO537" s="664"/>
      <c r="CP537" s="664"/>
      <c r="CQ537" s="664"/>
      <c r="CR537" s="664"/>
      <c r="CS537" s="664"/>
      <c r="CT537" s="664"/>
      <c r="CU537" s="664"/>
      <c r="CV537" s="664"/>
      <c r="CW537" s="664"/>
      <c r="CX537" s="664"/>
      <c r="CY537" s="664"/>
      <c r="CZ537" s="664"/>
    </row>
    <row r="538" spans="1:104" ht="15" customHeight="1" x14ac:dyDescent="0.25">
      <c r="A538" s="659" t="s">
        <v>621</v>
      </c>
      <c r="B538" s="659"/>
      <c r="C538" s="659"/>
      <c r="D538" s="659"/>
      <c r="E538" s="659"/>
      <c r="F538" s="659"/>
      <c r="G538" s="659"/>
      <c r="H538" s="584" t="s">
        <v>1054</v>
      </c>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585"/>
      <c r="AY538" s="585"/>
      <c r="AZ538" s="585"/>
      <c r="BA538" s="585"/>
      <c r="BB538" s="585"/>
      <c r="BC538" s="585"/>
      <c r="BD538" s="585"/>
      <c r="BE538" s="585"/>
      <c r="BF538" s="585"/>
      <c r="BG538" s="585"/>
      <c r="BH538" s="585"/>
      <c r="BI538" s="585"/>
      <c r="BJ538" s="585"/>
      <c r="BK538" s="585"/>
      <c r="BL538" s="585"/>
      <c r="BM538" s="585"/>
      <c r="BN538" s="585"/>
      <c r="BO538" s="585"/>
      <c r="BP538" s="585"/>
      <c r="BQ538" s="585"/>
      <c r="BR538" s="586"/>
      <c r="BS538" s="582">
        <v>1</v>
      </c>
      <c r="BT538" s="582"/>
      <c r="BU538" s="582"/>
      <c r="BV538" s="582"/>
      <c r="BW538" s="582"/>
      <c r="BX538" s="582"/>
      <c r="BY538" s="582"/>
      <c r="BZ538" s="582"/>
      <c r="CA538" s="582"/>
      <c r="CB538" s="582"/>
      <c r="CC538" s="582"/>
      <c r="CD538" s="582"/>
      <c r="CE538" s="582"/>
      <c r="CF538" s="582"/>
      <c r="CG538" s="582"/>
      <c r="CH538" s="582"/>
      <c r="CI538" s="664">
        <v>15700</v>
      </c>
      <c r="CJ538" s="664"/>
      <c r="CK538" s="664"/>
      <c r="CL538" s="664"/>
      <c r="CM538" s="664"/>
      <c r="CN538" s="664"/>
      <c r="CO538" s="664"/>
      <c r="CP538" s="664"/>
      <c r="CQ538" s="664"/>
      <c r="CR538" s="664"/>
      <c r="CS538" s="664"/>
      <c r="CT538" s="664"/>
      <c r="CU538" s="664"/>
      <c r="CV538" s="664"/>
      <c r="CW538" s="664"/>
      <c r="CX538" s="664"/>
      <c r="CY538" s="664"/>
      <c r="CZ538" s="664"/>
    </row>
    <row r="539" spans="1:104" ht="15" customHeight="1" x14ac:dyDescent="0.25">
      <c r="A539" s="659" t="s">
        <v>622</v>
      </c>
      <c r="B539" s="659"/>
      <c r="C539" s="659"/>
      <c r="D539" s="659"/>
      <c r="E539" s="659"/>
      <c r="F539" s="659"/>
      <c r="G539" s="659"/>
      <c r="H539" s="584" t="s">
        <v>671</v>
      </c>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5"/>
      <c r="AL539" s="585"/>
      <c r="AM539" s="585"/>
      <c r="AN539" s="585"/>
      <c r="AO539" s="585"/>
      <c r="AP539" s="585"/>
      <c r="AQ539" s="585"/>
      <c r="AR539" s="585"/>
      <c r="AS539" s="585"/>
      <c r="AT539" s="585"/>
      <c r="AU539" s="585"/>
      <c r="AV539" s="585"/>
      <c r="AW539" s="585"/>
      <c r="AX539" s="585"/>
      <c r="AY539" s="585"/>
      <c r="AZ539" s="585"/>
      <c r="BA539" s="585"/>
      <c r="BB539" s="585"/>
      <c r="BC539" s="585"/>
      <c r="BD539" s="585"/>
      <c r="BE539" s="585"/>
      <c r="BF539" s="585"/>
      <c r="BG539" s="585"/>
      <c r="BH539" s="585"/>
      <c r="BI539" s="585"/>
      <c r="BJ539" s="585"/>
      <c r="BK539" s="585"/>
      <c r="BL539" s="585"/>
      <c r="BM539" s="585"/>
      <c r="BN539" s="585"/>
      <c r="BO539" s="585"/>
      <c r="BP539" s="585"/>
      <c r="BQ539" s="585"/>
      <c r="BR539" s="586"/>
      <c r="BS539" s="582">
        <v>2</v>
      </c>
      <c r="BT539" s="582"/>
      <c r="BU539" s="582"/>
      <c r="BV539" s="582"/>
      <c r="BW539" s="582"/>
      <c r="BX539" s="582"/>
      <c r="BY539" s="582"/>
      <c r="BZ539" s="582"/>
      <c r="CA539" s="582"/>
      <c r="CB539" s="582"/>
      <c r="CC539" s="582"/>
      <c r="CD539" s="582"/>
      <c r="CE539" s="582"/>
      <c r="CF539" s="582"/>
      <c r="CG539" s="582"/>
      <c r="CH539" s="582"/>
      <c r="CI539" s="664">
        <v>7500</v>
      </c>
      <c r="CJ539" s="664"/>
      <c r="CK539" s="664"/>
      <c r="CL539" s="664"/>
      <c r="CM539" s="664"/>
      <c r="CN539" s="664"/>
      <c r="CO539" s="664"/>
      <c r="CP539" s="664"/>
      <c r="CQ539" s="664"/>
      <c r="CR539" s="664"/>
      <c r="CS539" s="664"/>
      <c r="CT539" s="664"/>
      <c r="CU539" s="664"/>
      <c r="CV539" s="664"/>
      <c r="CW539" s="664"/>
      <c r="CX539" s="664"/>
      <c r="CY539" s="664"/>
      <c r="CZ539" s="664"/>
    </row>
    <row r="540" spans="1:104" ht="15" hidden="1" customHeight="1" x14ac:dyDescent="0.25">
      <c r="A540" s="659" t="s">
        <v>631</v>
      </c>
      <c r="B540" s="659"/>
      <c r="C540" s="659"/>
      <c r="D540" s="659"/>
      <c r="E540" s="659"/>
      <c r="F540" s="659"/>
      <c r="G540" s="659"/>
      <c r="H540" s="584" t="s">
        <v>673</v>
      </c>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5"/>
      <c r="AL540" s="585"/>
      <c r="AM540" s="585"/>
      <c r="AN540" s="585"/>
      <c r="AO540" s="585"/>
      <c r="AP540" s="585"/>
      <c r="AQ540" s="585"/>
      <c r="AR540" s="585"/>
      <c r="AS540" s="585"/>
      <c r="AT540" s="585"/>
      <c r="AU540" s="585"/>
      <c r="AV540" s="585"/>
      <c r="AW540" s="585"/>
      <c r="AX540" s="585"/>
      <c r="AY540" s="585"/>
      <c r="AZ540" s="585"/>
      <c r="BA540" s="585"/>
      <c r="BB540" s="585"/>
      <c r="BC540" s="585"/>
      <c r="BD540" s="585"/>
      <c r="BE540" s="585"/>
      <c r="BF540" s="585"/>
      <c r="BG540" s="585"/>
      <c r="BH540" s="585"/>
      <c r="BI540" s="585"/>
      <c r="BJ540" s="585"/>
      <c r="BK540" s="585"/>
      <c r="BL540" s="585"/>
      <c r="BM540" s="585"/>
      <c r="BN540" s="585"/>
      <c r="BO540" s="585"/>
      <c r="BP540" s="585"/>
      <c r="BQ540" s="585"/>
      <c r="BR540" s="586"/>
      <c r="BS540" s="582">
        <v>1</v>
      </c>
      <c r="BT540" s="582"/>
      <c r="BU540" s="582"/>
      <c r="BV540" s="582"/>
      <c r="BW540" s="582"/>
      <c r="BX540" s="582"/>
      <c r="BY540" s="582"/>
      <c r="BZ540" s="582"/>
      <c r="CA540" s="582"/>
      <c r="CB540" s="582"/>
      <c r="CC540" s="582"/>
      <c r="CD540" s="582"/>
      <c r="CE540" s="582"/>
      <c r="CF540" s="582"/>
      <c r="CG540" s="582"/>
      <c r="CH540" s="582"/>
      <c r="CI540" s="664"/>
      <c r="CJ540" s="664"/>
      <c r="CK540" s="664"/>
      <c r="CL540" s="664"/>
      <c r="CM540" s="664"/>
      <c r="CN540" s="664"/>
      <c r="CO540" s="664"/>
      <c r="CP540" s="664"/>
      <c r="CQ540" s="664"/>
      <c r="CR540" s="664"/>
      <c r="CS540" s="664"/>
      <c r="CT540" s="664"/>
      <c r="CU540" s="664"/>
      <c r="CV540" s="664"/>
      <c r="CW540" s="664"/>
      <c r="CX540" s="664"/>
      <c r="CY540" s="664"/>
      <c r="CZ540" s="664"/>
    </row>
    <row r="541" spans="1:104" ht="15" hidden="1" customHeight="1" x14ac:dyDescent="0.25">
      <c r="A541" s="659" t="s">
        <v>830</v>
      </c>
      <c r="B541" s="659"/>
      <c r="C541" s="659"/>
      <c r="D541" s="659"/>
      <c r="E541" s="659"/>
      <c r="F541" s="659"/>
      <c r="G541" s="659"/>
      <c r="H541" s="556" t="s">
        <v>892</v>
      </c>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6"/>
      <c r="AL541" s="556"/>
      <c r="AM541" s="556"/>
      <c r="AN541" s="556"/>
      <c r="AO541" s="556"/>
      <c r="AP541" s="556"/>
      <c r="AQ541" s="556"/>
      <c r="AR541" s="556"/>
      <c r="AS541" s="556"/>
      <c r="AT541" s="556"/>
      <c r="AU541" s="556"/>
      <c r="AV541" s="556"/>
      <c r="AW541" s="556"/>
      <c r="AX541" s="556"/>
      <c r="AY541" s="556"/>
      <c r="AZ541" s="556"/>
      <c r="BA541" s="556"/>
      <c r="BB541" s="556"/>
      <c r="BC541" s="556"/>
      <c r="BD541" s="556"/>
      <c r="BE541" s="556"/>
      <c r="BF541" s="556"/>
      <c r="BG541" s="556"/>
      <c r="BH541" s="556"/>
      <c r="BI541" s="556"/>
      <c r="BJ541" s="556"/>
      <c r="BK541" s="556"/>
      <c r="BL541" s="556"/>
      <c r="BM541" s="556"/>
      <c r="BN541" s="556"/>
      <c r="BO541" s="556"/>
      <c r="BP541" s="556"/>
      <c r="BQ541" s="556"/>
      <c r="BR541" s="556"/>
      <c r="BS541" s="582">
        <v>1</v>
      </c>
      <c r="BT541" s="582"/>
      <c r="BU541" s="582"/>
      <c r="BV541" s="582"/>
      <c r="BW541" s="582"/>
      <c r="BX541" s="582"/>
      <c r="BY541" s="582"/>
      <c r="BZ541" s="582"/>
      <c r="CA541" s="582"/>
      <c r="CB541" s="582"/>
      <c r="CC541" s="582"/>
      <c r="CD541" s="582"/>
      <c r="CE541" s="582"/>
      <c r="CF541" s="582"/>
      <c r="CG541" s="582"/>
      <c r="CH541" s="582"/>
      <c r="CI541" s="664"/>
      <c r="CJ541" s="664"/>
      <c r="CK541" s="664"/>
      <c r="CL541" s="664"/>
      <c r="CM541" s="664"/>
      <c r="CN541" s="664"/>
      <c r="CO541" s="664"/>
      <c r="CP541" s="664"/>
      <c r="CQ541" s="664"/>
      <c r="CR541" s="664"/>
      <c r="CS541" s="664"/>
      <c r="CT541" s="664"/>
      <c r="CU541" s="664"/>
      <c r="CV541" s="664"/>
      <c r="CW541" s="664"/>
      <c r="CX541" s="664"/>
      <c r="CY541" s="664"/>
      <c r="CZ541" s="664"/>
    </row>
    <row r="542" spans="1:104" ht="15" hidden="1" customHeight="1" x14ac:dyDescent="0.25">
      <c r="A542" s="659" t="s">
        <v>1007</v>
      </c>
      <c r="B542" s="659"/>
      <c r="C542" s="659"/>
      <c r="D542" s="659"/>
      <c r="E542" s="659"/>
      <c r="F542" s="659"/>
      <c r="G542" s="659"/>
      <c r="H542" s="556" t="s">
        <v>676</v>
      </c>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6"/>
      <c r="AL542" s="556"/>
      <c r="AM542" s="556"/>
      <c r="AN542" s="556"/>
      <c r="AO542" s="556"/>
      <c r="AP542" s="556"/>
      <c r="AQ542" s="556"/>
      <c r="AR542" s="556"/>
      <c r="AS542" s="556"/>
      <c r="AT542" s="556"/>
      <c r="AU542" s="556"/>
      <c r="AV542" s="556"/>
      <c r="AW542" s="556"/>
      <c r="AX542" s="556"/>
      <c r="AY542" s="556"/>
      <c r="AZ542" s="556"/>
      <c r="BA542" s="556"/>
      <c r="BB542" s="556"/>
      <c r="BC542" s="556"/>
      <c r="BD542" s="556"/>
      <c r="BE542" s="556"/>
      <c r="BF542" s="556"/>
      <c r="BG542" s="556"/>
      <c r="BH542" s="556"/>
      <c r="BI542" s="556"/>
      <c r="BJ542" s="556"/>
      <c r="BK542" s="556"/>
      <c r="BL542" s="556"/>
      <c r="BM542" s="556"/>
      <c r="BN542" s="556"/>
      <c r="BO542" s="556"/>
      <c r="BP542" s="556"/>
      <c r="BQ542" s="556"/>
      <c r="BR542" s="556"/>
      <c r="BS542" s="582"/>
      <c r="BT542" s="582"/>
      <c r="BU542" s="582"/>
      <c r="BV542" s="582"/>
      <c r="BW542" s="582"/>
      <c r="BX542" s="582"/>
      <c r="BY542" s="582"/>
      <c r="BZ542" s="582"/>
      <c r="CA542" s="582"/>
      <c r="CB542" s="582"/>
      <c r="CC542" s="582"/>
      <c r="CD542" s="582"/>
      <c r="CE542" s="582"/>
      <c r="CF542" s="582"/>
      <c r="CG542" s="582"/>
      <c r="CH542" s="582"/>
      <c r="CI542" s="664"/>
      <c r="CJ542" s="664"/>
      <c r="CK542" s="664"/>
      <c r="CL542" s="664"/>
      <c r="CM542" s="664"/>
      <c r="CN542" s="664"/>
      <c r="CO542" s="664"/>
      <c r="CP542" s="664"/>
      <c r="CQ542" s="664"/>
      <c r="CR542" s="664"/>
      <c r="CS542" s="664"/>
      <c r="CT542" s="664"/>
      <c r="CU542" s="664"/>
      <c r="CV542" s="664"/>
      <c r="CW542" s="664"/>
      <c r="CX542" s="664"/>
      <c r="CY542" s="664"/>
      <c r="CZ542" s="664"/>
    </row>
    <row r="543" spans="1:104" ht="15" hidden="1" customHeight="1" x14ac:dyDescent="0.25">
      <c r="A543" s="659" t="s">
        <v>626</v>
      </c>
      <c r="B543" s="659"/>
      <c r="C543" s="659"/>
      <c r="D543" s="659"/>
      <c r="E543" s="659"/>
      <c r="F543" s="659"/>
      <c r="G543" s="659"/>
      <c r="H543" s="556" t="s">
        <v>678</v>
      </c>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6"/>
      <c r="AL543" s="556"/>
      <c r="AM543" s="556"/>
      <c r="AN543" s="556"/>
      <c r="AO543" s="556"/>
      <c r="AP543" s="556"/>
      <c r="AQ543" s="556"/>
      <c r="AR543" s="556"/>
      <c r="AS543" s="556"/>
      <c r="AT543" s="556"/>
      <c r="AU543" s="556"/>
      <c r="AV543" s="556"/>
      <c r="AW543" s="556"/>
      <c r="AX543" s="556"/>
      <c r="AY543" s="556"/>
      <c r="AZ543" s="556"/>
      <c r="BA543" s="556"/>
      <c r="BB543" s="556"/>
      <c r="BC543" s="556"/>
      <c r="BD543" s="556"/>
      <c r="BE543" s="556"/>
      <c r="BF543" s="556"/>
      <c r="BG543" s="556"/>
      <c r="BH543" s="556"/>
      <c r="BI543" s="556"/>
      <c r="BJ543" s="556"/>
      <c r="BK543" s="556"/>
      <c r="BL543" s="556"/>
      <c r="BM543" s="556"/>
      <c r="BN543" s="556"/>
      <c r="BO543" s="556"/>
      <c r="BP543" s="556"/>
      <c r="BQ543" s="556"/>
      <c r="BR543" s="556"/>
      <c r="BS543" s="582"/>
      <c r="BT543" s="582"/>
      <c r="BU543" s="582"/>
      <c r="BV543" s="582"/>
      <c r="BW543" s="582"/>
      <c r="BX543" s="582"/>
      <c r="BY543" s="582"/>
      <c r="BZ543" s="582"/>
      <c r="CA543" s="582"/>
      <c r="CB543" s="582"/>
      <c r="CC543" s="582"/>
      <c r="CD543" s="582"/>
      <c r="CE543" s="582"/>
      <c r="CF543" s="582"/>
      <c r="CG543" s="582"/>
      <c r="CH543" s="582"/>
      <c r="CI543" s="664"/>
      <c r="CJ543" s="664"/>
      <c r="CK543" s="664"/>
      <c r="CL543" s="664"/>
      <c r="CM543" s="664"/>
      <c r="CN543" s="664"/>
      <c r="CO543" s="664"/>
      <c r="CP543" s="664"/>
      <c r="CQ543" s="664"/>
      <c r="CR543" s="664"/>
      <c r="CS543" s="664"/>
      <c r="CT543" s="664"/>
      <c r="CU543" s="664"/>
      <c r="CV543" s="664"/>
      <c r="CW543" s="664"/>
      <c r="CX543" s="664"/>
      <c r="CY543" s="664"/>
      <c r="CZ543" s="664"/>
    </row>
    <row r="544" spans="1:104" ht="15" hidden="1" customHeight="1" x14ac:dyDescent="0.25">
      <c r="A544" s="659" t="s">
        <v>628</v>
      </c>
      <c r="B544" s="659"/>
      <c r="C544" s="659"/>
      <c r="D544" s="659"/>
      <c r="E544" s="659"/>
      <c r="F544" s="659"/>
      <c r="G544" s="659"/>
      <c r="H544" s="691" t="s">
        <v>915</v>
      </c>
      <c r="I544" s="691"/>
      <c r="J544" s="691"/>
      <c r="K544" s="691"/>
      <c r="L544" s="691"/>
      <c r="M544" s="691"/>
      <c r="N544" s="691"/>
      <c r="O544" s="691"/>
      <c r="P544" s="691"/>
      <c r="Q544" s="691"/>
      <c r="R544" s="691"/>
      <c r="S544" s="691"/>
      <c r="T544" s="691"/>
      <c r="U544" s="691"/>
      <c r="V544" s="691"/>
      <c r="W544" s="691"/>
      <c r="X544" s="691"/>
      <c r="Y544" s="691"/>
      <c r="Z544" s="691"/>
      <c r="AA544" s="691"/>
      <c r="AB544" s="691"/>
      <c r="AC544" s="691"/>
      <c r="AD544" s="691"/>
      <c r="AE544" s="691"/>
      <c r="AF544" s="691"/>
      <c r="AG544" s="691"/>
      <c r="AH544" s="691"/>
      <c r="AI544" s="691"/>
      <c r="AJ544" s="691"/>
      <c r="AK544" s="691"/>
      <c r="AL544" s="691"/>
      <c r="AM544" s="691"/>
      <c r="AN544" s="691"/>
      <c r="AO544" s="691"/>
      <c r="AP544" s="691"/>
      <c r="AQ544" s="691"/>
      <c r="AR544" s="691"/>
      <c r="AS544" s="691"/>
      <c r="AT544" s="691"/>
      <c r="AU544" s="691"/>
      <c r="AV544" s="691"/>
      <c r="AW544" s="691"/>
      <c r="AX544" s="691"/>
      <c r="AY544" s="691"/>
      <c r="AZ544" s="691"/>
      <c r="BA544" s="691"/>
      <c r="BB544" s="691"/>
      <c r="BC544" s="691"/>
      <c r="BD544" s="691"/>
      <c r="BE544" s="691"/>
      <c r="BF544" s="691"/>
      <c r="BG544" s="691"/>
      <c r="BH544" s="691"/>
      <c r="BI544" s="691"/>
      <c r="BJ544" s="691"/>
      <c r="BK544" s="691"/>
      <c r="BL544" s="691"/>
      <c r="BM544" s="691"/>
      <c r="BN544" s="691"/>
      <c r="BO544" s="691"/>
      <c r="BP544" s="691"/>
      <c r="BQ544" s="691"/>
      <c r="BR544" s="691"/>
      <c r="BS544" s="457">
        <v>1</v>
      </c>
      <c r="BT544" s="457"/>
      <c r="BU544" s="457"/>
      <c r="BV544" s="457"/>
      <c r="BW544" s="457"/>
      <c r="BX544" s="457"/>
      <c r="BY544" s="457"/>
      <c r="BZ544" s="457"/>
      <c r="CA544" s="457"/>
      <c r="CB544" s="457"/>
      <c r="CC544" s="457"/>
      <c r="CD544" s="457"/>
      <c r="CE544" s="457"/>
      <c r="CF544" s="457"/>
      <c r="CG544" s="457"/>
      <c r="CH544" s="457"/>
      <c r="CI544" s="457"/>
      <c r="CJ544" s="457"/>
      <c r="CK544" s="457"/>
      <c r="CL544" s="457"/>
      <c r="CM544" s="457"/>
      <c r="CN544" s="457"/>
      <c r="CO544" s="457"/>
      <c r="CP544" s="457"/>
      <c r="CQ544" s="457"/>
      <c r="CR544" s="457"/>
      <c r="CS544" s="457"/>
      <c r="CT544" s="457"/>
      <c r="CU544" s="457"/>
      <c r="CV544" s="457"/>
      <c r="CW544" s="457"/>
      <c r="CX544" s="457"/>
      <c r="CY544" s="457"/>
      <c r="CZ544" s="457"/>
    </row>
    <row r="545" spans="1:105" ht="15" hidden="1" customHeight="1" x14ac:dyDescent="0.25">
      <c r="A545" s="659" t="s">
        <v>1008</v>
      </c>
      <c r="B545" s="659"/>
      <c r="C545" s="659"/>
      <c r="D545" s="659"/>
      <c r="E545" s="659"/>
      <c r="F545" s="659"/>
      <c r="G545" s="659"/>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6"/>
      <c r="AL545" s="556"/>
      <c r="AM545" s="556"/>
      <c r="AN545" s="556"/>
      <c r="AO545" s="556"/>
      <c r="AP545" s="556"/>
      <c r="AQ545" s="556"/>
      <c r="AR545" s="556"/>
      <c r="AS545" s="556"/>
      <c r="AT545" s="556"/>
      <c r="AU545" s="556"/>
      <c r="AV545" s="556"/>
      <c r="AW545" s="556"/>
      <c r="AX545" s="556"/>
      <c r="AY545" s="556"/>
      <c r="AZ545" s="556"/>
      <c r="BA545" s="556"/>
      <c r="BB545" s="556"/>
      <c r="BC545" s="556"/>
      <c r="BD545" s="556"/>
      <c r="BE545" s="556"/>
      <c r="BF545" s="556"/>
      <c r="BG545" s="556"/>
      <c r="BH545" s="556"/>
      <c r="BI545" s="556"/>
      <c r="BJ545" s="556"/>
      <c r="BK545" s="556"/>
      <c r="BL545" s="556"/>
      <c r="BM545" s="556"/>
      <c r="BN545" s="556"/>
      <c r="BO545" s="556"/>
      <c r="BP545" s="556"/>
      <c r="BQ545" s="556"/>
      <c r="BR545" s="556"/>
      <c r="BS545" s="582">
        <v>1</v>
      </c>
      <c r="BT545" s="582"/>
      <c r="BU545" s="582"/>
      <c r="BV545" s="582"/>
      <c r="BW545" s="582"/>
      <c r="BX545" s="582"/>
      <c r="BY545" s="582"/>
      <c r="BZ545" s="582"/>
      <c r="CA545" s="582"/>
      <c r="CB545" s="582"/>
      <c r="CC545" s="582"/>
      <c r="CD545" s="582"/>
      <c r="CE545" s="582"/>
      <c r="CF545" s="582"/>
      <c r="CG545" s="582"/>
      <c r="CH545" s="582"/>
      <c r="CI545" s="664"/>
      <c r="CJ545" s="664"/>
      <c r="CK545" s="664"/>
      <c r="CL545" s="664"/>
      <c r="CM545" s="664"/>
      <c r="CN545" s="664"/>
      <c r="CO545" s="664"/>
      <c r="CP545" s="664"/>
      <c r="CQ545" s="664"/>
      <c r="CR545" s="664"/>
      <c r="CS545" s="664"/>
      <c r="CT545" s="664"/>
      <c r="CU545" s="664"/>
      <c r="CV545" s="664"/>
      <c r="CW545" s="664"/>
      <c r="CX545" s="664"/>
      <c r="CY545" s="664"/>
      <c r="CZ545" s="664"/>
    </row>
    <row r="546" spans="1:105" ht="15" hidden="1" customHeight="1" x14ac:dyDescent="0.25">
      <c r="A546" s="659" t="s">
        <v>1009</v>
      </c>
      <c r="B546" s="659"/>
      <c r="C546" s="659"/>
      <c r="D546" s="659"/>
      <c r="E546" s="659"/>
      <c r="F546" s="659"/>
      <c r="G546" s="659"/>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06"/>
      <c r="AL546" s="606"/>
      <c r="AM546" s="606"/>
      <c r="AN546" s="606"/>
      <c r="AO546" s="606"/>
      <c r="AP546" s="606"/>
      <c r="AQ546" s="606"/>
      <c r="AR546" s="606"/>
      <c r="AS546" s="606"/>
      <c r="AT546" s="606"/>
      <c r="AU546" s="606"/>
      <c r="AV546" s="606"/>
      <c r="AW546" s="606"/>
      <c r="AX546" s="606"/>
      <c r="AY546" s="606"/>
      <c r="AZ546" s="606"/>
      <c r="BA546" s="606"/>
      <c r="BB546" s="606"/>
      <c r="BC546" s="606"/>
      <c r="BD546" s="606"/>
      <c r="BE546" s="606"/>
      <c r="BF546" s="606"/>
      <c r="BG546" s="606"/>
      <c r="BH546" s="606"/>
      <c r="BI546" s="606"/>
      <c r="BJ546" s="606"/>
      <c r="BK546" s="606"/>
      <c r="BL546" s="606"/>
      <c r="BM546" s="606"/>
      <c r="BN546" s="606"/>
      <c r="BO546" s="606"/>
      <c r="BP546" s="606"/>
      <c r="BQ546" s="606"/>
      <c r="BR546" s="606"/>
      <c r="BS546" s="582"/>
      <c r="BT546" s="582"/>
      <c r="BU546" s="582"/>
      <c r="BV546" s="582"/>
      <c r="BW546" s="582"/>
      <c r="BX546" s="582"/>
      <c r="BY546" s="582"/>
      <c r="BZ546" s="582"/>
      <c r="CA546" s="582"/>
      <c r="CB546" s="582"/>
      <c r="CC546" s="582"/>
      <c r="CD546" s="582"/>
      <c r="CE546" s="582"/>
      <c r="CF546" s="582"/>
      <c r="CG546" s="582"/>
      <c r="CH546" s="582"/>
      <c r="CI546" s="664"/>
      <c r="CJ546" s="664"/>
      <c r="CK546" s="664"/>
      <c r="CL546" s="664"/>
      <c r="CM546" s="664"/>
      <c r="CN546" s="664"/>
      <c r="CO546" s="664"/>
      <c r="CP546" s="664"/>
      <c r="CQ546" s="664"/>
      <c r="CR546" s="664"/>
      <c r="CS546" s="664"/>
      <c r="CT546" s="664"/>
      <c r="CU546" s="664"/>
      <c r="CV546" s="664"/>
      <c r="CW546" s="664"/>
      <c r="CX546" s="664"/>
      <c r="CY546" s="664"/>
      <c r="CZ546" s="664"/>
    </row>
    <row r="547" spans="1:105" ht="15" hidden="1" customHeight="1" x14ac:dyDescent="0.25">
      <c r="A547" s="659" t="s">
        <v>1010</v>
      </c>
      <c r="B547" s="659"/>
      <c r="C547" s="659"/>
      <c r="D547" s="659"/>
      <c r="E547" s="659"/>
      <c r="F547" s="659"/>
      <c r="G547" s="659"/>
      <c r="H547" s="457"/>
      <c r="I547" s="457"/>
      <c r="J547" s="457"/>
      <c r="K547" s="457"/>
      <c r="L547" s="457"/>
      <c r="M547" s="457"/>
      <c r="N547" s="457"/>
      <c r="O547" s="457"/>
      <c r="P547" s="457"/>
      <c r="Q547" s="457"/>
      <c r="R547" s="457"/>
      <c r="S547" s="457"/>
      <c r="T547" s="457"/>
      <c r="U547" s="457"/>
      <c r="V547" s="457"/>
      <c r="W547" s="457"/>
      <c r="X547" s="457"/>
      <c r="Y547" s="457"/>
      <c r="Z547" s="457"/>
      <c r="AA547" s="457"/>
      <c r="AB547" s="457"/>
      <c r="AC547" s="457"/>
      <c r="AD547" s="457"/>
      <c r="AE547" s="457"/>
      <c r="AF547" s="457"/>
      <c r="AG547" s="457"/>
      <c r="AH547" s="457"/>
      <c r="AI547" s="457"/>
      <c r="AJ547" s="457"/>
      <c r="AK547" s="457"/>
      <c r="AL547" s="457"/>
      <c r="AM547" s="457"/>
      <c r="AN547" s="457"/>
      <c r="AO547" s="457"/>
      <c r="AP547" s="457"/>
      <c r="AQ547" s="457"/>
      <c r="AR547" s="457"/>
      <c r="AS547" s="457"/>
      <c r="AT547" s="457"/>
      <c r="AU547" s="457"/>
      <c r="AV547" s="457"/>
      <c r="AW547" s="457"/>
      <c r="AX547" s="457"/>
      <c r="AY547" s="457"/>
      <c r="AZ547" s="457"/>
      <c r="BA547" s="457"/>
      <c r="BB547" s="457"/>
      <c r="BC547" s="457"/>
      <c r="BD547" s="457"/>
      <c r="BE547" s="457"/>
      <c r="BF547" s="457"/>
      <c r="BG547" s="457"/>
      <c r="BH547" s="457"/>
      <c r="BI547" s="457"/>
      <c r="BJ547" s="457"/>
      <c r="BK547" s="457"/>
      <c r="BL547" s="457"/>
      <c r="BM547" s="457"/>
      <c r="BN547" s="457"/>
      <c r="BO547" s="457"/>
      <c r="BP547" s="457"/>
      <c r="BQ547" s="457"/>
      <c r="BR547" s="457"/>
      <c r="BS547" s="457"/>
      <c r="BT547" s="457"/>
      <c r="BU547" s="457"/>
      <c r="BV547" s="457"/>
      <c r="BW547" s="457"/>
      <c r="BX547" s="457"/>
      <c r="BY547" s="457"/>
      <c r="BZ547" s="457"/>
      <c r="CA547" s="457"/>
      <c r="CB547" s="457"/>
      <c r="CC547" s="457"/>
      <c r="CD547" s="457"/>
      <c r="CE547" s="457"/>
      <c r="CF547" s="457"/>
      <c r="CG547" s="457"/>
      <c r="CH547" s="457"/>
      <c r="CI547" s="457"/>
      <c r="CJ547" s="457"/>
      <c r="CK547" s="457"/>
      <c r="CL547" s="457"/>
      <c r="CM547" s="457"/>
      <c r="CN547" s="457"/>
      <c r="CO547" s="457"/>
      <c r="CP547" s="457"/>
      <c r="CQ547" s="457"/>
      <c r="CR547" s="457"/>
      <c r="CS547" s="457"/>
      <c r="CT547" s="457"/>
      <c r="CU547" s="457"/>
      <c r="CV547" s="457"/>
      <c r="CW547" s="457"/>
      <c r="CX547" s="457"/>
      <c r="CY547" s="457"/>
      <c r="CZ547" s="457"/>
    </row>
    <row r="548" spans="1:105" ht="15" hidden="1" customHeight="1" x14ac:dyDescent="0.25">
      <c r="A548" s="659" t="s">
        <v>623</v>
      </c>
      <c r="B548" s="659"/>
      <c r="C548" s="659"/>
      <c r="D548" s="659"/>
      <c r="E548" s="659"/>
      <c r="F548" s="659"/>
      <c r="G548" s="659"/>
      <c r="H548" s="687" t="s">
        <v>843</v>
      </c>
      <c r="I548" s="687"/>
      <c r="J548" s="687"/>
      <c r="K548" s="687"/>
      <c r="L548" s="687"/>
      <c r="M548" s="687"/>
      <c r="N548" s="687"/>
      <c r="O548" s="687"/>
      <c r="P548" s="687"/>
      <c r="Q548" s="687"/>
      <c r="R548" s="687"/>
      <c r="S548" s="687"/>
      <c r="T548" s="687"/>
      <c r="U548" s="687"/>
      <c r="V548" s="687"/>
      <c r="W548" s="687"/>
      <c r="X548" s="687"/>
      <c r="Y548" s="687"/>
      <c r="Z548" s="687"/>
      <c r="AA548" s="687"/>
      <c r="AB548" s="687"/>
      <c r="AC548" s="687"/>
      <c r="AD548" s="687"/>
      <c r="AE548" s="687"/>
      <c r="AF548" s="687"/>
      <c r="AG548" s="687"/>
      <c r="AH548" s="687"/>
      <c r="AI548" s="687"/>
      <c r="AJ548" s="687"/>
      <c r="AK548" s="687"/>
      <c r="AL548" s="687"/>
      <c r="AM548" s="687"/>
      <c r="AN548" s="687"/>
      <c r="AO548" s="687"/>
      <c r="AP548" s="687"/>
      <c r="AQ548" s="687"/>
      <c r="AR548" s="687"/>
      <c r="AS548" s="687"/>
      <c r="AT548" s="687"/>
      <c r="AU548" s="687"/>
      <c r="AV548" s="687"/>
      <c r="AW548" s="687"/>
      <c r="AX548" s="687"/>
      <c r="AY548" s="687"/>
      <c r="AZ548" s="687"/>
      <c r="BA548" s="687"/>
      <c r="BB548" s="687"/>
      <c r="BC548" s="687"/>
      <c r="BD548" s="687"/>
      <c r="BE548" s="687"/>
      <c r="BF548" s="687"/>
      <c r="BG548" s="687"/>
      <c r="BH548" s="687"/>
      <c r="BI548" s="687"/>
      <c r="BJ548" s="687"/>
      <c r="BK548" s="687"/>
      <c r="BL548" s="687"/>
      <c r="BM548" s="687"/>
      <c r="BN548" s="687"/>
      <c r="BO548" s="687"/>
      <c r="BP548" s="687"/>
      <c r="BQ548" s="687"/>
      <c r="BR548" s="687"/>
      <c r="BS548" s="688">
        <v>1</v>
      </c>
      <c r="BT548" s="688"/>
      <c r="BU548" s="688"/>
      <c r="BV548" s="688"/>
      <c r="BW548" s="688"/>
      <c r="BX548" s="688"/>
      <c r="BY548" s="688"/>
      <c r="BZ548" s="688"/>
      <c r="CA548" s="688"/>
      <c r="CB548" s="688"/>
      <c r="CC548" s="688"/>
      <c r="CD548" s="688"/>
      <c r="CE548" s="688"/>
      <c r="CF548" s="688"/>
      <c r="CG548" s="688"/>
      <c r="CH548" s="688"/>
      <c r="CI548" s="689"/>
      <c r="CJ548" s="690"/>
      <c r="CK548" s="690"/>
      <c r="CL548" s="690"/>
      <c r="CM548" s="690"/>
      <c r="CN548" s="690"/>
      <c r="CO548" s="690"/>
      <c r="CP548" s="690"/>
      <c r="CQ548" s="690"/>
      <c r="CR548" s="690"/>
      <c r="CS548" s="690"/>
      <c r="CT548" s="690"/>
      <c r="CU548" s="690"/>
      <c r="CV548" s="690"/>
      <c r="CW548" s="690"/>
      <c r="CX548" s="690"/>
      <c r="CY548" s="690"/>
      <c r="CZ548" s="690"/>
    </row>
    <row r="549" spans="1:105" ht="29.4" customHeight="1" x14ac:dyDescent="0.25">
      <c r="A549" s="659" t="s">
        <v>623</v>
      </c>
      <c r="B549" s="659"/>
      <c r="C549" s="659"/>
      <c r="D549" s="659"/>
      <c r="E549" s="659"/>
      <c r="F549" s="659"/>
      <c r="G549" s="659"/>
      <c r="H549" s="584" t="s">
        <v>679</v>
      </c>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5"/>
      <c r="AL549" s="585"/>
      <c r="AM549" s="585"/>
      <c r="AN549" s="585"/>
      <c r="AO549" s="585"/>
      <c r="AP549" s="585"/>
      <c r="AQ549" s="585"/>
      <c r="AR549" s="585"/>
      <c r="AS549" s="585"/>
      <c r="AT549" s="585"/>
      <c r="AU549" s="585"/>
      <c r="AV549" s="585"/>
      <c r="AW549" s="585"/>
      <c r="AX549" s="585"/>
      <c r="AY549" s="585"/>
      <c r="AZ549" s="585"/>
      <c r="BA549" s="585"/>
      <c r="BB549" s="585"/>
      <c r="BC549" s="585"/>
      <c r="BD549" s="585"/>
      <c r="BE549" s="585"/>
      <c r="BF549" s="585"/>
      <c r="BG549" s="585"/>
      <c r="BH549" s="585"/>
      <c r="BI549" s="585"/>
      <c r="BJ549" s="585"/>
      <c r="BK549" s="585"/>
      <c r="BL549" s="585"/>
      <c r="BM549" s="585"/>
      <c r="BN549" s="585"/>
      <c r="BO549" s="585"/>
      <c r="BP549" s="585"/>
      <c r="BQ549" s="585"/>
      <c r="BR549" s="586"/>
      <c r="BS549" s="582">
        <v>1</v>
      </c>
      <c r="BT549" s="582"/>
      <c r="BU549" s="582"/>
      <c r="BV549" s="582"/>
      <c r="BW549" s="582"/>
      <c r="BX549" s="582"/>
      <c r="BY549" s="582"/>
      <c r="BZ549" s="582"/>
      <c r="CA549" s="582"/>
      <c r="CB549" s="582"/>
      <c r="CC549" s="582"/>
      <c r="CD549" s="582"/>
      <c r="CE549" s="582"/>
      <c r="CF549" s="582"/>
      <c r="CG549" s="582"/>
      <c r="CH549" s="582"/>
      <c r="CI549" s="664">
        <v>35000</v>
      </c>
      <c r="CJ549" s="664"/>
      <c r="CK549" s="664"/>
      <c r="CL549" s="664"/>
      <c r="CM549" s="664"/>
      <c r="CN549" s="664"/>
      <c r="CO549" s="664"/>
      <c r="CP549" s="664"/>
      <c r="CQ549" s="664"/>
      <c r="CR549" s="664"/>
      <c r="CS549" s="664"/>
      <c r="CT549" s="664"/>
      <c r="CU549" s="664"/>
      <c r="CV549" s="664"/>
      <c r="CW549" s="664"/>
      <c r="CX549" s="664"/>
      <c r="CY549" s="664"/>
      <c r="CZ549" s="664"/>
    </row>
    <row r="550" spans="1:105" ht="15" hidden="1" customHeight="1" x14ac:dyDescent="0.25">
      <c r="A550" s="659" t="s">
        <v>388</v>
      </c>
      <c r="B550" s="659"/>
      <c r="C550" s="659"/>
      <c r="D550" s="659"/>
      <c r="E550" s="659"/>
      <c r="F550" s="659"/>
      <c r="G550" s="659"/>
      <c r="H550" s="584" t="s">
        <v>844</v>
      </c>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5"/>
      <c r="AL550" s="585"/>
      <c r="AM550" s="585"/>
      <c r="AN550" s="585"/>
      <c r="AO550" s="585"/>
      <c r="AP550" s="585"/>
      <c r="AQ550" s="585"/>
      <c r="AR550" s="585"/>
      <c r="AS550" s="585"/>
      <c r="AT550" s="585"/>
      <c r="AU550" s="585"/>
      <c r="AV550" s="585"/>
      <c r="AW550" s="585"/>
      <c r="AX550" s="585"/>
      <c r="AY550" s="585"/>
      <c r="AZ550" s="585"/>
      <c r="BA550" s="585"/>
      <c r="BB550" s="585"/>
      <c r="BC550" s="585"/>
      <c r="BD550" s="585"/>
      <c r="BE550" s="585"/>
      <c r="BF550" s="585"/>
      <c r="BG550" s="585"/>
      <c r="BH550" s="585"/>
      <c r="BI550" s="585"/>
      <c r="BJ550" s="585"/>
      <c r="BK550" s="585"/>
      <c r="BL550" s="585"/>
      <c r="BM550" s="585"/>
      <c r="BN550" s="585"/>
      <c r="BO550" s="585"/>
      <c r="BP550" s="585"/>
      <c r="BQ550" s="585"/>
      <c r="BR550" s="586"/>
      <c r="BS550" s="544">
        <v>1</v>
      </c>
      <c r="BT550" s="545"/>
      <c r="BU550" s="545"/>
      <c r="BV550" s="545"/>
      <c r="BW550" s="545"/>
      <c r="BX550" s="545"/>
      <c r="BY550" s="545"/>
      <c r="BZ550" s="545"/>
      <c r="CA550" s="545"/>
      <c r="CB550" s="545"/>
      <c r="CC550" s="545"/>
      <c r="CD550" s="545"/>
      <c r="CE550" s="545"/>
      <c r="CF550" s="545"/>
      <c r="CG550" s="545"/>
      <c r="CH550" s="546"/>
      <c r="CI550" s="627"/>
      <c r="CJ550" s="628"/>
      <c r="CK550" s="628"/>
      <c r="CL550" s="628"/>
      <c r="CM550" s="628"/>
      <c r="CN550" s="628"/>
      <c r="CO550" s="628"/>
      <c r="CP550" s="628"/>
      <c r="CQ550" s="628"/>
      <c r="CR550" s="628"/>
      <c r="CS550" s="628"/>
      <c r="CT550" s="628"/>
      <c r="CU550" s="628"/>
      <c r="CV550" s="628"/>
      <c r="CW550" s="628"/>
      <c r="CX550" s="628"/>
      <c r="CY550" s="628"/>
      <c r="CZ550" s="629"/>
    </row>
    <row r="551" spans="1:105" ht="15" customHeight="1" x14ac:dyDescent="0.25">
      <c r="A551" s="553" t="s">
        <v>292</v>
      </c>
      <c r="B551" s="554"/>
      <c r="C551" s="554"/>
      <c r="D551" s="554"/>
      <c r="E551" s="554"/>
      <c r="F551" s="554"/>
      <c r="G551" s="554"/>
      <c r="H551" s="554"/>
      <c r="I551" s="554"/>
      <c r="J551" s="554"/>
      <c r="K551" s="554"/>
      <c r="L551" s="554"/>
      <c r="M551" s="554"/>
      <c r="N551" s="554"/>
      <c r="O551" s="554"/>
      <c r="P551" s="554"/>
      <c r="Q551" s="554"/>
      <c r="R551" s="554"/>
      <c r="S551" s="554"/>
      <c r="T551" s="554"/>
      <c r="U551" s="554"/>
      <c r="V551" s="554"/>
      <c r="W551" s="554"/>
      <c r="X551" s="554"/>
      <c r="Y551" s="554"/>
      <c r="Z551" s="554"/>
      <c r="AA551" s="554"/>
      <c r="AB551" s="554"/>
      <c r="AC551" s="554"/>
      <c r="AD551" s="554"/>
      <c r="AE551" s="554"/>
      <c r="AF551" s="554"/>
      <c r="AG551" s="554"/>
      <c r="AH551" s="554"/>
      <c r="AI551" s="554"/>
      <c r="AJ551" s="554"/>
      <c r="AK551" s="554"/>
      <c r="AL551" s="554"/>
      <c r="AM551" s="554"/>
      <c r="AN551" s="554"/>
      <c r="AO551" s="554"/>
      <c r="AP551" s="554"/>
      <c r="AQ551" s="554"/>
      <c r="AR551" s="554"/>
      <c r="AS551" s="554"/>
      <c r="AT551" s="554"/>
      <c r="AU551" s="554"/>
      <c r="AV551" s="554"/>
      <c r="AW551" s="554"/>
      <c r="AX551" s="554"/>
      <c r="AY551" s="554"/>
      <c r="AZ551" s="554"/>
      <c r="BA551" s="554"/>
      <c r="BB551" s="554"/>
      <c r="BC551" s="554"/>
      <c r="BD551" s="554"/>
      <c r="BE551" s="554"/>
      <c r="BF551" s="554"/>
      <c r="BG551" s="554"/>
      <c r="BH551" s="554"/>
      <c r="BI551" s="554"/>
      <c r="BJ551" s="554"/>
      <c r="BK551" s="554"/>
      <c r="BL551" s="554"/>
      <c r="BM551" s="554"/>
      <c r="BN551" s="554"/>
      <c r="BO551" s="554"/>
      <c r="BP551" s="554"/>
      <c r="BQ551" s="554"/>
      <c r="BR551" s="555"/>
      <c r="BS551" s="582" t="s">
        <v>4</v>
      </c>
      <c r="BT551" s="582"/>
      <c r="BU551" s="582"/>
      <c r="BV551" s="582"/>
      <c r="BW551" s="582"/>
      <c r="BX551" s="582"/>
      <c r="BY551" s="582"/>
      <c r="BZ551" s="582"/>
      <c r="CA551" s="582"/>
      <c r="CB551" s="582"/>
      <c r="CC551" s="582"/>
      <c r="CD551" s="582"/>
      <c r="CE551" s="582"/>
      <c r="CF551" s="582"/>
      <c r="CG551" s="582"/>
      <c r="CH551" s="582"/>
      <c r="CI551" s="611">
        <f>SUM(CI512:CZ550)</f>
        <v>7663603.30002</v>
      </c>
      <c r="CJ551" s="611"/>
      <c r="CK551" s="611"/>
      <c r="CL551" s="611"/>
      <c r="CM551" s="611"/>
      <c r="CN551" s="611"/>
      <c r="CO551" s="611"/>
      <c r="CP551" s="611"/>
      <c r="CQ551" s="611"/>
      <c r="CR551" s="611"/>
      <c r="CS551" s="611"/>
      <c r="CT551" s="611"/>
      <c r="CU551" s="611"/>
      <c r="CV551" s="611"/>
      <c r="CW551" s="611"/>
      <c r="CX551" s="611"/>
      <c r="CY551" s="611"/>
      <c r="CZ551" s="611"/>
      <c r="DA551" s="243"/>
    </row>
    <row r="552" spans="1:105" ht="15" customHeight="1" x14ac:dyDescent="0.25">
      <c r="A552" s="648" t="s">
        <v>634</v>
      </c>
      <c r="B552" s="657"/>
      <c r="C552" s="657"/>
      <c r="D552" s="657"/>
      <c r="E552" s="657"/>
      <c r="F552" s="657"/>
      <c r="G552" s="657"/>
      <c r="H552" s="657"/>
      <c r="I552" s="657"/>
      <c r="J552" s="657"/>
      <c r="K552" s="657"/>
      <c r="L552" s="657"/>
      <c r="M552" s="657"/>
      <c r="N552" s="657"/>
      <c r="O552" s="657"/>
      <c r="P552" s="657"/>
      <c r="Q552" s="657"/>
      <c r="R552" s="657"/>
      <c r="S552" s="657"/>
      <c r="T552" s="657"/>
      <c r="U552" s="657"/>
      <c r="V552" s="657"/>
      <c r="W552" s="657"/>
      <c r="X552" s="657"/>
      <c r="Y552" s="657"/>
      <c r="Z552" s="657"/>
      <c r="AA552" s="657"/>
      <c r="AB552" s="657"/>
      <c r="AC552" s="657"/>
      <c r="AD552" s="657"/>
      <c r="AE552" s="657"/>
      <c r="AF552" s="657"/>
      <c r="AG552" s="657"/>
      <c r="AH552" s="657"/>
      <c r="AI552" s="657"/>
      <c r="AJ552" s="657"/>
      <c r="AK552" s="657"/>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57"/>
      <c r="BQ552" s="657"/>
      <c r="BR552" s="657"/>
      <c r="BS552" s="657"/>
      <c r="BT552" s="657"/>
      <c r="BU552" s="657"/>
      <c r="BV552" s="657"/>
      <c r="BW552" s="657"/>
      <c r="BX552" s="657"/>
      <c r="BY552" s="657"/>
      <c r="BZ552" s="657"/>
      <c r="CA552" s="657"/>
      <c r="CB552" s="657"/>
      <c r="CC552" s="657"/>
      <c r="CD552" s="657"/>
      <c r="CE552" s="657"/>
      <c r="CF552" s="657"/>
      <c r="CG552" s="657"/>
      <c r="CH552" s="657"/>
      <c r="CI552" s="657"/>
      <c r="CJ552" s="657"/>
      <c r="CK552" s="657"/>
      <c r="CL552" s="657"/>
      <c r="CM552" s="657"/>
      <c r="CN552" s="657"/>
      <c r="CO552" s="657"/>
      <c r="CP552" s="657"/>
      <c r="CQ552" s="657"/>
      <c r="CR552" s="657"/>
      <c r="CS552" s="657"/>
      <c r="CT552" s="657"/>
      <c r="CU552" s="657"/>
      <c r="CV552" s="657"/>
      <c r="CW552" s="657"/>
      <c r="CX552" s="657"/>
      <c r="CY552" s="657"/>
      <c r="CZ552" s="658"/>
    </row>
    <row r="553" spans="1:105" ht="28.5" customHeight="1" x14ac:dyDescent="0.25">
      <c r="A553" s="659" t="s">
        <v>441</v>
      </c>
      <c r="B553" s="659"/>
      <c r="C553" s="659"/>
      <c r="D553" s="659"/>
      <c r="E553" s="659"/>
      <c r="F553" s="659"/>
      <c r="G553" s="659"/>
      <c r="H553" s="584" t="s">
        <v>839</v>
      </c>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5"/>
      <c r="AL553" s="585"/>
      <c r="AM553" s="585"/>
      <c r="AN553" s="585"/>
      <c r="AO553" s="585"/>
      <c r="AP553" s="585"/>
      <c r="AQ553" s="585"/>
      <c r="AR553" s="585"/>
      <c r="AS553" s="585"/>
      <c r="AT553" s="585"/>
      <c r="AU553" s="585"/>
      <c r="AV553" s="585"/>
      <c r="AW553" s="585"/>
      <c r="AX553" s="585"/>
      <c r="AY553" s="585"/>
      <c r="AZ553" s="585"/>
      <c r="BA553" s="585"/>
      <c r="BB553" s="585"/>
      <c r="BC553" s="585"/>
      <c r="BD553" s="585"/>
      <c r="BE553" s="585"/>
      <c r="BF553" s="585"/>
      <c r="BG553" s="585"/>
      <c r="BH553" s="585"/>
      <c r="BI553" s="585"/>
      <c r="BJ553" s="585"/>
      <c r="BK553" s="585"/>
      <c r="BL553" s="585"/>
      <c r="BM553" s="585"/>
      <c r="BN553" s="585"/>
      <c r="BO553" s="585"/>
      <c r="BP553" s="585"/>
      <c r="BQ553" s="585"/>
      <c r="BR553" s="586"/>
      <c r="BS553" s="582">
        <v>1</v>
      </c>
      <c r="BT553" s="582"/>
      <c r="BU553" s="582"/>
      <c r="BV553" s="582"/>
      <c r="BW553" s="582"/>
      <c r="BX553" s="582"/>
      <c r="BY553" s="582"/>
      <c r="BZ553" s="582"/>
      <c r="CA553" s="582"/>
      <c r="CB553" s="582"/>
      <c r="CC553" s="582"/>
      <c r="CD553" s="582"/>
      <c r="CE553" s="582"/>
      <c r="CF553" s="582"/>
      <c r="CG553" s="582"/>
      <c r="CH553" s="582"/>
      <c r="CI553" s="664">
        <v>10000</v>
      </c>
      <c r="CJ553" s="664"/>
      <c r="CK553" s="664"/>
      <c r="CL553" s="664"/>
      <c r="CM553" s="664"/>
      <c r="CN553" s="664"/>
      <c r="CO553" s="664"/>
      <c r="CP553" s="664"/>
      <c r="CQ553" s="664"/>
      <c r="CR553" s="664"/>
      <c r="CS553" s="664"/>
      <c r="CT553" s="664"/>
      <c r="CU553" s="664"/>
      <c r="CV553" s="664"/>
      <c r="CW553" s="664"/>
      <c r="CX553" s="664"/>
      <c r="CY553" s="664"/>
      <c r="CZ553" s="664"/>
    </row>
    <row r="554" spans="1:105" ht="16.5" hidden="1" customHeight="1" x14ac:dyDescent="0.25">
      <c r="A554" s="659" t="s">
        <v>444</v>
      </c>
      <c r="B554" s="659"/>
      <c r="C554" s="659"/>
      <c r="D554" s="659"/>
      <c r="E554" s="659"/>
      <c r="F554" s="659"/>
      <c r="G554" s="659"/>
      <c r="H554" s="584" t="s">
        <v>680</v>
      </c>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5"/>
      <c r="AL554" s="585"/>
      <c r="AM554" s="585"/>
      <c r="AN554" s="585"/>
      <c r="AO554" s="585"/>
      <c r="AP554" s="585"/>
      <c r="AQ554" s="585"/>
      <c r="AR554" s="585"/>
      <c r="AS554" s="585"/>
      <c r="AT554" s="585"/>
      <c r="AU554" s="585"/>
      <c r="AV554" s="585"/>
      <c r="AW554" s="585"/>
      <c r="AX554" s="585"/>
      <c r="AY554" s="585"/>
      <c r="AZ554" s="585"/>
      <c r="BA554" s="585"/>
      <c r="BB554" s="585"/>
      <c r="BC554" s="585"/>
      <c r="BD554" s="585"/>
      <c r="BE554" s="585"/>
      <c r="BF554" s="585"/>
      <c r="BG554" s="585"/>
      <c r="BH554" s="585"/>
      <c r="BI554" s="585"/>
      <c r="BJ554" s="585"/>
      <c r="BK554" s="585"/>
      <c r="BL554" s="585"/>
      <c r="BM554" s="585"/>
      <c r="BN554" s="585"/>
      <c r="BO554" s="585"/>
      <c r="BP554" s="585"/>
      <c r="BQ554" s="585"/>
      <c r="BR554" s="586"/>
      <c r="BS554" s="582"/>
      <c r="BT554" s="582"/>
      <c r="BU554" s="582"/>
      <c r="BV554" s="582"/>
      <c r="BW554" s="582"/>
      <c r="BX554" s="582"/>
      <c r="BY554" s="582"/>
      <c r="BZ554" s="582"/>
      <c r="CA554" s="582"/>
      <c r="CB554" s="582"/>
      <c r="CC554" s="582"/>
      <c r="CD554" s="582"/>
      <c r="CE554" s="582"/>
      <c r="CF554" s="582"/>
      <c r="CG554" s="582"/>
      <c r="CH554" s="582"/>
      <c r="CI554" s="664"/>
      <c r="CJ554" s="664"/>
      <c r="CK554" s="664"/>
      <c r="CL554" s="664"/>
      <c r="CM554" s="664"/>
      <c r="CN554" s="664"/>
      <c r="CO554" s="664"/>
      <c r="CP554" s="664"/>
      <c r="CQ554" s="664"/>
      <c r="CR554" s="664"/>
      <c r="CS554" s="664"/>
      <c r="CT554" s="664"/>
      <c r="CU554" s="664"/>
      <c r="CV554" s="664"/>
      <c r="CW554" s="664"/>
      <c r="CX554" s="664"/>
      <c r="CY554" s="664"/>
      <c r="CZ554" s="664"/>
    </row>
    <row r="555" spans="1:105" ht="16.5" customHeight="1" x14ac:dyDescent="0.25">
      <c r="A555" s="659" t="s">
        <v>444</v>
      </c>
      <c r="B555" s="659"/>
      <c r="C555" s="659"/>
      <c r="D555" s="659"/>
      <c r="E555" s="659"/>
      <c r="F555" s="659"/>
      <c r="G555" s="659"/>
      <c r="H555" s="584" t="s">
        <v>661</v>
      </c>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5"/>
      <c r="BI555" s="585"/>
      <c r="BJ555" s="585"/>
      <c r="BK555" s="585"/>
      <c r="BL555" s="585"/>
      <c r="BM555" s="585"/>
      <c r="BN555" s="585"/>
      <c r="BO555" s="585"/>
      <c r="BP555" s="585"/>
      <c r="BQ555" s="585"/>
      <c r="BR555" s="586"/>
      <c r="BS555" s="582">
        <v>1</v>
      </c>
      <c r="BT555" s="582"/>
      <c r="BU555" s="582"/>
      <c r="BV555" s="582"/>
      <c r="BW555" s="582"/>
      <c r="BX555" s="582"/>
      <c r="BY555" s="582"/>
      <c r="BZ555" s="582"/>
      <c r="CA555" s="582"/>
      <c r="CB555" s="582"/>
      <c r="CC555" s="582"/>
      <c r="CD555" s="582"/>
      <c r="CE555" s="582"/>
      <c r="CF555" s="582"/>
      <c r="CG555" s="582"/>
      <c r="CH555" s="582"/>
      <c r="CI555" s="664">
        <f>208376000*0.045</f>
        <v>9376920</v>
      </c>
      <c r="CJ555" s="664"/>
      <c r="CK555" s="664"/>
      <c r="CL555" s="664"/>
      <c r="CM555" s="664"/>
      <c r="CN555" s="664"/>
      <c r="CO555" s="664"/>
      <c r="CP555" s="664"/>
      <c r="CQ555" s="664"/>
      <c r="CR555" s="664"/>
      <c r="CS555" s="664"/>
      <c r="CT555" s="664"/>
      <c r="CU555" s="664"/>
      <c r="CV555" s="664"/>
      <c r="CW555" s="664"/>
      <c r="CX555" s="664"/>
      <c r="CY555" s="664"/>
      <c r="CZ555" s="664"/>
    </row>
    <row r="556" spans="1:105" ht="16.5" customHeight="1" x14ac:dyDescent="0.25">
      <c r="A556" s="659" t="s">
        <v>446</v>
      </c>
      <c r="B556" s="659"/>
      <c r="C556" s="659"/>
      <c r="D556" s="659"/>
      <c r="E556" s="659"/>
      <c r="F556" s="659"/>
      <c r="G556" s="659"/>
      <c r="H556" s="584" t="s">
        <v>681</v>
      </c>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5"/>
      <c r="AL556" s="585"/>
      <c r="AM556" s="585"/>
      <c r="AN556" s="585"/>
      <c r="AO556" s="585"/>
      <c r="AP556" s="585"/>
      <c r="AQ556" s="585"/>
      <c r="AR556" s="585"/>
      <c r="AS556" s="585"/>
      <c r="AT556" s="585"/>
      <c r="AU556" s="585"/>
      <c r="AV556" s="585"/>
      <c r="AW556" s="585"/>
      <c r="AX556" s="585"/>
      <c r="AY556" s="585"/>
      <c r="AZ556" s="585"/>
      <c r="BA556" s="585"/>
      <c r="BB556" s="585"/>
      <c r="BC556" s="585"/>
      <c r="BD556" s="585"/>
      <c r="BE556" s="585"/>
      <c r="BF556" s="585"/>
      <c r="BG556" s="585"/>
      <c r="BH556" s="585"/>
      <c r="BI556" s="585"/>
      <c r="BJ556" s="585"/>
      <c r="BK556" s="585"/>
      <c r="BL556" s="585"/>
      <c r="BM556" s="585"/>
      <c r="BN556" s="585"/>
      <c r="BO556" s="585"/>
      <c r="BP556" s="585"/>
      <c r="BQ556" s="585"/>
      <c r="BR556" s="586"/>
      <c r="BS556" s="582">
        <v>2</v>
      </c>
      <c r="BT556" s="582"/>
      <c r="BU556" s="582"/>
      <c r="BV556" s="582"/>
      <c r="BW556" s="582"/>
      <c r="BX556" s="582"/>
      <c r="BY556" s="582"/>
      <c r="BZ556" s="582"/>
      <c r="CA556" s="582"/>
      <c r="CB556" s="582"/>
      <c r="CC556" s="582"/>
      <c r="CD556" s="582"/>
      <c r="CE556" s="582"/>
      <c r="CF556" s="582"/>
      <c r="CG556" s="582"/>
      <c r="CH556" s="582"/>
      <c r="CI556" s="664">
        <v>100000</v>
      </c>
      <c r="CJ556" s="664"/>
      <c r="CK556" s="664"/>
      <c r="CL556" s="664"/>
      <c r="CM556" s="664"/>
      <c r="CN556" s="664"/>
      <c r="CO556" s="664"/>
      <c r="CP556" s="664"/>
      <c r="CQ556" s="664"/>
      <c r="CR556" s="664"/>
      <c r="CS556" s="664"/>
      <c r="CT556" s="664"/>
      <c r="CU556" s="664"/>
      <c r="CV556" s="664"/>
      <c r="CW556" s="664"/>
      <c r="CX556" s="664"/>
      <c r="CY556" s="664"/>
      <c r="CZ556" s="664"/>
    </row>
    <row r="557" spans="1:105" ht="15" customHeight="1" x14ac:dyDescent="0.25">
      <c r="A557" s="553" t="s">
        <v>292</v>
      </c>
      <c r="B557" s="554"/>
      <c r="C557" s="554"/>
      <c r="D557" s="554"/>
      <c r="E557" s="554"/>
      <c r="F557" s="554"/>
      <c r="G557" s="554"/>
      <c r="H557" s="554"/>
      <c r="I557" s="554"/>
      <c r="J557" s="554"/>
      <c r="K557" s="554"/>
      <c r="L557" s="554"/>
      <c r="M557" s="554"/>
      <c r="N557" s="554"/>
      <c r="O557" s="554"/>
      <c r="P557" s="554"/>
      <c r="Q557" s="554"/>
      <c r="R557" s="554"/>
      <c r="S557" s="554"/>
      <c r="T557" s="554"/>
      <c r="U557" s="554"/>
      <c r="V557" s="554"/>
      <c r="W557" s="554"/>
      <c r="X557" s="554"/>
      <c r="Y557" s="554"/>
      <c r="Z557" s="554"/>
      <c r="AA557" s="554"/>
      <c r="AB557" s="554"/>
      <c r="AC557" s="554"/>
      <c r="AD557" s="554"/>
      <c r="AE557" s="554"/>
      <c r="AF557" s="554"/>
      <c r="AG557" s="554"/>
      <c r="AH557" s="554"/>
      <c r="AI557" s="554"/>
      <c r="AJ557" s="554"/>
      <c r="AK557" s="554"/>
      <c r="AL557" s="554"/>
      <c r="AM557" s="554"/>
      <c r="AN557" s="554"/>
      <c r="AO557" s="554"/>
      <c r="AP557" s="554"/>
      <c r="AQ557" s="554"/>
      <c r="AR557" s="554"/>
      <c r="AS557" s="554"/>
      <c r="AT557" s="554"/>
      <c r="AU557" s="554"/>
      <c r="AV557" s="554"/>
      <c r="AW557" s="554"/>
      <c r="AX557" s="554"/>
      <c r="AY557" s="554"/>
      <c r="AZ557" s="554"/>
      <c r="BA557" s="554"/>
      <c r="BB557" s="554"/>
      <c r="BC557" s="554"/>
      <c r="BD557" s="554"/>
      <c r="BE557" s="554"/>
      <c r="BF557" s="554"/>
      <c r="BG557" s="554"/>
      <c r="BH557" s="554"/>
      <c r="BI557" s="554"/>
      <c r="BJ557" s="554"/>
      <c r="BK557" s="554"/>
      <c r="BL557" s="554"/>
      <c r="BM557" s="554"/>
      <c r="BN557" s="554"/>
      <c r="BO557" s="554"/>
      <c r="BP557" s="554"/>
      <c r="BQ557" s="554"/>
      <c r="BR557" s="555"/>
      <c r="BS557" s="582" t="s">
        <v>4</v>
      </c>
      <c r="BT557" s="582"/>
      <c r="BU557" s="582"/>
      <c r="BV557" s="582"/>
      <c r="BW557" s="582"/>
      <c r="BX557" s="582"/>
      <c r="BY557" s="582"/>
      <c r="BZ557" s="582"/>
      <c r="CA557" s="582"/>
      <c r="CB557" s="582"/>
      <c r="CC557" s="582"/>
      <c r="CD557" s="582"/>
      <c r="CE557" s="582"/>
      <c r="CF557" s="582"/>
      <c r="CG557" s="582"/>
      <c r="CH557" s="582"/>
      <c r="CI557" s="611">
        <f>SUM(CI553:CZ556)</f>
        <v>9486920</v>
      </c>
      <c r="CJ557" s="611"/>
      <c r="CK557" s="611"/>
      <c r="CL557" s="611"/>
      <c r="CM557" s="611"/>
      <c r="CN557" s="611"/>
      <c r="CO557" s="611"/>
      <c r="CP557" s="611"/>
      <c r="CQ557" s="611"/>
      <c r="CR557" s="611"/>
      <c r="CS557" s="611"/>
      <c r="CT557" s="611"/>
      <c r="CU557" s="611"/>
      <c r="CV557" s="611"/>
      <c r="CW557" s="611"/>
      <c r="CX557" s="611"/>
      <c r="CY557" s="611"/>
      <c r="CZ557" s="611"/>
    </row>
    <row r="558" spans="1:105" ht="15" hidden="1" customHeight="1" x14ac:dyDescent="0.25">
      <c r="A558" s="648" t="s">
        <v>573</v>
      </c>
      <c r="B558" s="649"/>
      <c r="C558" s="649"/>
      <c r="D558" s="649"/>
      <c r="E558" s="649"/>
      <c r="F558" s="649"/>
      <c r="G558" s="649"/>
      <c r="H558" s="649"/>
      <c r="I558" s="649"/>
      <c r="J558" s="649"/>
      <c r="K558" s="649"/>
      <c r="L558" s="649"/>
      <c r="M558" s="649"/>
      <c r="N558" s="649"/>
      <c r="O558" s="649"/>
      <c r="P558" s="649"/>
      <c r="Q558" s="649"/>
      <c r="R558" s="649"/>
      <c r="S558" s="649"/>
      <c r="T558" s="649"/>
      <c r="U558" s="649"/>
      <c r="V558" s="649"/>
      <c r="W558" s="649"/>
      <c r="X558" s="649"/>
      <c r="Y558" s="649"/>
      <c r="Z558" s="649"/>
      <c r="AA558" s="649"/>
      <c r="AB558" s="649"/>
      <c r="AC558" s="649"/>
      <c r="AD558" s="649"/>
      <c r="AE558" s="649"/>
      <c r="AF558" s="649"/>
      <c r="AG558" s="649"/>
      <c r="AH558" s="649"/>
      <c r="AI558" s="649"/>
      <c r="AJ558" s="649"/>
      <c r="AK558" s="649"/>
      <c r="AL558" s="649"/>
      <c r="AM558" s="649"/>
      <c r="AN558" s="649"/>
      <c r="AO558" s="649"/>
      <c r="AP558" s="649"/>
      <c r="AQ558" s="649"/>
      <c r="AR558" s="649"/>
      <c r="AS558" s="649"/>
      <c r="AT558" s="649"/>
      <c r="AU558" s="649"/>
      <c r="AV558" s="649"/>
      <c r="AW558" s="649"/>
      <c r="AX558" s="649"/>
      <c r="AY558" s="649"/>
      <c r="AZ558" s="649"/>
      <c r="BA558" s="649"/>
      <c r="BB558" s="649"/>
      <c r="BC558" s="649"/>
      <c r="BD558" s="649"/>
      <c r="BE558" s="649"/>
      <c r="BF558" s="649"/>
      <c r="BG558" s="649"/>
      <c r="BH558" s="649"/>
      <c r="BI558" s="649"/>
      <c r="BJ558" s="649"/>
      <c r="BK558" s="649"/>
      <c r="BL558" s="649"/>
      <c r="BM558" s="649"/>
      <c r="BN558" s="649"/>
      <c r="BO558" s="649"/>
      <c r="BP558" s="649"/>
      <c r="BQ558" s="649"/>
      <c r="BR558" s="649"/>
      <c r="BS558" s="649"/>
      <c r="BT558" s="649"/>
      <c r="BU558" s="649"/>
      <c r="BV558" s="649"/>
      <c r="BW558" s="649"/>
      <c r="BX558" s="649"/>
      <c r="BY558" s="649"/>
      <c r="BZ558" s="649"/>
      <c r="CA558" s="649"/>
      <c r="CB558" s="649"/>
      <c r="CC558" s="649"/>
      <c r="CD558" s="649"/>
      <c r="CE558" s="649"/>
      <c r="CF558" s="649"/>
      <c r="CG558" s="649"/>
      <c r="CH558" s="649"/>
      <c r="CI558" s="649"/>
      <c r="CJ558" s="649"/>
      <c r="CK558" s="649"/>
      <c r="CL558" s="649"/>
      <c r="CM558" s="649"/>
      <c r="CN558" s="649"/>
      <c r="CO558" s="649"/>
      <c r="CP558" s="649"/>
      <c r="CQ558" s="649"/>
      <c r="CR558" s="649"/>
      <c r="CS558" s="649"/>
      <c r="CT558" s="649"/>
      <c r="CU558" s="649"/>
      <c r="CV558" s="649"/>
      <c r="CW558" s="649"/>
      <c r="CX558" s="649"/>
      <c r="CY558" s="649"/>
      <c r="CZ558" s="649"/>
    </row>
    <row r="559" spans="1:105" ht="39" hidden="1" customHeight="1" x14ac:dyDescent="0.25">
      <c r="A559" s="659" t="s">
        <v>441</v>
      </c>
      <c r="B559" s="659"/>
      <c r="C559" s="659"/>
      <c r="D559" s="659"/>
      <c r="E559" s="659"/>
      <c r="F559" s="659"/>
      <c r="G559" s="659"/>
      <c r="H559" s="584" t="s">
        <v>682</v>
      </c>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5"/>
      <c r="AL559" s="585"/>
      <c r="AM559" s="585"/>
      <c r="AN559" s="585"/>
      <c r="AO559" s="585"/>
      <c r="AP559" s="585"/>
      <c r="AQ559" s="585"/>
      <c r="AR559" s="585"/>
      <c r="AS559" s="585"/>
      <c r="AT559" s="585"/>
      <c r="AU559" s="585"/>
      <c r="AV559" s="585"/>
      <c r="AW559" s="585"/>
      <c r="AX559" s="585"/>
      <c r="AY559" s="585"/>
      <c r="AZ559" s="585"/>
      <c r="BA559" s="585"/>
      <c r="BB559" s="585"/>
      <c r="BC559" s="585"/>
      <c r="BD559" s="585"/>
      <c r="BE559" s="585"/>
      <c r="BF559" s="585"/>
      <c r="BG559" s="585"/>
      <c r="BH559" s="585"/>
      <c r="BI559" s="585"/>
      <c r="BJ559" s="585"/>
      <c r="BK559" s="585"/>
      <c r="BL559" s="585"/>
      <c r="BM559" s="585"/>
      <c r="BN559" s="585"/>
      <c r="BO559" s="585"/>
      <c r="BP559" s="585"/>
      <c r="BQ559" s="585"/>
      <c r="BR559" s="586"/>
      <c r="BS559" s="582"/>
      <c r="BT559" s="582"/>
      <c r="BU559" s="582"/>
      <c r="BV559" s="582"/>
      <c r="BW559" s="582"/>
      <c r="BX559" s="582"/>
      <c r="BY559" s="582"/>
      <c r="BZ559" s="582"/>
      <c r="CA559" s="582"/>
      <c r="CB559" s="582"/>
      <c r="CC559" s="582"/>
      <c r="CD559" s="582"/>
      <c r="CE559" s="582"/>
      <c r="CF559" s="582"/>
      <c r="CG559" s="582"/>
      <c r="CH559" s="582"/>
      <c r="CI559" s="664"/>
      <c r="CJ559" s="664"/>
      <c r="CK559" s="664"/>
      <c r="CL559" s="664"/>
      <c r="CM559" s="664"/>
      <c r="CN559" s="664"/>
      <c r="CO559" s="664"/>
      <c r="CP559" s="664"/>
      <c r="CQ559" s="664"/>
      <c r="CR559" s="664"/>
      <c r="CS559" s="664"/>
      <c r="CT559" s="664"/>
      <c r="CU559" s="664"/>
      <c r="CV559" s="664"/>
      <c r="CW559" s="664"/>
      <c r="CX559" s="664"/>
      <c r="CY559" s="664"/>
      <c r="CZ559" s="664"/>
    </row>
    <row r="560" spans="1:105" ht="18" hidden="1" customHeight="1" x14ac:dyDescent="0.25">
      <c r="A560" s="659" t="s">
        <v>444</v>
      </c>
      <c r="B560" s="659"/>
      <c r="C560" s="659"/>
      <c r="D560" s="659"/>
      <c r="E560" s="659"/>
      <c r="F560" s="659"/>
      <c r="G560" s="659"/>
      <c r="H560" s="584" t="s">
        <v>683</v>
      </c>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5"/>
      <c r="AL560" s="585"/>
      <c r="AM560" s="585"/>
      <c r="AN560" s="585"/>
      <c r="AO560" s="585"/>
      <c r="AP560" s="585"/>
      <c r="AQ560" s="585"/>
      <c r="AR560" s="585"/>
      <c r="AS560" s="585"/>
      <c r="AT560" s="585"/>
      <c r="AU560" s="585"/>
      <c r="AV560" s="585"/>
      <c r="AW560" s="585"/>
      <c r="AX560" s="585"/>
      <c r="AY560" s="585"/>
      <c r="AZ560" s="585"/>
      <c r="BA560" s="585"/>
      <c r="BB560" s="585"/>
      <c r="BC560" s="585"/>
      <c r="BD560" s="585"/>
      <c r="BE560" s="585"/>
      <c r="BF560" s="585"/>
      <c r="BG560" s="585"/>
      <c r="BH560" s="585"/>
      <c r="BI560" s="585"/>
      <c r="BJ560" s="585"/>
      <c r="BK560" s="585"/>
      <c r="BL560" s="585"/>
      <c r="BM560" s="585"/>
      <c r="BN560" s="585"/>
      <c r="BO560" s="585"/>
      <c r="BP560" s="585"/>
      <c r="BQ560" s="585"/>
      <c r="BR560" s="586"/>
      <c r="BS560" s="582"/>
      <c r="BT560" s="582"/>
      <c r="BU560" s="582"/>
      <c r="BV560" s="582"/>
      <c r="BW560" s="582"/>
      <c r="BX560" s="582"/>
      <c r="BY560" s="582"/>
      <c r="BZ560" s="582"/>
      <c r="CA560" s="582"/>
      <c r="CB560" s="582"/>
      <c r="CC560" s="582"/>
      <c r="CD560" s="582"/>
      <c r="CE560" s="582"/>
      <c r="CF560" s="582"/>
      <c r="CG560" s="582"/>
      <c r="CH560" s="582"/>
      <c r="CI560" s="664"/>
      <c r="CJ560" s="664"/>
      <c r="CK560" s="664"/>
      <c r="CL560" s="664"/>
      <c r="CM560" s="664"/>
      <c r="CN560" s="664"/>
      <c r="CO560" s="664"/>
      <c r="CP560" s="664"/>
      <c r="CQ560" s="664"/>
      <c r="CR560" s="664"/>
      <c r="CS560" s="664"/>
      <c r="CT560" s="664"/>
      <c r="CU560" s="664"/>
      <c r="CV560" s="664"/>
      <c r="CW560" s="664"/>
      <c r="CX560" s="664"/>
      <c r="CY560" s="664"/>
      <c r="CZ560" s="664"/>
    </row>
    <row r="561" spans="1:105" ht="18" hidden="1" customHeight="1" x14ac:dyDescent="0.25">
      <c r="A561" s="659" t="s">
        <v>446</v>
      </c>
      <c r="B561" s="659"/>
      <c r="C561" s="659"/>
      <c r="D561" s="659"/>
      <c r="E561" s="659"/>
      <c r="F561" s="659"/>
      <c r="G561" s="659"/>
      <c r="H561" s="584" t="s">
        <v>684</v>
      </c>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5"/>
      <c r="AL561" s="585"/>
      <c r="AM561" s="585"/>
      <c r="AN561" s="585"/>
      <c r="AO561" s="585"/>
      <c r="AP561" s="585"/>
      <c r="AQ561" s="585"/>
      <c r="AR561" s="585"/>
      <c r="AS561" s="585"/>
      <c r="AT561" s="585"/>
      <c r="AU561" s="585"/>
      <c r="AV561" s="585"/>
      <c r="AW561" s="585"/>
      <c r="AX561" s="585"/>
      <c r="AY561" s="585"/>
      <c r="AZ561" s="585"/>
      <c r="BA561" s="585"/>
      <c r="BB561" s="585"/>
      <c r="BC561" s="585"/>
      <c r="BD561" s="585"/>
      <c r="BE561" s="585"/>
      <c r="BF561" s="585"/>
      <c r="BG561" s="585"/>
      <c r="BH561" s="585"/>
      <c r="BI561" s="585"/>
      <c r="BJ561" s="585"/>
      <c r="BK561" s="585"/>
      <c r="BL561" s="585"/>
      <c r="BM561" s="585"/>
      <c r="BN561" s="585"/>
      <c r="BO561" s="585"/>
      <c r="BP561" s="585"/>
      <c r="BQ561" s="585"/>
      <c r="BR561" s="586"/>
      <c r="BS561" s="582"/>
      <c r="BT561" s="582"/>
      <c r="BU561" s="582"/>
      <c r="BV561" s="582"/>
      <c r="BW561" s="582"/>
      <c r="BX561" s="582"/>
      <c r="BY561" s="582"/>
      <c r="BZ561" s="582"/>
      <c r="CA561" s="582"/>
      <c r="CB561" s="582"/>
      <c r="CC561" s="582"/>
      <c r="CD561" s="582"/>
      <c r="CE561" s="582"/>
      <c r="CF561" s="582"/>
      <c r="CG561" s="582"/>
      <c r="CH561" s="582"/>
      <c r="CI561" s="664"/>
      <c r="CJ561" s="664"/>
      <c r="CK561" s="664"/>
      <c r="CL561" s="664"/>
      <c r="CM561" s="664"/>
      <c r="CN561" s="664"/>
      <c r="CO561" s="664"/>
      <c r="CP561" s="664"/>
      <c r="CQ561" s="664"/>
      <c r="CR561" s="664"/>
      <c r="CS561" s="664"/>
      <c r="CT561" s="664"/>
      <c r="CU561" s="664"/>
      <c r="CV561" s="664"/>
      <c r="CW561" s="664"/>
      <c r="CX561" s="664"/>
      <c r="CY561" s="664"/>
      <c r="CZ561" s="664"/>
    </row>
    <row r="562" spans="1:105" ht="15" hidden="1" customHeight="1" x14ac:dyDescent="0.25">
      <c r="A562" s="553" t="s">
        <v>292</v>
      </c>
      <c r="B562" s="554"/>
      <c r="C562" s="554"/>
      <c r="D562" s="554"/>
      <c r="E562" s="554"/>
      <c r="F562" s="554"/>
      <c r="G562" s="554"/>
      <c r="H562" s="554"/>
      <c r="I562" s="554"/>
      <c r="J562" s="554"/>
      <c r="K562" s="554"/>
      <c r="L562" s="554"/>
      <c r="M562" s="554"/>
      <c r="N562" s="554"/>
      <c r="O562" s="554"/>
      <c r="P562" s="554"/>
      <c r="Q562" s="554"/>
      <c r="R562" s="554"/>
      <c r="S562" s="554"/>
      <c r="T562" s="554"/>
      <c r="U562" s="554"/>
      <c r="V562" s="554"/>
      <c r="W562" s="554"/>
      <c r="X562" s="554"/>
      <c r="Y562" s="554"/>
      <c r="Z562" s="554"/>
      <c r="AA562" s="554"/>
      <c r="AB562" s="554"/>
      <c r="AC562" s="554"/>
      <c r="AD562" s="554"/>
      <c r="AE562" s="554"/>
      <c r="AF562" s="554"/>
      <c r="AG562" s="554"/>
      <c r="AH562" s="554"/>
      <c r="AI562" s="554"/>
      <c r="AJ562" s="554"/>
      <c r="AK562" s="554"/>
      <c r="AL562" s="554"/>
      <c r="AM562" s="554"/>
      <c r="AN562" s="554"/>
      <c r="AO562" s="554"/>
      <c r="AP562" s="554"/>
      <c r="AQ562" s="554"/>
      <c r="AR562" s="554"/>
      <c r="AS562" s="554"/>
      <c r="AT562" s="554"/>
      <c r="AU562" s="554"/>
      <c r="AV562" s="554"/>
      <c r="AW562" s="554"/>
      <c r="AX562" s="554"/>
      <c r="AY562" s="554"/>
      <c r="AZ562" s="554"/>
      <c r="BA562" s="554"/>
      <c r="BB562" s="554"/>
      <c r="BC562" s="554"/>
      <c r="BD562" s="554"/>
      <c r="BE562" s="554"/>
      <c r="BF562" s="554"/>
      <c r="BG562" s="554"/>
      <c r="BH562" s="554"/>
      <c r="BI562" s="554"/>
      <c r="BJ562" s="554"/>
      <c r="BK562" s="554"/>
      <c r="BL562" s="554"/>
      <c r="BM562" s="554"/>
      <c r="BN562" s="554"/>
      <c r="BO562" s="554"/>
      <c r="BP562" s="554"/>
      <c r="BQ562" s="554"/>
      <c r="BR562" s="555"/>
      <c r="BS562" s="582" t="s">
        <v>4</v>
      </c>
      <c r="BT562" s="582"/>
      <c r="BU562" s="582"/>
      <c r="BV562" s="582"/>
      <c r="BW562" s="582"/>
      <c r="BX562" s="582"/>
      <c r="BY562" s="582"/>
      <c r="BZ562" s="582"/>
      <c r="CA562" s="582"/>
      <c r="CB562" s="582"/>
      <c r="CC562" s="582"/>
      <c r="CD562" s="582"/>
      <c r="CE562" s="582"/>
      <c r="CF562" s="582"/>
      <c r="CG562" s="582"/>
      <c r="CH562" s="582"/>
      <c r="CI562" s="611">
        <f>CI559+CI560+CI561</f>
        <v>0</v>
      </c>
      <c r="CJ562" s="611"/>
      <c r="CK562" s="611"/>
      <c r="CL562" s="611"/>
      <c r="CM562" s="611"/>
      <c r="CN562" s="611"/>
      <c r="CO562" s="611"/>
      <c r="CP562" s="611"/>
      <c r="CQ562" s="611"/>
      <c r="CR562" s="611"/>
      <c r="CS562" s="611"/>
      <c r="CT562" s="611"/>
      <c r="CU562" s="611"/>
      <c r="CV562" s="611"/>
      <c r="CW562" s="611"/>
      <c r="CX562" s="611"/>
      <c r="CY562" s="611"/>
      <c r="CZ562" s="611"/>
    </row>
    <row r="563" spans="1:105" ht="15" customHeight="1" x14ac:dyDescent="0.25">
      <c r="A563" s="648" t="s">
        <v>573</v>
      </c>
      <c r="B563" s="649"/>
      <c r="C563" s="649"/>
      <c r="D563" s="649"/>
      <c r="E563" s="649"/>
      <c r="F563" s="649"/>
      <c r="G563" s="649"/>
      <c r="H563" s="649"/>
      <c r="I563" s="649"/>
      <c r="J563" s="649"/>
      <c r="K563" s="649"/>
      <c r="L563" s="649"/>
      <c r="M563" s="649"/>
      <c r="N563" s="649"/>
      <c r="O563" s="649"/>
      <c r="P563" s="649"/>
      <c r="Q563" s="649"/>
      <c r="R563" s="649"/>
      <c r="S563" s="649"/>
      <c r="T563" s="649"/>
      <c r="U563" s="649"/>
      <c r="V563" s="649"/>
      <c r="W563" s="649"/>
      <c r="X563" s="649"/>
      <c r="Y563" s="649"/>
      <c r="Z563" s="649"/>
      <c r="AA563" s="649"/>
      <c r="AB563" s="649"/>
      <c r="AC563" s="649"/>
      <c r="AD563" s="649"/>
      <c r="AE563" s="649"/>
      <c r="AF563" s="649"/>
      <c r="AG563" s="649"/>
      <c r="AH563" s="649"/>
      <c r="AI563" s="649"/>
      <c r="AJ563" s="649"/>
      <c r="AK563" s="649"/>
      <c r="AL563" s="649"/>
      <c r="AM563" s="649"/>
      <c r="AN563" s="649"/>
      <c r="AO563" s="649"/>
      <c r="AP563" s="649"/>
      <c r="AQ563" s="649"/>
      <c r="AR563" s="649"/>
      <c r="AS563" s="649"/>
      <c r="AT563" s="649"/>
      <c r="AU563" s="649"/>
      <c r="AV563" s="649"/>
      <c r="AW563" s="649"/>
      <c r="AX563" s="649"/>
      <c r="AY563" s="649"/>
      <c r="AZ563" s="649"/>
      <c r="BA563" s="649"/>
      <c r="BB563" s="649"/>
      <c r="BC563" s="649"/>
      <c r="BD563" s="649"/>
      <c r="BE563" s="649"/>
      <c r="BF563" s="649"/>
      <c r="BG563" s="649"/>
      <c r="BH563" s="649"/>
      <c r="BI563" s="649"/>
      <c r="BJ563" s="649"/>
      <c r="BK563" s="649"/>
      <c r="BL563" s="649"/>
      <c r="BM563" s="649"/>
      <c r="BN563" s="649"/>
      <c r="BO563" s="649"/>
      <c r="BP563" s="649"/>
      <c r="BQ563" s="649"/>
      <c r="BR563" s="649"/>
      <c r="BS563" s="649"/>
      <c r="BT563" s="649"/>
      <c r="BU563" s="649"/>
      <c r="BV563" s="649"/>
      <c r="BW563" s="649"/>
      <c r="BX563" s="649"/>
      <c r="BY563" s="649"/>
      <c r="BZ563" s="649"/>
      <c r="CA563" s="649"/>
      <c r="CB563" s="649"/>
      <c r="CC563" s="649"/>
      <c r="CD563" s="649"/>
      <c r="CE563" s="649"/>
      <c r="CF563" s="649"/>
      <c r="CG563" s="649"/>
      <c r="CH563" s="649"/>
      <c r="CI563" s="649"/>
      <c r="CJ563" s="649"/>
      <c r="CK563" s="649"/>
      <c r="CL563" s="649"/>
      <c r="CM563" s="649"/>
      <c r="CN563" s="649"/>
      <c r="CO563" s="649"/>
      <c r="CP563" s="649"/>
      <c r="CQ563" s="649"/>
      <c r="CR563" s="649"/>
      <c r="CS563" s="649"/>
      <c r="CT563" s="649"/>
      <c r="CU563" s="649"/>
      <c r="CV563" s="649"/>
      <c r="CW563" s="649"/>
      <c r="CX563" s="649"/>
      <c r="CY563" s="649"/>
      <c r="CZ563" s="649"/>
    </row>
    <row r="564" spans="1:105" ht="30" customHeight="1" x14ac:dyDescent="0.25">
      <c r="A564" s="659" t="s">
        <v>441</v>
      </c>
      <c r="B564" s="659"/>
      <c r="C564" s="659"/>
      <c r="D564" s="659"/>
      <c r="E564" s="659"/>
      <c r="F564" s="659"/>
      <c r="G564" s="659"/>
      <c r="H564" s="584" t="s">
        <v>685</v>
      </c>
      <c r="I564" s="585"/>
      <c r="J564" s="585"/>
      <c r="K564" s="585"/>
      <c r="L564" s="585"/>
      <c r="M564" s="585"/>
      <c r="N564" s="585"/>
      <c r="O564" s="585"/>
      <c r="P564" s="585"/>
      <c r="Q564" s="585"/>
      <c r="R564" s="585"/>
      <c r="S564" s="585"/>
      <c r="T564" s="585"/>
      <c r="U564" s="585"/>
      <c r="V564" s="585"/>
      <c r="W564" s="585"/>
      <c r="X564" s="585"/>
      <c r="Y564" s="585"/>
      <c r="Z564" s="585"/>
      <c r="AA564" s="585"/>
      <c r="AB564" s="585"/>
      <c r="AC564" s="585"/>
      <c r="AD564" s="585"/>
      <c r="AE564" s="585"/>
      <c r="AF564" s="585"/>
      <c r="AG564" s="585"/>
      <c r="AH564" s="585"/>
      <c r="AI564" s="585"/>
      <c r="AJ564" s="585"/>
      <c r="AK564" s="585"/>
      <c r="AL564" s="585"/>
      <c r="AM564" s="585"/>
      <c r="AN564" s="585"/>
      <c r="AO564" s="585"/>
      <c r="AP564" s="585"/>
      <c r="AQ564" s="585"/>
      <c r="AR564" s="585"/>
      <c r="AS564" s="585"/>
      <c r="AT564" s="585"/>
      <c r="AU564" s="585"/>
      <c r="AV564" s="585"/>
      <c r="AW564" s="585"/>
      <c r="AX564" s="585"/>
      <c r="AY564" s="585"/>
      <c r="AZ564" s="585"/>
      <c r="BA564" s="585"/>
      <c r="BB564" s="585"/>
      <c r="BC564" s="585"/>
      <c r="BD564" s="585"/>
      <c r="BE564" s="585"/>
      <c r="BF564" s="585"/>
      <c r="BG564" s="585"/>
      <c r="BH564" s="585"/>
      <c r="BI564" s="585"/>
      <c r="BJ564" s="585"/>
      <c r="BK564" s="585"/>
      <c r="BL564" s="585"/>
      <c r="BM564" s="585"/>
      <c r="BN564" s="585"/>
      <c r="BO564" s="585"/>
      <c r="BP564" s="585"/>
      <c r="BQ564" s="585"/>
      <c r="BR564" s="586"/>
      <c r="BS564" s="582">
        <v>1</v>
      </c>
      <c r="BT564" s="582"/>
      <c r="BU564" s="582"/>
      <c r="BV564" s="582"/>
      <c r="BW564" s="582"/>
      <c r="BX564" s="582"/>
      <c r="BY564" s="582"/>
      <c r="BZ564" s="582"/>
      <c r="CA564" s="582"/>
      <c r="CB564" s="582"/>
      <c r="CC564" s="582"/>
      <c r="CD564" s="582"/>
      <c r="CE564" s="582"/>
      <c r="CF564" s="582"/>
      <c r="CG564" s="582"/>
      <c r="CH564" s="582"/>
      <c r="CI564" s="664">
        <v>518700</v>
      </c>
      <c r="CJ564" s="664"/>
      <c r="CK564" s="664"/>
      <c r="CL564" s="664"/>
      <c r="CM564" s="664"/>
      <c r="CN564" s="664"/>
      <c r="CO564" s="664"/>
      <c r="CP564" s="664"/>
      <c r="CQ564" s="664"/>
      <c r="CR564" s="664"/>
      <c r="CS564" s="664"/>
      <c r="CT564" s="664"/>
      <c r="CU564" s="664"/>
      <c r="CV564" s="664"/>
      <c r="CW564" s="664"/>
      <c r="CX564" s="664"/>
      <c r="CY564" s="664"/>
      <c r="CZ564" s="664"/>
    </row>
    <row r="565" spans="1:105" ht="18" customHeight="1" x14ac:dyDescent="0.25">
      <c r="A565" s="659" t="s">
        <v>444</v>
      </c>
      <c r="B565" s="659"/>
      <c r="C565" s="659"/>
      <c r="D565" s="659"/>
      <c r="E565" s="659"/>
      <c r="F565" s="659"/>
      <c r="G565" s="659"/>
      <c r="H565" s="584" t="s">
        <v>686</v>
      </c>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5"/>
      <c r="AL565" s="585"/>
      <c r="AM565" s="585"/>
      <c r="AN565" s="585"/>
      <c r="AO565" s="585"/>
      <c r="AP565" s="585"/>
      <c r="AQ565" s="585"/>
      <c r="AR565" s="585"/>
      <c r="AS565" s="585"/>
      <c r="AT565" s="585"/>
      <c r="AU565" s="585"/>
      <c r="AV565" s="585"/>
      <c r="AW565" s="585"/>
      <c r="AX565" s="585"/>
      <c r="AY565" s="585"/>
      <c r="AZ565" s="585"/>
      <c r="BA565" s="585"/>
      <c r="BB565" s="585"/>
      <c r="BC565" s="585"/>
      <c r="BD565" s="585"/>
      <c r="BE565" s="585"/>
      <c r="BF565" s="585"/>
      <c r="BG565" s="585"/>
      <c r="BH565" s="585"/>
      <c r="BI565" s="585"/>
      <c r="BJ565" s="585"/>
      <c r="BK565" s="585"/>
      <c r="BL565" s="585"/>
      <c r="BM565" s="585"/>
      <c r="BN565" s="585"/>
      <c r="BO565" s="585"/>
      <c r="BP565" s="585"/>
      <c r="BQ565" s="585"/>
      <c r="BR565" s="586"/>
      <c r="BS565" s="582">
        <v>5</v>
      </c>
      <c r="BT565" s="582"/>
      <c r="BU565" s="582"/>
      <c r="BV565" s="582"/>
      <c r="BW565" s="582"/>
      <c r="BX565" s="582"/>
      <c r="BY565" s="582"/>
      <c r="BZ565" s="582"/>
      <c r="CA565" s="582"/>
      <c r="CB565" s="582"/>
      <c r="CC565" s="582"/>
      <c r="CD565" s="582"/>
      <c r="CE565" s="582"/>
      <c r="CF565" s="582"/>
      <c r="CG565" s="582"/>
      <c r="CH565" s="582"/>
      <c r="CI565" s="664">
        <v>82750</v>
      </c>
      <c r="CJ565" s="664"/>
      <c r="CK565" s="664"/>
      <c r="CL565" s="664"/>
      <c r="CM565" s="664"/>
      <c r="CN565" s="664"/>
      <c r="CO565" s="664"/>
      <c r="CP565" s="664"/>
      <c r="CQ565" s="664"/>
      <c r="CR565" s="664"/>
      <c r="CS565" s="664"/>
      <c r="CT565" s="664"/>
      <c r="CU565" s="664"/>
      <c r="CV565" s="664"/>
      <c r="CW565" s="664"/>
      <c r="CX565" s="664"/>
      <c r="CY565" s="664"/>
      <c r="CZ565" s="664"/>
    </row>
    <row r="566" spans="1:105" ht="18" customHeight="1" x14ac:dyDescent="0.25">
      <c r="A566" s="630" t="s">
        <v>446</v>
      </c>
      <c r="B566" s="631"/>
      <c r="C566" s="631"/>
      <c r="D566" s="631"/>
      <c r="E566" s="631"/>
      <c r="F566" s="631"/>
      <c r="G566" s="632"/>
      <c r="H566" s="584" t="s">
        <v>1006</v>
      </c>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5"/>
      <c r="AL566" s="585"/>
      <c r="AM566" s="585"/>
      <c r="AN566" s="585"/>
      <c r="AO566" s="585"/>
      <c r="AP566" s="585"/>
      <c r="AQ566" s="585"/>
      <c r="AR566" s="585"/>
      <c r="AS566" s="585"/>
      <c r="AT566" s="585"/>
      <c r="AU566" s="585"/>
      <c r="AV566" s="585"/>
      <c r="AW566" s="585"/>
      <c r="AX566" s="585"/>
      <c r="AY566" s="585"/>
      <c r="AZ566" s="585"/>
      <c r="BA566" s="585"/>
      <c r="BB566" s="585"/>
      <c r="BC566" s="685"/>
      <c r="BD566" s="685"/>
      <c r="BE566" s="685"/>
      <c r="BF566" s="685"/>
      <c r="BG566" s="685"/>
      <c r="BH566" s="685"/>
      <c r="BI566" s="685"/>
      <c r="BJ566" s="685"/>
      <c r="BK566" s="685"/>
      <c r="BL566" s="685"/>
      <c r="BM566" s="685"/>
      <c r="BN566" s="685"/>
      <c r="BO566" s="685"/>
      <c r="BP566" s="685"/>
      <c r="BQ566" s="685"/>
      <c r="BR566" s="686"/>
      <c r="BS566" s="582">
        <v>2</v>
      </c>
      <c r="BT566" s="582"/>
      <c r="BU566" s="582"/>
      <c r="BV566" s="582"/>
      <c r="BW566" s="582"/>
      <c r="BX566" s="582"/>
      <c r="BY566" s="582"/>
      <c r="BZ566" s="582"/>
      <c r="CA566" s="582"/>
      <c r="CB566" s="582"/>
      <c r="CC566" s="582"/>
      <c r="CD566" s="582"/>
      <c r="CE566" s="582"/>
      <c r="CF566" s="582"/>
      <c r="CG566" s="582"/>
      <c r="CH566" s="582"/>
      <c r="CI566" s="627">
        <f>1869000-829264-489251.6+0.65</f>
        <v>550485.05000000005</v>
      </c>
      <c r="CJ566" s="628"/>
      <c r="CK566" s="628"/>
      <c r="CL566" s="628"/>
      <c r="CM566" s="628"/>
      <c r="CN566" s="628"/>
      <c r="CO566" s="628"/>
      <c r="CP566" s="628"/>
      <c r="CQ566" s="628"/>
      <c r="CR566" s="628"/>
      <c r="CS566" s="628"/>
      <c r="CT566" s="628"/>
      <c r="CU566" s="628"/>
      <c r="CV566" s="628"/>
      <c r="CW566" s="628"/>
      <c r="CX566" s="628"/>
      <c r="CY566" s="628"/>
      <c r="CZ566" s="629"/>
    </row>
    <row r="567" spans="1:105" ht="18" hidden="1" customHeight="1" x14ac:dyDescent="0.25">
      <c r="A567" s="630" t="s">
        <v>551</v>
      </c>
      <c r="B567" s="631"/>
      <c r="C567" s="631"/>
      <c r="D567" s="631"/>
      <c r="E567" s="631"/>
      <c r="F567" s="631"/>
      <c r="G567" s="632"/>
      <c r="H567" s="584" t="s">
        <v>1061</v>
      </c>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5"/>
      <c r="AL567" s="585"/>
      <c r="AM567" s="585"/>
      <c r="AN567" s="585"/>
      <c r="AO567" s="585"/>
      <c r="AP567" s="585"/>
      <c r="AQ567" s="585"/>
      <c r="AR567" s="585"/>
      <c r="AS567" s="585"/>
      <c r="AT567" s="585"/>
      <c r="AU567" s="585"/>
      <c r="AV567" s="585"/>
      <c r="AW567" s="585"/>
      <c r="AX567" s="585"/>
      <c r="AY567" s="585"/>
      <c r="AZ567" s="585"/>
      <c r="BA567" s="585"/>
      <c r="BB567" s="585"/>
      <c r="BC567" s="585"/>
      <c r="BD567" s="585"/>
      <c r="BE567" s="585"/>
      <c r="BF567" s="585"/>
      <c r="BG567" s="585"/>
      <c r="BH567" s="585"/>
      <c r="BI567" s="585"/>
      <c r="BJ567" s="585"/>
      <c r="BK567" s="585"/>
      <c r="BL567" s="585"/>
      <c r="BM567" s="585"/>
      <c r="BN567" s="585"/>
      <c r="BO567" s="585"/>
      <c r="BP567" s="585"/>
      <c r="BQ567" s="585"/>
      <c r="BR567" s="586"/>
      <c r="BS567" s="544">
        <v>1</v>
      </c>
      <c r="BT567" s="545"/>
      <c r="BU567" s="545"/>
      <c r="BV567" s="545"/>
      <c r="BW567" s="545"/>
      <c r="BX567" s="545"/>
      <c r="BY567" s="545"/>
      <c r="BZ567" s="545"/>
      <c r="CA567" s="545"/>
      <c r="CB567" s="545"/>
      <c r="CC567" s="545"/>
      <c r="CD567" s="545"/>
      <c r="CE567" s="545"/>
      <c r="CF567" s="545"/>
      <c r="CG567" s="545"/>
      <c r="CH567" s="546"/>
      <c r="CI567" s="627"/>
      <c r="CJ567" s="628"/>
      <c r="CK567" s="628"/>
      <c r="CL567" s="628"/>
      <c r="CM567" s="628"/>
      <c r="CN567" s="628"/>
      <c r="CO567" s="628"/>
      <c r="CP567" s="628"/>
      <c r="CQ567" s="628"/>
      <c r="CR567" s="628"/>
      <c r="CS567" s="628"/>
      <c r="CT567" s="628"/>
      <c r="CU567" s="628"/>
      <c r="CV567" s="628"/>
      <c r="CW567" s="628"/>
      <c r="CX567" s="628"/>
      <c r="CY567" s="628"/>
      <c r="CZ567" s="629"/>
    </row>
    <row r="568" spans="1:105" ht="18" customHeight="1" x14ac:dyDescent="0.25">
      <c r="A568" s="630" t="s">
        <v>477</v>
      </c>
      <c r="B568" s="631"/>
      <c r="C568" s="631"/>
      <c r="D568" s="631"/>
      <c r="E568" s="631"/>
      <c r="F568" s="631"/>
      <c r="G568" s="632"/>
      <c r="H568" s="584" t="s">
        <v>1063</v>
      </c>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5"/>
      <c r="AL568" s="585"/>
      <c r="AM568" s="585"/>
      <c r="AN568" s="585"/>
      <c r="AO568" s="585"/>
      <c r="AP568" s="585"/>
      <c r="AQ568" s="585"/>
      <c r="AR568" s="585"/>
      <c r="AS568" s="585"/>
      <c r="AT568" s="585"/>
      <c r="AU568" s="585"/>
      <c r="AV568" s="585"/>
      <c r="AW568" s="585"/>
      <c r="AX568" s="585"/>
      <c r="AY568" s="585"/>
      <c r="AZ568" s="585"/>
      <c r="BA568" s="585"/>
      <c r="BB568" s="585"/>
      <c r="BC568" s="585"/>
      <c r="BD568" s="585"/>
      <c r="BE568" s="585"/>
      <c r="BF568" s="585"/>
      <c r="BG568" s="585"/>
      <c r="BH568" s="585"/>
      <c r="BI568" s="585"/>
      <c r="BJ568" s="585"/>
      <c r="BK568" s="585"/>
      <c r="BL568" s="585"/>
      <c r="BM568" s="585"/>
      <c r="BN568" s="585"/>
      <c r="BO568" s="585"/>
      <c r="BP568" s="585"/>
      <c r="BQ568" s="585"/>
      <c r="BR568" s="586"/>
      <c r="BS568" s="544">
        <v>1</v>
      </c>
      <c r="BT568" s="545"/>
      <c r="BU568" s="545"/>
      <c r="BV568" s="545"/>
      <c r="BW568" s="545"/>
      <c r="BX568" s="545"/>
      <c r="BY568" s="545"/>
      <c r="BZ568" s="545"/>
      <c r="CA568" s="545"/>
      <c r="CB568" s="545"/>
      <c r="CC568" s="545"/>
      <c r="CD568" s="545"/>
      <c r="CE568" s="545"/>
      <c r="CF568" s="545"/>
      <c r="CG568" s="545"/>
      <c r="CH568" s="546"/>
      <c r="CI568" s="627">
        <v>1940917</v>
      </c>
      <c r="CJ568" s="628"/>
      <c r="CK568" s="628"/>
      <c r="CL568" s="628"/>
      <c r="CM568" s="628"/>
      <c r="CN568" s="628"/>
      <c r="CO568" s="628"/>
      <c r="CP568" s="628"/>
      <c r="CQ568" s="628"/>
      <c r="CR568" s="628"/>
      <c r="CS568" s="628"/>
      <c r="CT568" s="628"/>
      <c r="CU568" s="628"/>
      <c r="CV568" s="628"/>
      <c r="CW568" s="628"/>
      <c r="CX568" s="628"/>
      <c r="CY568" s="628"/>
      <c r="CZ568" s="629"/>
    </row>
    <row r="569" spans="1:105" ht="27" customHeight="1" x14ac:dyDescent="0.25">
      <c r="A569" s="630" t="s">
        <v>479</v>
      </c>
      <c r="B569" s="631"/>
      <c r="C569" s="631"/>
      <c r="D569" s="631"/>
      <c r="E569" s="631"/>
      <c r="F569" s="631"/>
      <c r="G569" s="632"/>
      <c r="H569" s="584" t="s">
        <v>847</v>
      </c>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5"/>
      <c r="AL569" s="585"/>
      <c r="AM569" s="585"/>
      <c r="AN569" s="585"/>
      <c r="AO569" s="585"/>
      <c r="AP569" s="585"/>
      <c r="AQ569" s="585"/>
      <c r="AR569" s="585"/>
      <c r="AS569" s="585"/>
      <c r="AT569" s="585"/>
      <c r="AU569" s="585"/>
      <c r="AV569" s="585"/>
      <c r="AW569" s="585"/>
      <c r="AX569" s="585"/>
      <c r="AY569" s="585"/>
      <c r="AZ569" s="585"/>
      <c r="BA569" s="585"/>
      <c r="BB569" s="585"/>
      <c r="BC569" s="585"/>
      <c r="BD569" s="585"/>
      <c r="BE569" s="585"/>
      <c r="BF569" s="585"/>
      <c r="BG569" s="585"/>
      <c r="BH569" s="585"/>
      <c r="BI569" s="585"/>
      <c r="BJ569" s="585"/>
      <c r="BK569" s="585"/>
      <c r="BL569" s="585"/>
      <c r="BM569" s="585"/>
      <c r="BN569" s="585"/>
      <c r="BO569" s="585"/>
      <c r="BP569" s="585"/>
      <c r="BQ569" s="585"/>
      <c r="BR569" s="586"/>
      <c r="BS569" s="544">
        <v>2</v>
      </c>
      <c r="BT569" s="545"/>
      <c r="BU569" s="545"/>
      <c r="BV569" s="545"/>
      <c r="BW569" s="545"/>
      <c r="BX569" s="545"/>
      <c r="BY569" s="545"/>
      <c r="BZ569" s="545"/>
      <c r="CA569" s="545"/>
      <c r="CB569" s="545"/>
      <c r="CC569" s="545"/>
      <c r="CD569" s="545"/>
      <c r="CE569" s="545"/>
      <c r="CF569" s="545"/>
      <c r="CG569" s="545"/>
      <c r="CH569" s="546"/>
      <c r="CI569" s="627">
        <f>230000+337000-14678</f>
        <v>552322</v>
      </c>
      <c r="CJ569" s="628"/>
      <c r="CK569" s="628"/>
      <c r="CL569" s="628"/>
      <c r="CM569" s="628"/>
      <c r="CN569" s="628"/>
      <c r="CO569" s="628"/>
      <c r="CP569" s="628"/>
      <c r="CQ569" s="628"/>
      <c r="CR569" s="628"/>
      <c r="CS569" s="628"/>
      <c r="CT569" s="628"/>
      <c r="CU569" s="628"/>
      <c r="CV569" s="628"/>
      <c r="CW569" s="628"/>
      <c r="CX569" s="628"/>
      <c r="CY569" s="628"/>
      <c r="CZ569" s="629"/>
    </row>
    <row r="570" spans="1:105" ht="17.399999999999999" hidden="1" customHeight="1" x14ac:dyDescent="0.25">
      <c r="A570" s="630" t="s">
        <v>648</v>
      </c>
      <c r="B570" s="631"/>
      <c r="C570" s="631"/>
      <c r="D570" s="631"/>
      <c r="E570" s="631"/>
      <c r="F570" s="631"/>
      <c r="G570" s="632"/>
      <c r="H570" s="584" t="s">
        <v>688</v>
      </c>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5"/>
      <c r="AL570" s="585"/>
      <c r="AM570" s="585"/>
      <c r="AN570" s="585"/>
      <c r="AO570" s="585"/>
      <c r="AP570" s="585"/>
      <c r="AQ570" s="585"/>
      <c r="AR570" s="585"/>
      <c r="AS570" s="585"/>
      <c r="AT570" s="585"/>
      <c r="AU570" s="585"/>
      <c r="AV570" s="585"/>
      <c r="AW570" s="585"/>
      <c r="AX570" s="585"/>
      <c r="AY570" s="585"/>
      <c r="AZ570" s="585"/>
      <c r="BA570" s="585"/>
      <c r="BB570" s="585"/>
      <c r="BC570" s="585"/>
      <c r="BD570" s="585"/>
      <c r="BE570" s="585"/>
      <c r="BF570" s="585"/>
      <c r="BG570" s="585"/>
      <c r="BH570" s="585"/>
      <c r="BI570" s="585"/>
      <c r="BJ570" s="585"/>
      <c r="BK570" s="585"/>
      <c r="BL570" s="585"/>
      <c r="BM570" s="585"/>
      <c r="BN570" s="585"/>
      <c r="BO570" s="585"/>
      <c r="BP570" s="585"/>
      <c r="BQ570" s="585"/>
      <c r="BR570" s="586"/>
      <c r="BS570" s="582">
        <v>1</v>
      </c>
      <c r="BT570" s="582"/>
      <c r="BU570" s="582"/>
      <c r="BV570" s="582"/>
      <c r="BW570" s="582"/>
      <c r="BX570" s="582"/>
      <c r="BY570" s="582"/>
      <c r="BZ570" s="582"/>
      <c r="CA570" s="582"/>
      <c r="CB570" s="582"/>
      <c r="CC570" s="582"/>
      <c r="CD570" s="582"/>
      <c r="CE570" s="582"/>
      <c r="CF570" s="582"/>
      <c r="CG570" s="582"/>
      <c r="CH570" s="582"/>
      <c r="CI570" s="664"/>
      <c r="CJ570" s="664"/>
      <c r="CK570" s="664"/>
      <c r="CL570" s="664"/>
      <c r="CM570" s="664"/>
      <c r="CN570" s="664"/>
      <c r="CO570" s="664"/>
      <c r="CP570" s="664"/>
      <c r="CQ570" s="664"/>
      <c r="CR570" s="664"/>
      <c r="CS570" s="664"/>
      <c r="CT570" s="664"/>
      <c r="CU570" s="664"/>
      <c r="CV570" s="664"/>
      <c r="CW570" s="664"/>
      <c r="CX570" s="664"/>
      <c r="CY570" s="664"/>
      <c r="CZ570" s="664"/>
    </row>
    <row r="571" spans="1:105" ht="17.399999999999999" hidden="1" customHeight="1" x14ac:dyDescent="0.25">
      <c r="A571" s="630" t="s">
        <v>650</v>
      </c>
      <c r="B571" s="631"/>
      <c r="C571" s="631"/>
      <c r="D571" s="631"/>
      <c r="E571" s="631"/>
      <c r="F571" s="631"/>
      <c r="G571" s="632"/>
      <c r="H571" s="584" t="s">
        <v>848</v>
      </c>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5"/>
      <c r="AL571" s="585"/>
      <c r="AM571" s="585"/>
      <c r="AN571" s="585"/>
      <c r="AO571" s="585"/>
      <c r="AP571" s="585"/>
      <c r="AQ571" s="585"/>
      <c r="AR571" s="585"/>
      <c r="AS571" s="585"/>
      <c r="AT571" s="585"/>
      <c r="AU571" s="585"/>
      <c r="AV571" s="585"/>
      <c r="AW571" s="585"/>
      <c r="AX571" s="585"/>
      <c r="AY571" s="585"/>
      <c r="AZ571" s="585"/>
      <c r="BA571" s="585"/>
      <c r="BB571" s="585"/>
      <c r="BC571" s="585"/>
      <c r="BD571" s="585"/>
      <c r="BE571" s="585"/>
      <c r="BF571" s="585"/>
      <c r="BG571" s="585"/>
      <c r="BH571" s="585"/>
      <c r="BI571" s="585"/>
      <c r="BJ571" s="585"/>
      <c r="BK571" s="585"/>
      <c r="BL571" s="585"/>
      <c r="BM571" s="585"/>
      <c r="BN571" s="585"/>
      <c r="BO571" s="585"/>
      <c r="BP571" s="585"/>
      <c r="BQ571" s="585"/>
      <c r="BR571" s="586"/>
      <c r="BS571" s="544">
        <v>1</v>
      </c>
      <c r="BT571" s="545"/>
      <c r="BU571" s="545"/>
      <c r="BV571" s="545"/>
      <c r="BW571" s="545"/>
      <c r="BX571" s="545"/>
      <c r="BY571" s="545"/>
      <c r="BZ571" s="545"/>
      <c r="CA571" s="545"/>
      <c r="CB571" s="545"/>
      <c r="CC571" s="545"/>
      <c r="CD571" s="545"/>
      <c r="CE571" s="545"/>
      <c r="CF571" s="545"/>
      <c r="CG571" s="545"/>
      <c r="CH571" s="546"/>
      <c r="CI571" s="627"/>
      <c r="CJ571" s="628"/>
      <c r="CK571" s="628"/>
      <c r="CL571" s="628"/>
      <c r="CM571" s="628"/>
      <c r="CN571" s="628"/>
      <c r="CO571" s="628"/>
      <c r="CP571" s="628"/>
      <c r="CQ571" s="628"/>
      <c r="CR571" s="628"/>
      <c r="CS571" s="628"/>
      <c r="CT571" s="628"/>
      <c r="CU571" s="628"/>
      <c r="CV571" s="628"/>
      <c r="CW571" s="628"/>
      <c r="CX571" s="628"/>
      <c r="CY571" s="628"/>
      <c r="CZ571" s="629"/>
    </row>
    <row r="572" spans="1:105" ht="15" customHeight="1" x14ac:dyDescent="0.25">
      <c r="A572" s="553" t="s">
        <v>292</v>
      </c>
      <c r="B572" s="554"/>
      <c r="C572" s="554"/>
      <c r="D572" s="554"/>
      <c r="E572" s="554"/>
      <c r="F572" s="554"/>
      <c r="G572" s="554"/>
      <c r="H572" s="554"/>
      <c r="I572" s="554"/>
      <c r="J572" s="554"/>
      <c r="K572" s="554"/>
      <c r="L572" s="554"/>
      <c r="M572" s="554"/>
      <c r="N572" s="554"/>
      <c r="O572" s="554"/>
      <c r="P572" s="554"/>
      <c r="Q572" s="554"/>
      <c r="R572" s="554"/>
      <c r="S572" s="554"/>
      <c r="T572" s="554"/>
      <c r="U572" s="554"/>
      <c r="V572" s="554"/>
      <c r="W572" s="554"/>
      <c r="X572" s="554"/>
      <c r="Y572" s="554"/>
      <c r="Z572" s="554"/>
      <c r="AA572" s="554"/>
      <c r="AB572" s="554"/>
      <c r="AC572" s="554"/>
      <c r="AD572" s="554"/>
      <c r="AE572" s="554"/>
      <c r="AF572" s="554"/>
      <c r="AG572" s="554"/>
      <c r="AH572" s="554"/>
      <c r="AI572" s="554"/>
      <c r="AJ572" s="554"/>
      <c r="AK572" s="554"/>
      <c r="AL572" s="554"/>
      <c r="AM572" s="554"/>
      <c r="AN572" s="554"/>
      <c r="AO572" s="554"/>
      <c r="AP572" s="554"/>
      <c r="AQ572" s="554"/>
      <c r="AR572" s="554"/>
      <c r="AS572" s="554"/>
      <c r="AT572" s="554"/>
      <c r="AU572" s="554"/>
      <c r="AV572" s="554"/>
      <c r="AW572" s="554"/>
      <c r="AX572" s="554"/>
      <c r="AY572" s="554"/>
      <c r="AZ572" s="554"/>
      <c r="BA572" s="554"/>
      <c r="BB572" s="554"/>
      <c r="BC572" s="554"/>
      <c r="BD572" s="554"/>
      <c r="BE572" s="554"/>
      <c r="BF572" s="554"/>
      <c r="BG572" s="554"/>
      <c r="BH572" s="554"/>
      <c r="BI572" s="554"/>
      <c r="BJ572" s="554"/>
      <c r="BK572" s="554"/>
      <c r="BL572" s="554"/>
      <c r="BM572" s="554"/>
      <c r="BN572" s="554"/>
      <c r="BO572" s="554"/>
      <c r="BP572" s="554"/>
      <c r="BQ572" s="554"/>
      <c r="BR572" s="555"/>
      <c r="BS572" s="582" t="s">
        <v>4</v>
      </c>
      <c r="BT572" s="582"/>
      <c r="BU572" s="582"/>
      <c r="BV572" s="582"/>
      <c r="BW572" s="582"/>
      <c r="BX572" s="582"/>
      <c r="BY572" s="582"/>
      <c r="BZ572" s="582"/>
      <c r="CA572" s="582"/>
      <c r="CB572" s="582"/>
      <c r="CC572" s="582"/>
      <c r="CD572" s="582"/>
      <c r="CE572" s="582"/>
      <c r="CF572" s="582"/>
      <c r="CG572" s="582"/>
      <c r="CH572" s="582"/>
      <c r="CI572" s="611">
        <f>SUM(CI564:CZ569)</f>
        <v>3645174.05</v>
      </c>
      <c r="CJ572" s="611"/>
      <c r="CK572" s="611"/>
      <c r="CL572" s="611"/>
      <c r="CM572" s="611"/>
      <c r="CN572" s="611"/>
      <c r="CO572" s="611"/>
      <c r="CP572" s="611"/>
      <c r="CQ572" s="611"/>
      <c r="CR572" s="611"/>
      <c r="CS572" s="611"/>
      <c r="CT572" s="611"/>
      <c r="CU572" s="611"/>
      <c r="CV572" s="611"/>
      <c r="CW572" s="611"/>
      <c r="CX572" s="611"/>
      <c r="CY572" s="611"/>
      <c r="CZ572" s="611"/>
    </row>
    <row r="573" spans="1:105" ht="22.95" customHeight="1" x14ac:dyDescent="0.25">
      <c r="A573" s="553" t="s">
        <v>37</v>
      </c>
      <c r="B573" s="554"/>
      <c r="C573" s="554"/>
      <c r="D573" s="554"/>
      <c r="E573" s="554"/>
      <c r="F573" s="554"/>
      <c r="G573" s="554"/>
      <c r="H573" s="554"/>
      <c r="I573" s="554"/>
      <c r="J573" s="554"/>
      <c r="K573" s="554"/>
      <c r="L573" s="554"/>
      <c r="M573" s="554"/>
      <c r="N573" s="554"/>
      <c r="O573" s="554"/>
      <c r="P573" s="554"/>
      <c r="Q573" s="554"/>
      <c r="R573" s="554"/>
      <c r="S573" s="554"/>
      <c r="T573" s="554"/>
      <c r="U573" s="554"/>
      <c r="V573" s="554"/>
      <c r="W573" s="554"/>
      <c r="X573" s="554"/>
      <c r="Y573" s="554"/>
      <c r="Z573" s="554"/>
      <c r="AA573" s="554"/>
      <c r="AB573" s="554"/>
      <c r="AC573" s="554"/>
      <c r="AD573" s="554"/>
      <c r="AE573" s="554"/>
      <c r="AF573" s="554"/>
      <c r="AG573" s="554"/>
      <c r="AH573" s="554"/>
      <c r="AI573" s="554"/>
      <c r="AJ573" s="554"/>
      <c r="AK573" s="554"/>
      <c r="AL573" s="554"/>
      <c r="AM573" s="554"/>
      <c r="AN573" s="554"/>
      <c r="AO573" s="554"/>
      <c r="AP573" s="554"/>
      <c r="AQ573" s="554"/>
      <c r="AR573" s="554"/>
      <c r="AS573" s="554"/>
      <c r="AT573" s="554"/>
      <c r="AU573" s="554"/>
      <c r="AV573" s="554"/>
      <c r="AW573" s="554"/>
      <c r="AX573" s="554"/>
      <c r="AY573" s="554"/>
      <c r="AZ573" s="554"/>
      <c r="BA573" s="554"/>
      <c r="BB573" s="554"/>
      <c r="BC573" s="554"/>
      <c r="BD573" s="554"/>
      <c r="BE573" s="554"/>
      <c r="BF573" s="554"/>
      <c r="BG573" s="554"/>
      <c r="BH573" s="554"/>
      <c r="BI573" s="554"/>
      <c r="BJ573" s="554"/>
      <c r="BK573" s="554"/>
      <c r="BL573" s="554"/>
      <c r="BM573" s="554"/>
      <c r="BN573" s="554"/>
      <c r="BO573" s="554"/>
      <c r="BP573" s="554"/>
      <c r="BQ573" s="554"/>
      <c r="BR573" s="555"/>
      <c r="BS573" s="582" t="s">
        <v>4</v>
      </c>
      <c r="BT573" s="582"/>
      <c r="BU573" s="582"/>
      <c r="BV573" s="582"/>
      <c r="BW573" s="582"/>
      <c r="BX573" s="582"/>
      <c r="BY573" s="582"/>
      <c r="BZ573" s="582"/>
      <c r="CA573" s="582"/>
      <c r="CB573" s="582"/>
      <c r="CC573" s="582"/>
      <c r="CD573" s="582"/>
      <c r="CE573" s="582"/>
      <c r="CF573" s="582"/>
      <c r="CG573" s="582"/>
      <c r="CH573" s="582"/>
      <c r="CI573" s="611">
        <f>CI551+CI557+CI562+CI572</f>
        <v>20795697.350020003</v>
      </c>
      <c r="CJ573" s="560"/>
      <c r="CK573" s="560"/>
      <c r="CL573" s="560"/>
      <c r="CM573" s="560"/>
      <c r="CN573" s="560"/>
      <c r="CO573" s="560"/>
      <c r="CP573" s="560"/>
      <c r="CQ573" s="560"/>
      <c r="CR573" s="560"/>
      <c r="CS573" s="560"/>
      <c r="CT573" s="560"/>
      <c r="CU573" s="560"/>
      <c r="CV573" s="560"/>
      <c r="CW573" s="560"/>
      <c r="CX573" s="560"/>
      <c r="CY573" s="560"/>
      <c r="CZ573" s="560"/>
      <c r="DA573" s="243"/>
    </row>
    <row r="574" spans="1:105" x14ac:dyDescent="0.25">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2"/>
      <c r="AQ574" s="222"/>
      <c r="AR574" s="222"/>
      <c r="AS574" s="222"/>
      <c r="AT574" s="222"/>
      <c r="AU574" s="222"/>
      <c r="AV574" s="222"/>
      <c r="AW574" s="222"/>
      <c r="AX574" s="222"/>
      <c r="AY574" s="222"/>
      <c r="AZ574" s="222"/>
      <c r="BA574" s="222"/>
      <c r="BB574" s="222"/>
      <c r="BC574" s="222"/>
      <c r="BD574" s="222"/>
      <c r="BE574" s="222"/>
      <c r="BF574" s="222"/>
      <c r="BG574" s="222"/>
      <c r="BH574" s="222"/>
      <c r="BI574" s="222"/>
      <c r="BJ574" s="222"/>
      <c r="BK574" s="222"/>
      <c r="BL574" s="222"/>
      <c r="BM574" s="222"/>
      <c r="BN574" s="222"/>
      <c r="BO574" s="222"/>
      <c r="BP574" s="222"/>
      <c r="BQ574" s="222"/>
      <c r="BR574" s="222"/>
      <c r="BS574" s="223"/>
      <c r="BT574" s="223"/>
      <c r="BU574" s="223"/>
      <c r="BV574" s="223"/>
      <c r="BW574" s="223"/>
      <c r="BX574" s="223"/>
      <c r="BY574" s="223"/>
      <c r="BZ574" s="223"/>
      <c r="CA574" s="223"/>
      <c r="CB574" s="223"/>
      <c r="CC574" s="223"/>
      <c r="CD574" s="223"/>
      <c r="CE574" s="223"/>
      <c r="CF574" s="223"/>
      <c r="CG574" s="223"/>
      <c r="CH574" s="223"/>
      <c r="CI574" s="229"/>
      <c r="CJ574" s="45"/>
      <c r="CK574" s="45"/>
      <c r="CL574" s="45"/>
      <c r="CM574" s="45"/>
      <c r="CN574" s="45"/>
      <c r="CO574" s="45"/>
      <c r="CP574" s="45"/>
      <c r="CQ574" s="45"/>
      <c r="CR574" s="45"/>
      <c r="CS574" s="45"/>
      <c r="CT574" s="45"/>
      <c r="CU574" s="45"/>
      <c r="CV574" s="45"/>
      <c r="CW574" s="45"/>
      <c r="CX574" s="45"/>
      <c r="CY574" s="45"/>
      <c r="CZ574" s="45"/>
      <c r="DA574" s="243"/>
    </row>
    <row r="575" spans="1:105" x14ac:dyDescent="0.25">
      <c r="A575" s="524" t="s">
        <v>361</v>
      </c>
      <c r="B575" s="524"/>
      <c r="C575" s="524"/>
      <c r="D575" s="524"/>
      <c r="E575" s="524"/>
      <c r="F575" s="524"/>
      <c r="G575" s="524"/>
      <c r="H575" s="524"/>
      <c r="I575" s="524"/>
      <c r="J575" s="524"/>
      <c r="K575" s="524"/>
      <c r="L575" s="524"/>
      <c r="M575" s="524"/>
      <c r="N575" s="524"/>
      <c r="O575" s="524"/>
      <c r="P575" s="524"/>
      <c r="Q575" s="524"/>
      <c r="R575" s="524"/>
      <c r="S575" s="524"/>
      <c r="T575" s="524"/>
      <c r="U575" s="524"/>
      <c r="V575" s="524"/>
      <c r="W575" s="524"/>
      <c r="X575" s="524"/>
      <c r="Y575" s="524"/>
      <c r="Z575" s="524"/>
      <c r="AA575" s="524"/>
      <c r="AB575" s="524"/>
      <c r="AC575" s="524"/>
      <c r="AD575" s="524"/>
      <c r="AE575" s="524"/>
      <c r="AF575" s="524"/>
      <c r="AG575" s="524"/>
      <c r="AH575" s="524"/>
      <c r="AI575" s="524"/>
      <c r="AJ575" s="524"/>
      <c r="AK575" s="524"/>
      <c r="AL575" s="524"/>
      <c r="AM575" s="524"/>
      <c r="AN575" s="524"/>
      <c r="AO575" s="524"/>
      <c r="AP575" s="524"/>
      <c r="AQ575" s="524"/>
      <c r="AR575" s="524"/>
      <c r="AS575" s="524"/>
      <c r="AT575" s="524"/>
      <c r="AU575" s="524"/>
      <c r="AV575" s="524"/>
      <c r="AW575" s="524"/>
      <c r="AX575" s="524"/>
      <c r="AY575" s="524"/>
      <c r="AZ575" s="524"/>
      <c r="BA575" s="524"/>
      <c r="BB575" s="524"/>
      <c r="BC575" s="524"/>
      <c r="BD575" s="524"/>
      <c r="BE575" s="524"/>
      <c r="BF575" s="524"/>
      <c r="BG575" s="524"/>
      <c r="BH575" s="524"/>
      <c r="BI575" s="524"/>
      <c r="BJ575" s="524"/>
      <c r="BK575" s="524"/>
      <c r="BL575" s="524"/>
      <c r="BM575" s="524"/>
      <c r="BN575" s="524"/>
      <c r="BO575" s="524"/>
      <c r="BP575" s="524"/>
      <c r="BQ575" s="524"/>
      <c r="BR575" s="524"/>
      <c r="BS575" s="524"/>
      <c r="BT575" s="524"/>
      <c r="BU575" s="524"/>
      <c r="BV575" s="524"/>
      <c r="BW575" s="524"/>
      <c r="BX575" s="524"/>
      <c r="BY575" s="524"/>
      <c r="BZ575" s="524"/>
      <c r="CA575" s="524"/>
      <c r="CB575" s="524"/>
      <c r="CC575" s="524"/>
      <c r="CD575" s="524"/>
      <c r="CE575" s="524"/>
      <c r="CF575" s="524"/>
      <c r="CG575" s="524"/>
      <c r="CH575" s="524"/>
      <c r="CI575" s="524"/>
      <c r="CJ575" s="524"/>
      <c r="CK575" s="524"/>
      <c r="CL575" s="524"/>
      <c r="CM575" s="524"/>
      <c r="CN575" s="524"/>
      <c r="CO575" s="524"/>
      <c r="CP575" s="524"/>
      <c r="CQ575" s="524"/>
      <c r="CR575" s="524"/>
      <c r="CS575" s="524"/>
      <c r="CT575" s="524"/>
      <c r="CU575" s="524"/>
      <c r="CV575" s="524"/>
      <c r="CW575" s="524"/>
      <c r="CX575" s="524"/>
      <c r="CY575" s="524"/>
      <c r="CZ575" s="524"/>
      <c r="DA575" s="243"/>
    </row>
    <row r="576" spans="1:105"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c r="BI576" s="43"/>
      <c r="BJ576" s="43"/>
      <c r="BK576" s="43"/>
      <c r="BL576" s="43"/>
      <c r="BM576" s="43"/>
      <c r="BN576" s="43"/>
      <c r="BO576" s="43"/>
      <c r="BP576" s="43"/>
      <c r="BQ576" s="43"/>
      <c r="BR576" s="43"/>
      <c r="BS576" s="43"/>
      <c r="BT576" s="43"/>
      <c r="BU576" s="43"/>
      <c r="BV576" s="43"/>
      <c r="BW576" s="43"/>
      <c r="BX576" s="43"/>
      <c r="BY576" s="43"/>
      <c r="BZ576" s="43"/>
      <c r="CA576" s="43"/>
      <c r="CB576" s="43"/>
      <c r="CC576" s="43"/>
      <c r="CD576" s="43"/>
      <c r="CE576" s="43"/>
      <c r="CF576" s="43"/>
      <c r="CG576" s="43"/>
      <c r="CH576" s="43"/>
      <c r="CI576" s="43"/>
      <c r="CJ576" s="43"/>
      <c r="CK576" s="43"/>
      <c r="CL576" s="43"/>
      <c r="CM576" s="43"/>
      <c r="CN576" s="43"/>
      <c r="CO576" s="43"/>
      <c r="CP576" s="43"/>
      <c r="CQ576" s="43"/>
      <c r="CR576" s="43"/>
      <c r="CS576" s="43"/>
      <c r="CT576" s="43"/>
      <c r="CU576" s="43"/>
      <c r="CV576" s="43"/>
      <c r="CW576" s="43"/>
      <c r="CX576" s="43"/>
      <c r="CY576" s="43"/>
      <c r="CZ576" s="43"/>
      <c r="DA576" s="243"/>
    </row>
    <row r="577" spans="1:105" x14ac:dyDescent="0.25">
      <c r="A577" s="20" t="s">
        <v>47</v>
      </c>
      <c r="B577" s="20"/>
      <c r="C577" s="20"/>
      <c r="D577" s="20"/>
      <c r="E577" s="20"/>
      <c r="F577" s="20"/>
      <c r="G577" s="20"/>
      <c r="H577" s="20"/>
      <c r="I577" s="20"/>
      <c r="J577" s="20"/>
      <c r="K577" s="20"/>
      <c r="L577" s="20"/>
      <c r="M577" s="20"/>
      <c r="N577" s="20"/>
      <c r="O577" s="20"/>
      <c r="P577" s="20"/>
      <c r="Q577" s="20"/>
      <c r="R577" s="20"/>
      <c r="S577" s="20"/>
      <c r="T577" s="20"/>
      <c r="U577" s="20"/>
      <c r="V577" s="20"/>
      <c r="W577" s="595" t="s">
        <v>587</v>
      </c>
      <c r="X577" s="595"/>
      <c r="Y577" s="595"/>
      <c r="Z577" s="595"/>
      <c r="AA577" s="595"/>
      <c r="AB577" s="595"/>
      <c r="AC577" s="595"/>
      <c r="AD577" s="595"/>
      <c r="AE577" s="595"/>
      <c r="AF577" s="595"/>
      <c r="AG577" s="595"/>
      <c r="AH577" s="595"/>
      <c r="AI577" s="595"/>
      <c r="AJ577" s="595"/>
      <c r="AK577" s="595"/>
      <c r="AL577" s="595"/>
      <c r="AM577" s="595"/>
      <c r="AN577" s="595"/>
      <c r="AO577" s="595"/>
      <c r="AP577" s="595"/>
      <c r="AQ577" s="595"/>
      <c r="AR577" s="595"/>
      <c r="AS577" s="595"/>
      <c r="AT577" s="595"/>
      <c r="AU577" s="595"/>
      <c r="AV577" s="595"/>
      <c r="AW577" s="595"/>
      <c r="AX577" s="595"/>
      <c r="AY577" s="595"/>
      <c r="AZ577" s="595"/>
      <c r="BA577" s="595"/>
      <c r="BB577" s="595"/>
      <c r="BC577" s="595"/>
      <c r="BD577" s="595"/>
      <c r="BE577" s="595"/>
      <c r="BF577" s="595"/>
      <c r="BG577" s="595"/>
      <c r="BH577" s="595"/>
      <c r="BI577" s="595"/>
      <c r="BJ577" s="595"/>
      <c r="BK577" s="595"/>
      <c r="BL577" s="595"/>
      <c r="BM577" s="595"/>
      <c r="BN577" s="595"/>
      <c r="BO577" s="595"/>
      <c r="BP577" s="595"/>
      <c r="BQ577" s="595"/>
      <c r="BR577" s="595"/>
      <c r="BS577" s="595"/>
      <c r="BT577" s="595"/>
      <c r="BU577" s="595"/>
      <c r="BV577" s="595"/>
      <c r="BW577" s="595"/>
      <c r="BX577" s="595"/>
      <c r="BY577" s="595"/>
      <c r="BZ577" s="595"/>
      <c r="CA577" s="595"/>
      <c r="CB577" s="595"/>
      <c r="CC577" s="595"/>
      <c r="CD577" s="595"/>
      <c r="CE577" s="595"/>
      <c r="CF577" s="595"/>
      <c r="CG577" s="595"/>
      <c r="CH577" s="595"/>
      <c r="CI577" s="595"/>
      <c r="CJ577" s="595"/>
      <c r="CK577" s="595"/>
      <c r="CL577" s="595"/>
      <c r="CM577" s="595"/>
      <c r="CN577" s="595"/>
      <c r="CO577" s="595"/>
      <c r="CP577" s="595"/>
      <c r="CQ577" s="595"/>
      <c r="CR577" s="595"/>
      <c r="CS577" s="595"/>
      <c r="CT577" s="595"/>
      <c r="CU577" s="595"/>
      <c r="CV577" s="595"/>
      <c r="CW577" s="595"/>
      <c r="CX577" s="595"/>
      <c r="CY577" s="595"/>
      <c r="CZ577" s="595"/>
      <c r="DA577" s="243"/>
    </row>
    <row r="578" spans="1:105"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c r="BI578" s="43"/>
      <c r="BJ578" s="43"/>
      <c r="BK578" s="43"/>
      <c r="BL578" s="43"/>
      <c r="BM578" s="43"/>
      <c r="BN578" s="43"/>
      <c r="BO578" s="43"/>
      <c r="BP578" s="43"/>
      <c r="BQ578" s="43"/>
      <c r="BR578" s="43"/>
      <c r="BS578" s="43"/>
      <c r="BT578" s="43"/>
      <c r="BU578" s="43"/>
      <c r="BV578" s="43"/>
      <c r="BW578" s="43"/>
      <c r="BX578" s="43"/>
      <c r="BY578" s="43"/>
      <c r="BZ578" s="43"/>
      <c r="CA578" s="43"/>
      <c r="CB578" s="43"/>
      <c r="CC578" s="43"/>
      <c r="CD578" s="43"/>
      <c r="CE578" s="43"/>
      <c r="CF578" s="43"/>
      <c r="CG578" s="43"/>
      <c r="CH578" s="43"/>
      <c r="CI578" s="43"/>
      <c r="CJ578" s="43"/>
      <c r="CK578" s="43"/>
      <c r="CL578" s="43"/>
      <c r="CM578" s="43"/>
      <c r="CN578" s="43"/>
      <c r="CO578" s="43"/>
      <c r="CP578" s="43"/>
      <c r="CQ578" s="43"/>
      <c r="CR578" s="43"/>
      <c r="CS578" s="43"/>
      <c r="CT578" s="43"/>
      <c r="CU578" s="43"/>
      <c r="CV578" s="43"/>
      <c r="CW578" s="43"/>
      <c r="CX578" s="43"/>
      <c r="CY578" s="43"/>
      <c r="CZ578" s="43"/>
      <c r="DA578" s="243"/>
    </row>
    <row r="579" spans="1:105" ht="22.95" customHeight="1" x14ac:dyDescent="0.25">
      <c r="A579" s="475" t="s">
        <v>49</v>
      </c>
      <c r="B579" s="476"/>
      <c r="C579" s="476"/>
      <c r="D579" s="476"/>
      <c r="E579" s="476"/>
      <c r="F579" s="476"/>
      <c r="G579" s="477"/>
      <c r="H579" s="475" t="s">
        <v>0</v>
      </c>
      <c r="I579" s="476"/>
      <c r="J579" s="476"/>
      <c r="K579" s="476"/>
      <c r="L579" s="476"/>
      <c r="M579" s="476"/>
      <c r="N579" s="476"/>
      <c r="O579" s="476"/>
      <c r="P579" s="476"/>
      <c r="Q579" s="476"/>
      <c r="R579" s="476"/>
      <c r="S579" s="476"/>
      <c r="T579" s="476"/>
      <c r="U579" s="476"/>
      <c r="V579" s="476"/>
      <c r="W579" s="476"/>
      <c r="X579" s="476"/>
      <c r="Y579" s="476"/>
      <c r="Z579" s="476"/>
      <c r="AA579" s="476"/>
      <c r="AB579" s="476"/>
      <c r="AC579" s="476"/>
      <c r="AD579" s="476"/>
      <c r="AE579" s="476"/>
      <c r="AF579" s="476"/>
      <c r="AG579" s="476"/>
      <c r="AH579" s="476"/>
      <c r="AI579" s="476"/>
      <c r="AJ579" s="476"/>
      <c r="AK579" s="476"/>
      <c r="AL579" s="476"/>
      <c r="AM579" s="476"/>
      <c r="AN579" s="476"/>
      <c r="AO579" s="476"/>
      <c r="AP579" s="476"/>
      <c r="AQ579" s="476"/>
      <c r="AR579" s="476"/>
      <c r="AS579" s="476"/>
      <c r="AT579" s="476"/>
      <c r="AU579" s="476"/>
      <c r="AV579" s="476"/>
      <c r="AW579" s="476"/>
      <c r="AX579" s="476"/>
      <c r="AY579" s="476"/>
      <c r="AZ579" s="476"/>
      <c r="BA579" s="476"/>
      <c r="BB579" s="477"/>
      <c r="BC579" s="597" t="s">
        <v>91</v>
      </c>
      <c r="BD579" s="598"/>
      <c r="BE579" s="598"/>
      <c r="BF579" s="598"/>
      <c r="BG579" s="598"/>
      <c r="BH579" s="598"/>
      <c r="BI579" s="598"/>
      <c r="BJ579" s="598"/>
      <c r="BK579" s="598"/>
      <c r="BL579" s="598"/>
      <c r="BM579" s="598"/>
      <c r="BN579" s="598"/>
      <c r="BO579" s="598"/>
      <c r="BP579" s="598"/>
      <c r="BQ579" s="598"/>
      <c r="BR579" s="599"/>
      <c r="BS579" s="597" t="s">
        <v>96</v>
      </c>
      <c r="BT579" s="598"/>
      <c r="BU579" s="598"/>
      <c r="BV579" s="598"/>
      <c r="BW579" s="598"/>
      <c r="BX579" s="598"/>
      <c r="BY579" s="598"/>
      <c r="BZ579" s="598"/>
      <c r="CA579" s="598"/>
      <c r="CB579" s="598"/>
      <c r="CC579" s="598"/>
      <c r="CD579" s="598"/>
      <c r="CE579" s="598"/>
      <c r="CF579" s="598"/>
      <c r="CG579" s="598"/>
      <c r="CH579" s="599"/>
      <c r="CI579" s="597" t="s">
        <v>97</v>
      </c>
      <c r="CJ579" s="598"/>
      <c r="CK579" s="598"/>
      <c r="CL579" s="598"/>
      <c r="CM579" s="598"/>
      <c r="CN579" s="598"/>
      <c r="CO579" s="598"/>
      <c r="CP579" s="598"/>
      <c r="CQ579" s="598"/>
      <c r="CR579" s="598"/>
      <c r="CS579" s="598"/>
      <c r="CT579" s="598"/>
      <c r="CU579" s="598"/>
      <c r="CV579" s="598"/>
      <c r="CW579" s="598"/>
      <c r="CX579" s="598"/>
      <c r="CY579" s="598"/>
      <c r="CZ579" s="599"/>
      <c r="DA579" s="243"/>
    </row>
    <row r="580" spans="1:105" x14ac:dyDescent="0.25">
      <c r="A580" s="591">
        <v>1</v>
      </c>
      <c r="B580" s="591"/>
      <c r="C580" s="591"/>
      <c r="D580" s="591"/>
      <c r="E580" s="591"/>
      <c r="F580" s="591"/>
      <c r="G580" s="591"/>
      <c r="H580" s="591">
        <v>2</v>
      </c>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1"/>
      <c r="AL580" s="591"/>
      <c r="AM580" s="591"/>
      <c r="AN580" s="591"/>
      <c r="AO580" s="591"/>
      <c r="AP580" s="591"/>
      <c r="AQ580" s="591"/>
      <c r="AR580" s="591"/>
      <c r="AS580" s="591"/>
      <c r="AT580" s="591"/>
      <c r="AU580" s="591"/>
      <c r="AV580" s="591"/>
      <c r="AW580" s="591"/>
      <c r="AX580" s="591"/>
      <c r="AY580" s="591"/>
      <c r="AZ580" s="591"/>
      <c r="BA580" s="591"/>
      <c r="BB580" s="591"/>
      <c r="BC580" s="591">
        <v>3</v>
      </c>
      <c r="BD580" s="591"/>
      <c r="BE580" s="591"/>
      <c r="BF580" s="591"/>
      <c r="BG580" s="591"/>
      <c r="BH580" s="591"/>
      <c r="BI580" s="591"/>
      <c r="BJ580" s="591"/>
      <c r="BK580" s="591"/>
      <c r="BL580" s="591"/>
      <c r="BM580" s="591"/>
      <c r="BN580" s="591"/>
      <c r="BO580" s="591"/>
      <c r="BP580" s="591"/>
      <c r="BQ580" s="591"/>
      <c r="BR580" s="591"/>
      <c r="BS580" s="591">
        <v>4</v>
      </c>
      <c r="BT580" s="591"/>
      <c r="BU580" s="591"/>
      <c r="BV580" s="591"/>
      <c r="BW580" s="591"/>
      <c r="BX580" s="591"/>
      <c r="BY580" s="591"/>
      <c r="BZ580" s="591"/>
      <c r="CA580" s="591"/>
      <c r="CB580" s="591"/>
      <c r="CC580" s="591"/>
      <c r="CD580" s="591"/>
      <c r="CE580" s="591"/>
      <c r="CF580" s="591"/>
      <c r="CG580" s="591"/>
      <c r="CH580" s="591"/>
      <c r="CI580" s="591">
        <v>5</v>
      </c>
      <c r="CJ580" s="591"/>
      <c r="CK580" s="591"/>
      <c r="CL580" s="591"/>
      <c r="CM580" s="591"/>
      <c r="CN580" s="591"/>
      <c r="CO580" s="591"/>
      <c r="CP580" s="591"/>
      <c r="CQ580" s="591"/>
      <c r="CR580" s="591"/>
      <c r="CS580" s="591"/>
      <c r="CT580" s="591"/>
      <c r="CU580" s="591"/>
      <c r="CV580" s="591"/>
      <c r="CW580" s="591"/>
      <c r="CX580" s="591"/>
      <c r="CY580" s="591"/>
      <c r="CZ580" s="591"/>
      <c r="DA580" s="243"/>
    </row>
    <row r="581" spans="1:105" x14ac:dyDescent="0.25">
      <c r="A581" s="648" t="s">
        <v>584</v>
      </c>
      <c r="B581" s="649"/>
      <c r="C581" s="649"/>
      <c r="D581" s="649"/>
      <c r="E581" s="649"/>
      <c r="F581" s="649"/>
      <c r="G581" s="649"/>
      <c r="H581" s="649"/>
      <c r="I581" s="649"/>
      <c r="J581" s="649"/>
      <c r="K581" s="649"/>
      <c r="L581" s="649"/>
      <c r="M581" s="649"/>
      <c r="N581" s="649"/>
      <c r="O581" s="649"/>
      <c r="P581" s="649"/>
      <c r="Q581" s="649"/>
      <c r="R581" s="649"/>
      <c r="S581" s="649"/>
      <c r="T581" s="649"/>
      <c r="U581" s="649"/>
      <c r="V581" s="649"/>
      <c r="W581" s="649"/>
      <c r="X581" s="649"/>
      <c r="Y581" s="649"/>
      <c r="Z581" s="649"/>
      <c r="AA581" s="649"/>
      <c r="AB581" s="649"/>
      <c r="AC581" s="649"/>
      <c r="AD581" s="649"/>
      <c r="AE581" s="649"/>
      <c r="AF581" s="649"/>
      <c r="AG581" s="649"/>
      <c r="AH581" s="649"/>
      <c r="AI581" s="649"/>
      <c r="AJ581" s="649"/>
      <c r="AK581" s="649"/>
      <c r="AL581" s="649"/>
      <c r="AM581" s="649"/>
      <c r="AN581" s="649"/>
      <c r="AO581" s="649"/>
      <c r="AP581" s="649"/>
      <c r="AQ581" s="649"/>
      <c r="AR581" s="649"/>
      <c r="AS581" s="649"/>
      <c r="AT581" s="649"/>
      <c r="AU581" s="649"/>
      <c r="AV581" s="649"/>
      <c r="AW581" s="649"/>
      <c r="AX581" s="649"/>
      <c r="AY581" s="649"/>
      <c r="AZ581" s="649"/>
      <c r="BA581" s="649"/>
      <c r="BB581" s="649"/>
      <c r="BC581" s="649"/>
      <c r="BD581" s="649"/>
      <c r="BE581" s="649"/>
      <c r="BF581" s="649"/>
      <c r="BG581" s="649"/>
      <c r="BH581" s="649"/>
      <c r="BI581" s="649"/>
      <c r="BJ581" s="649"/>
      <c r="BK581" s="649"/>
      <c r="BL581" s="649"/>
      <c r="BM581" s="649"/>
      <c r="BN581" s="649"/>
      <c r="BO581" s="649"/>
      <c r="BP581" s="649"/>
      <c r="BQ581" s="649"/>
      <c r="BR581" s="649"/>
      <c r="BS581" s="649"/>
      <c r="BT581" s="649"/>
      <c r="BU581" s="649"/>
      <c r="BV581" s="649"/>
      <c r="BW581" s="649"/>
      <c r="BX581" s="649"/>
      <c r="BY581" s="649"/>
      <c r="BZ581" s="649"/>
      <c r="CA581" s="649"/>
      <c r="CB581" s="649"/>
      <c r="CC581" s="649"/>
      <c r="CD581" s="649"/>
      <c r="CE581" s="649"/>
      <c r="CF581" s="649"/>
      <c r="CG581" s="649"/>
      <c r="CH581" s="649"/>
      <c r="CI581" s="649"/>
      <c r="CJ581" s="649"/>
      <c r="CK581" s="649"/>
      <c r="CL581" s="649"/>
      <c r="CM581" s="649"/>
      <c r="CN581" s="649"/>
      <c r="CO581" s="649"/>
      <c r="CP581" s="649"/>
      <c r="CQ581" s="649"/>
      <c r="CR581" s="649"/>
      <c r="CS581" s="649"/>
      <c r="CT581" s="649"/>
      <c r="CU581" s="649"/>
      <c r="CV581" s="649"/>
      <c r="CW581" s="649"/>
      <c r="CX581" s="649"/>
      <c r="CY581" s="649"/>
      <c r="CZ581" s="649"/>
      <c r="DA581" s="243"/>
    </row>
    <row r="582" spans="1:105" x14ac:dyDescent="0.25">
      <c r="A582" s="630" t="s">
        <v>441</v>
      </c>
      <c r="B582" s="631"/>
      <c r="C582" s="631"/>
      <c r="D582" s="631"/>
      <c r="E582" s="631"/>
      <c r="F582" s="631"/>
      <c r="G582" s="632"/>
      <c r="H582" s="584" t="s">
        <v>968</v>
      </c>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5"/>
      <c r="AL582" s="585"/>
      <c r="AM582" s="585"/>
      <c r="AN582" s="585"/>
      <c r="AO582" s="585"/>
      <c r="AP582" s="585"/>
      <c r="AQ582" s="585"/>
      <c r="AR582" s="585"/>
      <c r="AS582" s="585"/>
      <c r="AT582" s="585"/>
      <c r="AU582" s="585"/>
      <c r="AV582" s="585"/>
      <c r="AW582" s="585"/>
      <c r="AX582" s="585"/>
      <c r="AY582" s="585"/>
      <c r="AZ582" s="585"/>
      <c r="BA582" s="585"/>
      <c r="BB582" s="586"/>
      <c r="BC582" s="544">
        <v>1</v>
      </c>
      <c r="BD582" s="545"/>
      <c r="BE582" s="545"/>
      <c r="BF582" s="545"/>
      <c r="BG582" s="545"/>
      <c r="BH582" s="545"/>
      <c r="BI582" s="545"/>
      <c r="BJ582" s="545"/>
      <c r="BK582" s="545"/>
      <c r="BL582" s="545"/>
      <c r="BM582" s="545"/>
      <c r="BN582" s="545"/>
      <c r="BO582" s="545"/>
      <c r="BP582" s="545"/>
      <c r="BQ582" s="545"/>
      <c r="BR582" s="546"/>
      <c r="BS582" s="627">
        <f>14000+731</f>
        <v>14731</v>
      </c>
      <c r="BT582" s="628"/>
      <c r="BU582" s="628"/>
      <c r="BV582" s="628"/>
      <c r="BW582" s="628"/>
      <c r="BX582" s="628"/>
      <c r="BY582" s="628"/>
      <c r="BZ582" s="628"/>
      <c r="CA582" s="628"/>
      <c r="CB582" s="628"/>
      <c r="CC582" s="628"/>
      <c r="CD582" s="628"/>
      <c r="CE582" s="628"/>
      <c r="CF582" s="628"/>
      <c r="CG582" s="628"/>
      <c r="CH582" s="629"/>
      <c r="CI582" s="627">
        <f>BC582*BS582</f>
        <v>14731</v>
      </c>
      <c r="CJ582" s="628"/>
      <c r="CK582" s="628"/>
      <c r="CL582" s="628"/>
      <c r="CM582" s="628"/>
      <c r="CN582" s="628"/>
      <c r="CO582" s="628"/>
      <c r="CP582" s="628"/>
      <c r="CQ582" s="628"/>
      <c r="CR582" s="628"/>
      <c r="CS582" s="628"/>
      <c r="CT582" s="628"/>
      <c r="CU582" s="628"/>
      <c r="CV582" s="628"/>
      <c r="CW582" s="628"/>
      <c r="CX582" s="628"/>
      <c r="CY582" s="628"/>
      <c r="CZ582" s="629"/>
      <c r="DA582" s="243"/>
    </row>
    <row r="583" spans="1:105" x14ac:dyDescent="0.25">
      <c r="A583" s="630" t="s">
        <v>444</v>
      </c>
      <c r="B583" s="631"/>
      <c r="C583" s="631"/>
      <c r="D583" s="631"/>
      <c r="E583" s="631"/>
      <c r="F583" s="631"/>
      <c r="G583" s="632"/>
      <c r="H583" s="584" t="s">
        <v>1062</v>
      </c>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5"/>
      <c r="AL583" s="585"/>
      <c r="AM583" s="585"/>
      <c r="AN583" s="585"/>
      <c r="AO583" s="585"/>
      <c r="AP583" s="585"/>
      <c r="AQ583" s="585"/>
      <c r="AR583" s="585"/>
      <c r="AS583" s="585"/>
      <c r="AT583" s="585"/>
      <c r="AU583" s="585"/>
      <c r="AV583" s="585"/>
      <c r="AW583" s="585"/>
      <c r="AX583" s="585"/>
      <c r="AY583" s="585"/>
      <c r="AZ583" s="585"/>
      <c r="BA583" s="585"/>
      <c r="BB583" s="586"/>
      <c r="BC583" s="544">
        <v>1</v>
      </c>
      <c r="BD583" s="545"/>
      <c r="BE583" s="545"/>
      <c r="BF583" s="545"/>
      <c r="BG583" s="545"/>
      <c r="BH583" s="545"/>
      <c r="BI583" s="545"/>
      <c r="BJ583" s="545"/>
      <c r="BK583" s="545"/>
      <c r="BL583" s="545"/>
      <c r="BM583" s="545"/>
      <c r="BN583" s="545"/>
      <c r="BO583" s="545"/>
      <c r="BP583" s="545"/>
      <c r="BQ583" s="545"/>
      <c r="BR583" s="546"/>
      <c r="BS583" s="627">
        <v>27300</v>
      </c>
      <c r="BT583" s="628"/>
      <c r="BU583" s="628"/>
      <c r="BV583" s="628"/>
      <c r="BW583" s="628"/>
      <c r="BX583" s="628"/>
      <c r="BY583" s="628"/>
      <c r="BZ583" s="628"/>
      <c r="CA583" s="628"/>
      <c r="CB583" s="628"/>
      <c r="CC583" s="628"/>
      <c r="CD583" s="628"/>
      <c r="CE583" s="628"/>
      <c r="CF583" s="628"/>
      <c r="CG583" s="628"/>
      <c r="CH583" s="629"/>
      <c r="CI583" s="627">
        <f t="shared" ref="CI583:CI592" si="10">BC583*BS583</f>
        <v>27300</v>
      </c>
      <c r="CJ583" s="628"/>
      <c r="CK583" s="628"/>
      <c r="CL583" s="628"/>
      <c r="CM583" s="628"/>
      <c r="CN583" s="628"/>
      <c r="CO583" s="628"/>
      <c r="CP583" s="628"/>
      <c r="CQ583" s="628"/>
      <c r="CR583" s="628"/>
      <c r="CS583" s="628"/>
      <c r="CT583" s="628"/>
      <c r="CU583" s="628"/>
      <c r="CV583" s="628"/>
      <c r="CW583" s="628"/>
      <c r="CX583" s="628"/>
      <c r="CY583" s="628"/>
      <c r="CZ583" s="629"/>
      <c r="DA583" s="243"/>
    </row>
    <row r="584" spans="1:105" x14ac:dyDescent="0.25">
      <c r="A584" s="630" t="s">
        <v>446</v>
      </c>
      <c r="B584" s="631"/>
      <c r="C584" s="631"/>
      <c r="D584" s="631"/>
      <c r="E584" s="631"/>
      <c r="F584" s="631"/>
      <c r="G584" s="632"/>
      <c r="H584" s="584" t="s">
        <v>1089</v>
      </c>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5"/>
      <c r="AL584" s="585"/>
      <c r="AM584" s="585"/>
      <c r="AN584" s="585"/>
      <c r="AO584" s="585"/>
      <c r="AP584" s="585"/>
      <c r="AQ584" s="585"/>
      <c r="AR584" s="585"/>
      <c r="AS584" s="585"/>
      <c r="AT584" s="585"/>
      <c r="AU584" s="585"/>
      <c r="AV584" s="585"/>
      <c r="AW584" s="585"/>
      <c r="AX584" s="585"/>
      <c r="AY584" s="585"/>
      <c r="AZ584" s="585"/>
      <c r="BA584" s="585"/>
      <c r="BB584" s="586"/>
      <c r="BC584" s="544">
        <v>1</v>
      </c>
      <c r="BD584" s="545"/>
      <c r="BE584" s="545"/>
      <c r="BF584" s="545"/>
      <c r="BG584" s="545"/>
      <c r="BH584" s="545"/>
      <c r="BI584" s="545"/>
      <c r="BJ584" s="545"/>
      <c r="BK584" s="545"/>
      <c r="BL584" s="545"/>
      <c r="BM584" s="545"/>
      <c r="BN584" s="545"/>
      <c r="BO584" s="545"/>
      <c r="BP584" s="545"/>
      <c r="BQ584" s="545"/>
      <c r="BR584" s="546"/>
      <c r="BS584" s="627">
        <v>4599</v>
      </c>
      <c r="BT584" s="628"/>
      <c r="BU584" s="628"/>
      <c r="BV584" s="628"/>
      <c r="BW584" s="628"/>
      <c r="BX584" s="628"/>
      <c r="BY584" s="628"/>
      <c r="BZ584" s="628"/>
      <c r="CA584" s="628"/>
      <c r="CB584" s="628"/>
      <c r="CC584" s="628"/>
      <c r="CD584" s="628"/>
      <c r="CE584" s="628"/>
      <c r="CF584" s="628"/>
      <c r="CG584" s="628"/>
      <c r="CH584" s="629"/>
      <c r="CI584" s="627">
        <f t="shared" si="10"/>
        <v>4599</v>
      </c>
      <c r="CJ584" s="628"/>
      <c r="CK584" s="628"/>
      <c r="CL584" s="628"/>
      <c r="CM584" s="628"/>
      <c r="CN584" s="628"/>
      <c r="CO584" s="628"/>
      <c r="CP584" s="628"/>
      <c r="CQ584" s="628"/>
      <c r="CR584" s="628"/>
      <c r="CS584" s="628"/>
      <c r="CT584" s="628"/>
      <c r="CU584" s="628"/>
      <c r="CV584" s="628"/>
      <c r="CW584" s="628"/>
      <c r="CX584" s="628"/>
      <c r="CY584" s="628"/>
      <c r="CZ584" s="629"/>
      <c r="DA584" s="243"/>
    </row>
    <row r="585" spans="1:105" x14ac:dyDescent="0.25">
      <c r="A585" s="630" t="s">
        <v>462</v>
      </c>
      <c r="B585" s="631"/>
      <c r="C585" s="631"/>
      <c r="D585" s="631"/>
      <c r="E585" s="631"/>
      <c r="F585" s="631"/>
      <c r="G585" s="632"/>
      <c r="H585" s="584" t="s">
        <v>971</v>
      </c>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5"/>
      <c r="AL585" s="585"/>
      <c r="AM585" s="585"/>
      <c r="AN585" s="585"/>
      <c r="AO585" s="585"/>
      <c r="AP585" s="585"/>
      <c r="AQ585" s="585"/>
      <c r="AR585" s="585"/>
      <c r="AS585" s="585"/>
      <c r="AT585" s="585"/>
      <c r="AU585" s="585"/>
      <c r="AV585" s="585"/>
      <c r="AW585" s="585"/>
      <c r="AX585" s="585"/>
      <c r="AY585" s="585"/>
      <c r="AZ585" s="585"/>
      <c r="BA585" s="585"/>
      <c r="BB585" s="586"/>
      <c r="BC585" s="544">
        <v>1</v>
      </c>
      <c r="BD585" s="545"/>
      <c r="BE585" s="545"/>
      <c r="BF585" s="545"/>
      <c r="BG585" s="545"/>
      <c r="BH585" s="545"/>
      <c r="BI585" s="545"/>
      <c r="BJ585" s="545"/>
      <c r="BK585" s="545"/>
      <c r="BL585" s="545"/>
      <c r="BM585" s="545"/>
      <c r="BN585" s="545"/>
      <c r="BO585" s="545"/>
      <c r="BP585" s="545"/>
      <c r="BQ585" s="545"/>
      <c r="BR585" s="546"/>
      <c r="BS585" s="627">
        <f>198350-27300-30047</f>
        <v>141003</v>
      </c>
      <c r="BT585" s="628"/>
      <c r="BU585" s="628"/>
      <c r="BV585" s="628"/>
      <c r="BW585" s="628"/>
      <c r="BX585" s="628"/>
      <c r="BY585" s="628"/>
      <c r="BZ585" s="628"/>
      <c r="CA585" s="628"/>
      <c r="CB585" s="628"/>
      <c r="CC585" s="628"/>
      <c r="CD585" s="628"/>
      <c r="CE585" s="628"/>
      <c r="CF585" s="628"/>
      <c r="CG585" s="628"/>
      <c r="CH585" s="629"/>
      <c r="CI585" s="627">
        <f t="shared" si="10"/>
        <v>141003</v>
      </c>
      <c r="CJ585" s="628"/>
      <c r="CK585" s="628"/>
      <c r="CL585" s="628"/>
      <c r="CM585" s="628"/>
      <c r="CN585" s="628"/>
      <c r="CO585" s="628"/>
      <c r="CP585" s="628"/>
      <c r="CQ585" s="628"/>
      <c r="CR585" s="628"/>
      <c r="CS585" s="628"/>
      <c r="CT585" s="628"/>
      <c r="CU585" s="628"/>
      <c r="CV585" s="628"/>
      <c r="CW585" s="628"/>
      <c r="CX585" s="628"/>
      <c r="CY585" s="628"/>
      <c r="CZ585" s="629"/>
      <c r="DA585" s="243"/>
    </row>
    <row r="586" spans="1:105" x14ac:dyDescent="0.25">
      <c r="A586" s="630" t="s">
        <v>477</v>
      </c>
      <c r="B586" s="631"/>
      <c r="C586" s="631"/>
      <c r="D586" s="631"/>
      <c r="E586" s="631"/>
      <c r="F586" s="631"/>
      <c r="G586" s="632"/>
      <c r="H586" s="584" t="s">
        <v>931</v>
      </c>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5"/>
      <c r="AL586" s="585"/>
      <c r="AM586" s="585"/>
      <c r="AN586" s="585"/>
      <c r="AO586" s="585"/>
      <c r="AP586" s="585"/>
      <c r="AQ586" s="585"/>
      <c r="AR586" s="585"/>
      <c r="AS586" s="585"/>
      <c r="AT586" s="585"/>
      <c r="AU586" s="585"/>
      <c r="AV586" s="585"/>
      <c r="AW586" s="585"/>
      <c r="AX586" s="585"/>
      <c r="AY586" s="585"/>
      <c r="AZ586" s="585"/>
      <c r="BA586" s="585"/>
      <c r="BB586" s="586"/>
      <c r="BC586" s="544">
        <v>4</v>
      </c>
      <c r="BD586" s="545"/>
      <c r="BE586" s="545"/>
      <c r="BF586" s="545"/>
      <c r="BG586" s="545"/>
      <c r="BH586" s="545"/>
      <c r="BI586" s="545"/>
      <c r="BJ586" s="545"/>
      <c r="BK586" s="545"/>
      <c r="BL586" s="545"/>
      <c r="BM586" s="545"/>
      <c r="BN586" s="545"/>
      <c r="BO586" s="545"/>
      <c r="BP586" s="545"/>
      <c r="BQ586" s="545"/>
      <c r="BR586" s="546"/>
      <c r="BS586" s="627">
        <v>4149.25</v>
      </c>
      <c r="BT586" s="628"/>
      <c r="BU586" s="628"/>
      <c r="BV586" s="628"/>
      <c r="BW586" s="628"/>
      <c r="BX586" s="628"/>
      <c r="BY586" s="628"/>
      <c r="BZ586" s="628"/>
      <c r="CA586" s="628"/>
      <c r="CB586" s="628"/>
      <c r="CC586" s="628"/>
      <c r="CD586" s="628"/>
      <c r="CE586" s="628"/>
      <c r="CF586" s="628"/>
      <c r="CG586" s="628"/>
      <c r="CH586" s="629"/>
      <c r="CI586" s="627">
        <f t="shared" si="10"/>
        <v>16597</v>
      </c>
      <c r="CJ586" s="628"/>
      <c r="CK586" s="628"/>
      <c r="CL586" s="628"/>
      <c r="CM586" s="628"/>
      <c r="CN586" s="628"/>
      <c r="CO586" s="628"/>
      <c r="CP586" s="628"/>
      <c r="CQ586" s="628"/>
      <c r="CR586" s="628"/>
      <c r="CS586" s="628"/>
      <c r="CT586" s="628"/>
      <c r="CU586" s="628"/>
      <c r="CV586" s="628"/>
      <c r="CW586" s="628"/>
      <c r="CX586" s="628"/>
      <c r="CY586" s="628"/>
      <c r="CZ586" s="629"/>
      <c r="DA586" s="243"/>
    </row>
    <row r="587" spans="1:105" x14ac:dyDescent="0.25">
      <c r="A587" s="630" t="s">
        <v>479</v>
      </c>
      <c r="B587" s="631"/>
      <c r="C587" s="631"/>
      <c r="D587" s="631"/>
      <c r="E587" s="631"/>
      <c r="F587" s="631"/>
      <c r="G587" s="632"/>
      <c r="H587" s="584" t="s">
        <v>1051</v>
      </c>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5"/>
      <c r="AL587" s="585"/>
      <c r="AM587" s="585"/>
      <c r="AN587" s="585"/>
      <c r="AO587" s="585"/>
      <c r="AP587" s="585"/>
      <c r="AQ587" s="585"/>
      <c r="AR587" s="585"/>
      <c r="AS587" s="585"/>
      <c r="AT587" s="585"/>
      <c r="AU587" s="585"/>
      <c r="AV587" s="585"/>
      <c r="AW587" s="585"/>
      <c r="AX587" s="585"/>
      <c r="AY587" s="585"/>
      <c r="AZ587" s="585"/>
      <c r="BA587" s="585"/>
      <c r="BB587" s="586"/>
      <c r="BC587" s="544">
        <v>1</v>
      </c>
      <c r="BD587" s="545"/>
      <c r="BE587" s="545"/>
      <c r="BF587" s="545"/>
      <c r="BG587" s="545"/>
      <c r="BH587" s="545"/>
      <c r="BI587" s="545"/>
      <c r="BJ587" s="545"/>
      <c r="BK587" s="545"/>
      <c r="BL587" s="545"/>
      <c r="BM587" s="545"/>
      <c r="BN587" s="545"/>
      <c r="BO587" s="545"/>
      <c r="BP587" s="545"/>
      <c r="BQ587" s="545"/>
      <c r="BR587" s="546"/>
      <c r="BS587" s="627">
        <v>3102</v>
      </c>
      <c r="BT587" s="628"/>
      <c r="BU587" s="628"/>
      <c r="BV587" s="628"/>
      <c r="BW587" s="628"/>
      <c r="BX587" s="628"/>
      <c r="BY587" s="628"/>
      <c r="BZ587" s="628"/>
      <c r="CA587" s="628"/>
      <c r="CB587" s="628"/>
      <c r="CC587" s="628"/>
      <c r="CD587" s="628"/>
      <c r="CE587" s="628"/>
      <c r="CF587" s="628"/>
      <c r="CG587" s="628"/>
      <c r="CH587" s="629"/>
      <c r="CI587" s="627">
        <f t="shared" ref="CI587" si="11">BC587*BS587</f>
        <v>3102</v>
      </c>
      <c r="CJ587" s="628"/>
      <c r="CK587" s="628"/>
      <c r="CL587" s="628"/>
      <c r="CM587" s="628"/>
      <c r="CN587" s="628"/>
      <c r="CO587" s="628"/>
      <c r="CP587" s="628"/>
      <c r="CQ587" s="628"/>
      <c r="CR587" s="628"/>
      <c r="CS587" s="628"/>
      <c r="CT587" s="628"/>
      <c r="CU587" s="628"/>
      <c r="CV587" s="628"/>
      <c r="CW587" s="628"/>
      <c r="CX587" s="628"/>
      <c r="CY587" s="628"/>
      <c r="CZ587" s="629"/>
      <c r="DA587" s="243"/>
    </row>
    <row r="588" spans="1:105" x14ac:dyDescent="0.25">
      <c r="A588" s="630" t="s">
        <v>648</v>
      </c>
      <c r="B588" s="631"/>
      <c r="C588" s="631"/>
      <c r="D588" s="631"/>
      <c r="E588" s="631"/>
      <c r="F588" s="631"/>
      <c r="G588" s="632"/>
      <c r="H588" s="584" t="s">
        <v>1090</v>
      </c>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5"/>
      <c r="AL588" s="585"/>
      <c r="AM588" s="585"/>
      <c r="AN588" s="585"/>
      <c r="AO588" s="585"/>
      <c r="AP588" s="585"/>
      <c r="AQ588" s="585"/>
      <c r="AR588" s="585"/>
      <c r="AS588" s="585"/>
      <c r="AT588" s="585"/>
      <c r="AU588" s="585"/>
      <c r="AV588" s="585"/>
      <c r="AW588" s="585"/>
      <c r="AX588" s="585"/>
      <c r="AY588" s="585"/>
      <c r="AZ588" s="585"/>
      <c r="BA588" s="585"/>
      <c r="BB588" s="586"/>
      <c r="BC588" s="544">
        <v>1</v>
      </c>
      <c r="BD588" s="545"/>
      <c r="BE588" s="545"/>
      <c r="BF588" s="545"/>
      <c r="BG588" s="545"/>
      <c r="BH588" s="545"/>
      <c r="BI588" s="545"/>
      <c r="BJ588" s="545"/>
      <c r="BK588" s="545"/>
      <c r="BL588" s="545"/>
      <c r="BM588" s="545"/>
      <c r="BN588" s="545"/>
      <c r="BO588" s="545"/>
      <c r="BP588" s="545"/>
      <c r="BQ588" s="545"/>
      <c r="BR588" s="546"/>
      <c r="BS588" s="627">
        <v>18597</v>
      </c>
      <c r="BT588" s="628"/>
      <c r="BU588" s="628"/>
      <c r="BV588" s="628"/>
      <c r="BW588" s="628"/>
      <c r="BX588" s="628"/>
      <c r="BY588" s="628"/>
      <c r="BZ588" s="628"/>
      <c r="CA588" s="628"/>
      <c r="CB588" s="628"/>
      <c r="CC588" s="628"/>
      <c r="CD588" s="628"/>
      <c r="CE588" s="628"/>
      <c r="CF588" s="628"/>
      <c r="CG588" s="628"/>
      <c r="CH588" s="629"/>
      <c r="CI588" s="627">
        <f t="shared" si="10"/>
        <v>18597</v>
      </c>
      <c r="CJ588" s="628"/>
      <c r="CK588" s="628"/>
      <c r="CL588" s="628"/>
      <c r="CM588" s="628"/>
      <c r="CN588" s="628"/>
      <c r="CO588" s="628"/>
      <c r="CP588" s="628"/>
      <c r="CQ588" s="628"/>
      <c r="CR588" s="628"/>
      <c r="CS588" s="628"/>
      <c r="CT588" s="628"/>
      <c r="CU588" s="628"/>
      <c r="CV588" s="628"/>
      <c r="CW588" s="628"/>
      <c r="CX588" s="628"/>
      <c r="CY588" s="628"/>
      <c r="CZ588" s="629"/>
      <c r="DA588" s="243"/>
    </row>
    <row r="589" spans="1:105" x14ac:dyDescent="0.25">
      <c r="A589" s="630" t="s">
        <v>650</v>
      </c>
      <c r="B589" s="631"/>
      <c r="C589" s="631"/>
      <c r="D589" s="631"/>
      <c r="E589" s="631"/>
      <c r="F589" s="631"/>
      <c r="G589" s="632"/>
      <c r="H589" s="584" t="s">
        <v>1091</v>
      </c>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5"/>
      <c r="AL589" s="585"/>
      <c r="AM589" s="585"/>
      <c r="AN589" s="585"/>
      <c r="AO589" s="585"/>
      <c r="AP589" s="585"/>
      <c r="AQ589" s="585"/>
      <c r="AR589" s="585"/>
      <c r="AS589" s="585"/>
      <c r="AT589" s="585"/>
      <c r="AU589" s="585"/>
      <c r="AV589" s="585"/>
      <c r="AW589" s="585"/>
      <c r="AX589" s="585"/>
      <c r="AY589" s="585"/>
      <c r="AZ589" s="585"/>
      <c r="BA589" s="585"/>
      <c r="BB589" s="586"/>
      <c r="BC589" s="544">
        <v>1</v>
      </c>
      <c r="BD589" s="545"/>
      <c r="BE589" s="545"/>
      <c r="BF589" s="545"/>
      <c r="BG589" s="545"/>
      <c r="BH589" s="545"/>
      <c r="BI589" s="545"/>
      <c r="BJ589" s="545"/>
      <c r="BK589" s="545"/>
      <c r="BL589" s="545"/>
      <c r="BM589" s="545"/>
      <c r="BN589" s="545"/>
      <c r="BO589" s="545"/>
      <c r="BP589" s="545"/>
      <c r="BQ589" s="545"/>
      <c r="BR589" s="546"/>
      <c r="BS589" s="627">
        <v>4800</v>
      </c>
      <c r="BT589" s="628"/>
      <c r="BU589" s="628"/>
      <c r="BV589" s="628"/>
      <c r="BW589" s="628"/>
      <c r="BX589" s="628"/>
      <c r="BY589" s="628"/>
      <c r="BZ589" s="628"/>
      <c r="CA589" s="628"/>
      <c r="CB589" s="628"/>
      <c r="CC589" s="628"/>
      <c r="CD589" s="628"/>
      <c r="CE589" s="628"/>
      <c r="CF589" s="628"/>
      <c r="CG589" s="628"/>
      <c r="CH589" s="629"/>
      <c r="CI589" s="627">
        <f t="shared" si="10"/>
        <v>4800</v>
      </c>
      <c r="CJ589" s="628"/>
      <c r="CK589" s="628"/>
      <c r="CL589" s="628"/>
      <c r="CM589" s="628"/>
      <c r="CN589" s="628"/>
      <c r="CO589" s="628"/>
      <c r="CP589" s="628"/>
      <c r="CQ589" s="628"/>
      <c r="CR589" s="628"/>
      <c r="CS589" s="628"/>
      <c r="CT589" s="628"/>
      <c r="CU589" s="628"/>
      <c r="CV589" s="628"/>
      <c r="CW589" s="628"/>
      <c r="CX589" s="628"/>
      <c r="CY589" s="628"/>
      <c r="CZ589" s="629"/>
      <c r="DA589" s="243"/>
    </row>
    <row r="590" spans="1:105" hidden="1" x14ac:dyDescent="0.25">
      <c r="A590" s="630" t="s">
        <v>651</v>
      </c>
      <c r="B590" s="631"/>
      <c r="C590" s="631"/>
      <c r="D590" s="631"/>
      <c r="E590" s="631"/>
      <c r="F590" s="631"/>
      <c r="G590" s="632"/>
      <c r="H590" s="584"/>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5"/>
      <c r="AL590" s="585"/>
      <c r="AM590" s="585"/>
      <c r="AN590" s="585"/>
      <c r="AO590" s="585"/>
      <c r="AP590" s="585"/>
      <c r="AQ590" s="585"/>
      <c r="AR590" s="585"/>
      <c r="AS590" s="585"/>
      <c r="AT590" s="585"/>
      <c r="AU590" s="585"/>
      <c r="AV590" s="585"/>
      <c r="AW590" s="585"/>
      <c r="AX590" s="585"/>
      <c r="AY590" s="585"/>
      <c r="AZ590" s="585"/>
      <c r="BA590" s="585"/>
      <c r="BB590" s="586"/>
      <c r="BC590" s="544"/>
      <c r="BD590" s="545"/>
      <c r="BE590" s="545"/>
      <c r="BF590" s="545"/>
      <c r="BG590" s="545"/>
      <c r="BH590" s="545"/>
      <c r="BI590" s="545"/>
      <c r="BJ590" s="545"/>
      <c r="BK590" s="545"/>
      <c r="BL590" s="545"/>
      <c r="BM590" s="545"/>
      <c r="BN590" s="545"/>
      <c r="BO590" s="545"/>
      <c r="BP590" s="545"/>
      <c r="BQ590" s="545"/>
      <c r="BR590" s="546"/>
      <c r="BS590" s="627"/>
      <c r="BT590" s="628"/>
      <c r="BU590" s="628"/>
      <c r="BV590" s="628"/>
      <c r="BW590" s="628"/>
      <c r="BX590" s="628"/>
      <c r="BY590" s="628"/>
      <c r="BZ590" s="628"/>
      <c r="CA590" s="628"/>
      <c r="CB590" s="628"/>
      <c r="CC590" s="628"/>
      <c r="CD590" s="628"/>
      <c r="CE590" s="628"/>
      <c r="CF590" s="628"/>
      <c r="CG590" s="628"/>
      <c r="CH590" s="629"/>
      <c r="CI590" s="627">
        <f t="shared" si="10"/>
        <v>0</v>
      </c>
      <c r="CJ590" s="628"/>
      <c r="CK590" s="628"/>
      <c r="CL590" s="628"/>
      <c r="CM590" s="628"/>
      <c r="CN590" s="628"/>
      <c r="CO590" s="628"/>
      <c r="CP590" s="628"/>
      <c r="CQ590" s="628"/>
      <c r="CR590" s="628"/>
      <c r="CS590" s="628"/>
      <c r="CT590" s="628"/>
      <c r="CU590" s="628"/>
      <c r="CV590" s="628"/>
      <c r="CW590" s="628"/>
      <c r="CX590" s="628"/>
      <c r="CY590" s="628"/>
      <c r="CZ590" s="629"/>
      <c r="DA590" s="243"/>
    </row>
    <row r="591" spans="1:105" hidden="1" x14ac:dyDescent="0.25">
      <c r="A591" s="630" t="s">
        <v>653</v>
      </c>
      <c r="B591" s="631"/>
      <c r="C591" s="631"/>
      <c r="D591" s="631"/>
      <c r="E591" s="631"/>
      <c r="F591" s="631"/>
      <c r="G591" s="632"/>
      <c r="H591" s="584"/>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5"/>
      <c r="AL591" s="585"/>
      <c r="AM591" s="585"/>
      <c r="AN591" s="585"/>
      <c r="AO591" s="585"/>
      <c r="AP591" s="585"/>
      <c r="AQ591" s="585"/>
      <c r="AR591" s="585"/>
      <c r="AS591" s="585"/>
      <c r="AT591" s="585"/>
      <c r="AU591" s="585"/>
      <c r="AV591" s="585"/>
      <c r="AW591" s="585"/>
      <c r="AX591" s="585"/>
      <c r="AY591" s="585"/>
      <c r="AZ591" s="585"/>
      <c r="BA591" s="585"/>
      <c r="BB591" s="586"/>
      <c r="BC591" s="544"/>
      <c r="BD591" s="545"/>
      <c r="BE591" s="545"/>
      <c r="BF591" s="545"/>
      <c r="BG591" s="545"/>
      <c r="BH591" s="545"/>
      <c r="BI591" s="545"/>
      <c r="BJ591" s="545"/>
      <c r="BK591" s="545"/>
      <c r="BL591" s="545"/>
      <c r="BM591" s="545"/>
      <c r="BN591" s="545"/>
      <c r="BO591" s="545"/>
      <c r="BP591" s="545"/>
      <c r="BQ591" s="545"/>
      <c r="BR591" s="546"/>
      <c r="BS591" s="627"/>
      <c r="BT591" s="628"/>
      <c r="BU591" s="628"/>
      <c r="BV591" s="628"/>
      <c r="BW591" s="628"/>
      <c r="BX591" s="628"/>
      <c r="BY591" s="628"/>
      <c r="BZ591" s="628"/>
      <c r="CA591" s="628"/>
      <c r="CB591" s="628"/>
      <c r="CC591" s="628"/>
      <c r="CD591" s="628"/>
      <c r="CE591" s="628"/>
      <c r="CF591" s="628"/>
      <c r="CG591" s="628"/>
      <c r="CH591" s="629"/>
      <c r="CI591" s="627">
        <f t="shared" si="10"/>
        <v>0</v>
      </c>
      <c r="CJ591" s="628"/>
      <c r="CK591" s="628"/>
      <c r="CL591" s="628"/>
      <c r="CM591" s="628"/>
      <c r="CN591" s="628"/>
      <c r="CO591" s="628"/>
      <c r="CP591" s="628"/>
      <c r="CQ591" s="628"/>
      <c r="CR591" s="628"/>
      <c r="CS591" s="628"/>
      <c r="CT591" s="628"/>
      <c r="CU591" s="628"/>
      <c r="CV591" s="628"/>
      <c r="CW591" s="628"/>
      <c r="CX591" s="628"/>
      <c r="CY591" s="628"/>
      <c r="CZ591" s="629"/>
      <c r="DA591" s="243"/>
    </row>
    <row r="592" spans="1:105" hidden="1" x14ac:dyDescent="0.25">
      <c r="A592" s="630" t="s">
        <v>654</v>
      </c>
      <c r="B592" s="631"/>
      <c r="C592" s="631"/>
      <c r="D592" s="631"/>
      <c r="E592" s="631"/>
      <c r="F592" s="631"/>
      <c r="G592" s="632"/>
      <c r="H592" s="584"/>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585"/>
      <c r="AY592" s="585"/>
      <c r="AZ592" s="585"/>
      <c r="BA592" s="585"/>
      <c r="BB592" s="586"/>
      <c r="BC592" s="544"/>
      <c r="BD592" s="545"/>
      <c r="BE592" s="545"/>
      <c r="BF592" s="545"/>
      <c r="BG592" s="545"/>
      <c r="BH592" s="545"/>
      <c r="BI592" s="545"/>
      <c r="BJ592" s="545"/>
      <c r="BK592" s="545"/>
      <c r="BL592" s="545"/>
      <c r="BM592" s="545"/>
      <c r="BN592" s="545"/>
      <c r="BO592" s="545"/>
      <c r="BP592" s="545"/>
      <c r="BQ592" s="545"/>
      <c r="BR592" s="546"/>
      <c r="BS592" s="627"/>
      <c r="BT592" s="628"/>
      <c r="BU592" s="628"/>
      <c r="BV592" s="628"/>
      <c r="BW592" s="628"/>
      <c r="BX592" s="628"/>
      <c r="BY592" s="628"/>
      <c r="BZ592" s="628"/>
      <c r="CA592" s="628"/>
      <c r="CB592" s="628"/>
      <c r="CC592" s="628"/>
      <c r="CD592" s="628"/>
      <c r="CE592" s="628"/>
      <c r="CF592" s="628"/>
      <c r="CG592" s="628"/>
      <c r="CH592" s="629"/>
      <c r="CI592" s="627">
        <f t="shared" si="10"/>
        <v>0</v>
      </c>
      <c r="CJ592" s="628"/>
      <c r="CK592" s="628"/>
      <c r="CL592" s="628"/>
      <c r="CM592" s="628"/>
      <c r="CN592" s="628"/>
      <c r="CO592" s="628"/>
      <c r="CP592" s="628"/>
      <c r="CQ592" s="628"/>
      <c r="CR592" s="628"/>
      <c r="CS592" s="628"/>
      <c r="CT592" s="628"/>
      <c r="CU592" s="628"/>
      <c r="CV592" s="628"/>
      <c r="CW592" s="628"/>
      <c r="CX592" s="628"/>
      <c r="CY592" s="628"/>
      <c r="CZ592" s="629"/>
      <c r="DA592" s="243"/>
    </row>
    <row r="593" spans="1:105" x14ac:dyDescent="0.25">
      <c r="A593" s="633" t="s">
        <v>292</v>
      </c>
      <c r="B593" s="634"/>
      <c r="C593" s="634"/>
      <c r="D593" s="634"/>
      <c r="E593" s="634"/>
      <c r="F593" s="634"/>
      <c r="G593" s="634"/>
      <c r="H593" s="634"/>
      <c r="I593" s="634"/>
      <c r="J593" s="634"/>
      <c r="K593" s="634"/>
      <c r="L593" s="634"/>
      <c r="M593" s="634"/>
      <c r="N593" s="634"/>
      <c r="O593" s="634"/>
      <c r="P593" s="634"/>
      <c r="Q593" s="634"/>
      <c r="R593" s="634"/>
      <c r="S593" s="634"/>
      <c r="T593" s="634"/>
      <c r="U593" s="634"/>
      <c r="V593" s="634"/>
      <c r="W593" s="634"/>
      <c r="X593" s="634"/>
      <c r="Y593" s="634"/>
      <c r="Z593" s="634"/>
      <c r="AA593" s="634"/>
      <c r="AB593" s="634"/>
      <c r="AC593" s="634"/>
      <c r="AD593" s="634"/>
      <c r="AE593" s="634"/>
      <c r="AF593" s="634"/>
      <c r="AG593" s="634"/>
      <c r="AH593" s="634"/>
      <c r="AI593" s="634"/>
      <c r="AJ593" s="634"/>
      <c r="AK593" s="634"/>
      <c r="AL593" s="634"/>
      <c r="AM593" s="634"/>
      <c r="AN593" s="634"/>
      <c r="AO593" s="634"/>
      <c r="AP593" s="634"/>
      <c r="AQ593" s="634"/>
      <c r="AR593" s="634"/>
      <c r="AS593" s="634"/>
      <c r="AT593" s="634"/>
      <c r="AU593" s="634"/>
      <c r="AV593" s="634"/>
      <c r="AW593" s="634"/>
      <c r="AX593" s="634"/>
      <c r="AY593" s="634"/>
      <c r="AZ593" s="634"/>
      <c r="BA593" s="634"/>
      <c r="BB593" s="635"/>
      <c r="BC593" s="582" t="s">
        <v>4</v>
      </c>
      <c r="BD593" s="582"/>
      <c r="BE593" s="582"/>
      <c r="BF593" s="582"/>
      <c r="BG593" s="582"/>
      <c r="BH593" s="582"/>
      <c r="BI593" s="582"/>
      <c r="BJ593" s="582"/>
      <c r="BK593" s="582"/>
      <c r="BL593" s="582"/>
      <c r="BM593" s="582"/>
      <c r="BN593" s="582"/>
      <c r="BO593" s="582"/>
      <c r="BP593" s="582"/>
      <c r="BQ593" s="582"/>
      <c r="BR593" s="582"/>
      <c r="BS593" s="544" t="s">
        <v>4</v>
      </c>
      <c r="BT593" s="545"/>
      <c r="BU593" s="545"/>
      <c r="BV593" s="545"/>
      <c r="BW593" s="545"/>
      <c r="BX593" s="545"/>
      <c r="BY593" s="545"/>
      <c r="BZ593" s="545"/>
      <c r="CA593" s="545"/>
      <c r="CB593" s="545"/>
      <c r="CC593" s="545"/>
      <c r="CD593" s="545"/>
      <c r="CE593" s="545"/>
      <c r="CF593" s="545"/>
      <c r="CG593" s="545"/>
      <c r="CH593" s="546"/>
      <c r="CI593" s="636">
        <f>SUM(CI582:CZ592)</f>
        <v>230729</v>
      </c>
      <c r="CJ593" s="654"/>
      <c r="CK593" s="654"/>
      <c r="CL593" s="654"/>
      <c r="CM593" s="654"/>
      <c r="CN593" s="654"/>
      <c r="CO593" s="654"/>
      <c r="CP593" s="654"/>
      <c r="CQ593" s="654"/>
      <c r="CR593" s="654"/>
      <c r="CS593" s="654"/>
      <c r="CT593" s="654"/>
      <c r="CU593" s="654"/>
      <c r="CV593" s="654"/>
      <c r="CW593" s="654"/>
      <c r="CX593" s="654"/>
      <c r="CY593" s="654"/>
      <c r="CZ593" s="655"/>
      <c r="DA593" s="243"/>
    </row>
    <row r="594" spans="1:105" ht="23.25" customHeight="1" x14ac:dyDescent="0.25">
      <c r="A594" s="648" t="s">
        <v>569</v>
      </c>
      <c r="B594" s="649"/>
      <c r="C594" s="649"/>
      <c r="D594" s="649"/>
      <c r="E594" s="649"/>
      <c r="F594" s="649"/>
      <c r="G594" s="649"/>
      <c r="H594" s="649"/>
      <c r="I594" s="649"/>
      <c r="J594" s="649"/>
      <c r="K594" s="649"/>
      <c r="L594" s="649"/>
      <c r="M594" s="649"/>
      <c r="N594" s="649"/>
      <c r="O594" s="649"/>
      <c r="P594" s="649"/>
      <c r="Q594" s="649"/>
      <c r="R594" s="649"/>
      <c r="S594" s="649"/>
      <c r="T594" s="649"/>
      <c r="U594" s="649"/>
      <c r="V594" s="649"/>
      <c r="W594" s="649"/>
      <c r="X594" s="649"/>
      <c r="Y594" s="649"/>
      <c r="Z594" s="649"/>
      <c r="AA594" s="649"/>
      <c r="AB594" s="649"/>
      <c r="AC594" s="649"/>
      <c r="AD594" s="649"/>
      <c r="AE594" s="649"/>
      <c r="AF594" s="649"/>
      <c r="AG594" s="649"/>
      <c r="AH594" s="649"/>
      <c r="AI594" s="649"/>
      <c r="AJ594" s="649"/>
      <c r="AK594" s="649"/>
      <c r="AL594" s="649"/>
      <c r="AM594" s="649"/>
      <c r="AN594" s="649"/>
      <c r="AO594" s="649"/>
      <c r="AP594" s="649"/>
      <c r="AQ594" s="649"/>
      <c r="AR594" s="649"/>
      <c r="AS594" s="649"/>
      <c r="AT594" s="649"/>
      <c r="AU594" s="649"/>
      <c r="AV594" s="649"/>
      <c r="AW594" s="649"/>
      <c r="AX594" s="649"/>
      <c r="AY594" s="649"/>
      <c r="AZ594" s="649"/>
      <c r="BA594" s="649"/>
      <c r="BB594" s="649"/>
      <c r="BC594" s="649"/>
      <c r="BD594" s="649"/>
      <c r="BE594" s="649"/>
      <c r="BF594" s="649"/>
      <c r="BG594" s="649"/>
      <c r="BH594" s="649"/>
      <c r="BI594" s="649"/>
      <c r="BJ594" s="649"/>
      <c r="BK594" s="649"/>
      <c r="BL594" s="649"/>
      <c r="BM594" s="649"/>
      <c r="BN594" s="649"/>
      <c r="BO594" s="649"/>
      <c r="BP594" s="649"/>
      <c r="BQ594" s="649"/>
      <c r="BR594" s="649"/>
      <c r="BS594" s="649"/>
      <c r="BT594" s="649"/>
      <c r="BU594" s="649"/>
      <c r="BV594" s="649"/>
      <c r="BW594" s="649"/>
      <c r="BX594" s="649"/>
      <c r="BY594" s="649"/>
      <c r="BZ594" s="649"/>
      <c r="CA594" s="649"/>
      <c r="CB594" s="649"/>
      <c r="CC594" s="649"/>
      <c r="CD594" s="649"/>
      <c r="CE594" s="649"/>
      <c r="CF594" s="649"/>
      <c r="CG594" s="649"/>
      <c r="CH594" s="649"/>
      <c r="CI594" s="649"/>
      <c r="CJ594" s="649"/>
      <c r="CK594" s="649"/>
      <c r="CL594" s="649"/>
      <c r="CM594" s="649"/>
      <c r="CN594" s="649"/>
      <c r="CO594" s="649"/>
      <c r="CP594" s="649"/>
      <c r="CQ594" s="649"/>
      <c r="CR594" s="649"/>
      <c r="CS594" s="649"/>
      <c r="CT594" s="649"/>
      <c r="CU594" s="649"/>
      <c r="CV594" s="649"/>
      <c r="CW594" s="649"/>
      <c r="CX594" s="649"/>
      <c r="CY594" s="649"/>
      <c r="CZ594" s="650"/>
      <c r="DA594" s="243"/>
    </row>
    <row r="595" spans="1:105" ht="23.25" customHeight="1" x14ac:dyDescent="0.25">
      <c r="A595" s="630" t="s">
        <v>441</v>
      </c>
      <c r="B595" s="631"/>
      <c r="C595" s="631"/>
      <c r="D595" s="631"/>
      <c r="E595" s="631"/>
      <c r="F595" s="631"/>
      <c r="G595" s="632"/>
      <c r="H595" s="584" t="s">
        <v>995</v>
      </c>
      <c r="I595" s="585"/>
      <c r="J595" s="585"/>
      <c r="K595" s="585"/>
      <c r="L595" s="585"/>
      <c r="M595" s="585"/>
      <c r="N595" s="585"/>
      <c r="O595" s="585"/>
      <c r="P595" s="585"/>
      <c r="Q595" s="585"/>
      <c r="R595" s="585"/>
      <c r="S595" s="585"/>
      <c r="T595" s="585"/>
      <c r="U595" s="585"/>
      <c r="V595" s="585"/>
      <c r="W595" s="585"/>
      <c r="X595" s="585"/>
      <c r="Y595" s="585"/>
      <c r="Z595" s="585"/>
      <c r="AA595" s="585"/>
      <c r="AB595" s="585"/>
      <c r="AC595" s="585"/>
      <c r="AD595" s="585"/>
      <c r="AE595" s="585"/>
      <c r="AF595" s="585"/>
      <c r="AG595" s="585"/>
      <c r="AH595" s="585"/>
      <c r="AI595" s="585"/>
      <c r="AJ595" s="585"/>
      <c r="AK595" s="585"/>
      <c r="AL595" s="585"/>
      <c r="AM595" s="585"/>
      <c r="AN595" s="585"/>
      <c r="AO595" s="585"/>
      <c r="AP595" s="585"/>
      <c r="AQ595" s="585"/>
      <c r="AR595" s="585"/>
      <c r="AS595" s="585"/>
      <c r="AT595" s="585"/>
      <c r="AU595" s="585"/>
      <c r="AV595" s="585"/>
      <c r="AW595" s="585"/>
      <c r="AX595" s="585"/>
      <c r="AY595" s="585"/>
      <c r="AZ595" s="585"/>
      <c r="BA595" s="585"/>
      <c r="BB595" s="586"/>
      <c r="BC595" s="544">
        <v>24</v>
      </c>
      <c r="BD595" s="545"/>
      <c r="BE595" s="545"/>
      <c r="BF595" s="545"/>
      <c r="BG595" s="545"/>
      <c r="BH595" s="545"/>
      <c r="BI595" s="545"/>
      <c r="BJ595" s="545"/>
      <c r="BK595" s="545"/>
      <c r="BL595" s="545"/>
      <c r="BM595" s="545"/>
      <c r="BN595" s="545"/>
      <c r="BO595" s="545"/>
      <c r="BP595" s="545"/>
      <c r="BQ595" s="545"/>
      <c r="BR595" s="546"/>
      <c r="BS595" s="627">
        <f>CI595/BC595</f>
        <v>12500</v>
      </c>
      <c r="BT595" s="628"/>
      <c r="BU595" s="628"/>
      <c r="BV595" s="628"/>
      <c r="BW595" s="628"/>
      <c r="BX595" s="628"/>
      <c r="BY595" s="628"/>
      <c r="BZ595" s="628"/>
      <c r="CA595" s="628"/>
      <c r="CB595" s="628"/>
      <c r="CC595" s="628"/>
      <c r="CD595" s="628"/>
      <c r="CE595" s="628"/>
      <c r="CF595" s="628"/>
      <c r="CG595" s="628"/>
      <c r="CH595" s="629"/>
      <c r="CI595" s="627">
        <v>300000</v>
      </c>
      <c r="CJ595" s="628"/>
      <c r="CK595" s="628"/>
      <c r="CL595" s="628"/>
      <c r="CM595" s="628"/>
      <c r="CN595" s="628"/>
      <c r="CO595" s="628"/>
      <c r="CP595" s="628"/>
      <c r="CQ595" s="628"/>
      <c r="CR595" s="628"/>
      <c r="CS595" s="628"/>
      <c r="CT595" s="628"/>
      <c r="CU595" s="628"/>
      <c r="CV595" s="628"/>
      <c r="CW595" s="628"/>
      <c r="CX595" s="628"/>
      <c r="CY595" s="628"/>
      <c r="CZ595" s="629"/>
      <c r="DA595" s="243"/>
    </row>
    <row r="596" spans="1:105" ht="23.25" hidden="1" customHeight="1" x14ac:dyDescent="0.25">
      <c r="A596" s="630"/>
      <c r="B596" s="631"/>
      <c r="C596" s="631"/>
      <c r="D596" s="631"/>
      <c r="E596" s="631"/>
      <c r="F596" s="631"/>
      <c r="G596" s="632"/>
      <c r="H596" s="584"/>
      <c r="I596" s="585"/>
      <c r="J596" s="585"/>
      <c r="K596" s="585"/>
      <c r="L596" s="585"/>
      <c r="M596" s="585"/>
      <c r="N596" s="585"/>
      <c r="O596" s="585"/>
      <c r="P596" s="585"/>
      <c r="Q596" s="585"/>
      <c r="R596" s="585"/>
      <c r="S596" s="585"/>
      <c r="T596" s="585"/>
      <c r="U596" s="585"/>
      <c r="V596" s="585"/>
      <c r="W596" s="585"/>
      <c r="X596" s="585"/>
      <c r="Y596" s="585"/>
      <c r="Z596" s="585"/>
      <c r="AA596" s="585"/>
      <c r="AB596" s="585"/>
      <c r="AC596" s="585"/>
      <c r="AD596" s="585"/>
      <c r="AE596" s="585"/>
      <c r="AF596" s="585"/>
      <c r="AG596" s="585"/>
      <c r="AH596" s="585"/>
      <c r="AI596" s="585"/>
      <c r="AJ596" s="585"/>
      <c r="AK596" s="585"/>
      <c r="AL596" s="585"/>
      <c r="AM596" s="585"/>
      <c r="AN596" s="585"/>
      <c r="AO596" s="585"/>
      <c r="AP596" s="585"/>
      <c r="AQ596" s="585"/>
      <c r="AR596" s="585"/>
      <c r="AS596" s="585"/>
      <c r="AT596" s="585"/>
      <c r="AU596" s="585"/>
      <c r="AV596" s="585"/>
      <c r="AW596" s="585"/>
      <c r="AX596" s="585"/>
      <c r="AY596" s="585"/>
      <c r="AZ596" s="585"/>
      <c r="BA596" s="585"/>
      <c r="BB596" s="586"/>
      <c r="BC596" s="544"/>
      <c r="BD596" s="545"/>
      <c r="BE596" s="545"/>
      <c r="BF596" s="545"/>
      <c r="BG596" s="545"/>
      <c r="BH596" s="545"/>
      <c r="BI596" s="545"/>
      <c r="BJ596" s="545"/>
      <c r="BK596" s="545"/>
      <c r="BL596" s="545"/>
      <c r="BM596" s="545"/>
      <c r="BN596" s="545"/>
      <c r="BO596" s="545"/>
      <c r="BP596" s="545"/>
      <c r="BQ596" s="545"/>
      <c r="BR596" s="546"/>
      <c r="BS596" s="627"/>
      <c r="BT596" s="628"/>
      <c r="BU596" s="628"/>
      <c r="BV596" s="628"/>
      <c r="BW596" s="628"/>
      <c r="BX596" s="628"/>
      <c r="BY596" s="628"/>
      <c r="BZ596" s="628"/>
      <c r="CA596" s="628"/>
      <c r="CB596" s="628"/>
      <c r="CC596" s="628"/>
      <c r="CD596" s="628"/>
      <c r="CE596" s="628"/>
      <c r="CF596" s="628"/>
      <c r="CG596" s="628"/>
      <c r="CH596" s="629"/>
      <c r="CI596" s="627"/>
      <c r="CJ596" s="628"/>
      <c r="CK596" s="628"/>
      <c r="CL596" s="628"/>
      <c r="CM596" s="628"/>
      <c r="CN596" s="628"/>
      <c r="CO596" s="628"/>
      <c r="CP596" s="628"/>
      <c r="CQ596" s="628"/>
      <c r="CR596" s="628"/>
      <c r="CS596" s="628"/>
      <c r="CT596" s="628"/>
      <c r="CU596" s="628"/>
      <c r="CV596" s="628"/>
      <c r="CW596" s="628"/>
      <c r="CX596" s="628"/>
      <c r="CY596" s="628"/>
      <c r="CZ596" s="629"/>
      <c r="DA596" s="243"/>
    </row>
    <row r="597" spans="1:105" ht="23.25" hidden="1" customHeight="1" x14ac:dyDescent="0.25">
      <c r="A597" s="630"/>
      <c r="B597" s="631"/>
      <c r="C597" s="631"/>
      <c r="D597" s="631"/>
      <c r="E597" s="631"/>
      <c r="F597" s="631"/>
      <c r="G597" s="632"/>
      <c r="H597" s="584"/>
      <c r="I597" s="585"/>
      <c r="J597" s="585"/>
      <c r="K597" s="585"/>
      <c r="L597" s="585"/>
      <c r="M597" s="585"/>
      <c r="N597" s="585"/>
      <c r="O597" s="585"/>
      <c r="P597" s="585"/>
      <c r="Q597" s="585"/>
      <c r="R597" s="585"/>
      <c r="S597" s="585"/>
      <c r="T597" s="585"/>
      <c r="U597" s="585"/>
      <c r="V597" s="585"/>
      <c r="W597" s="585"/>
      <c r="X597" s="585"/>
      <c r="Y597" s="585"/>
      <c r="Z597" s="585"/>
      <c r="AA597" s="585"/>
      <c r="AB597" s="585"/>
      <c r="AC597" s="585"/>
      <c r="AD597" s="585"/>
      <c r="AE597" s="585"/>
      <c r="AF597" s="585"/>
      <c r="AG597" s="585"/>
      <c r="AH597" s="585"/>
      <c r="AI597" s="585"/>
      <c r="AJ597" s="585"/>
      <c r="AK597" s="585"/>
      <c r="AL597" s="585"/>
      <c r="AM597" s="585"/>
      <c r="AN597" s="585"/>
      <c r="AO597" s="585"/>
      <c r="AP597" s="585"/>
      <c r="AQ597" s="585"/>
      <c r="AR597" s="585"/>
      <c r="AS597" s="585"/>
      <c r="AT597" s="585"/>
      <c r="AU597" s="585"/>
      <c r="AV597" s="585"/>
      <c r="AW597" s="585"/>
      <c r="AX597" s="585"/>
      <c r="AY597" s="585"/>
      <c r="AZ597" s="585"/>
      <c r="BA597" s="585"/>
      <c r="BB597" s="586"/>
      <c r="BC597" s="544"/>
      <c r="BD597" s="545"/>
      <c r="BE597" s="545"/>
      <c r="BF597" s="545"/>
      <c r="BG597" s="545"/>
      <c r="BH597" s="545"/>
      <c r="BI597" s="545"/>
      <c r="BJ597" s="545"/>
      <c r="BK597" s="545"/>
      <c r="BL597" s="545"/>
      <c r="BM597" s="545"/>
      <c r="BN597" s="545"/>
      <c r="BO597" s="545"/>
      <c r="BP597" s="545"/>
      <c r="BQ597" s="545"/>
      <c r="BR597" s="546"/>
      <c r="BS597" s="627"/>
      <c r="BT597" s="628"/>
      <c r="BU597" s="628"/>
      <c r="BV597" s="628"/>
      <c r="BW597" s="628"/>
      <c r="BX597" s="628"/>
      <c r="BY597" s="628"/>
      <c r="BZ597" s="628"/>
      <c r="CA597" s="628"/>
      <c r="CB597" s="628"/>
      <c r="CC597" s="628"/>
      <c r="CD597" s="628"/>
      <c r="CE597" s="628"/>
      <c r="CF597" s="628"/>
      <c r="CG597" s="628"/>
      <c r="CH597" s="629"/>
      <c r="CI597" s="627"/>
      <c r="CJ597" s="628"/>
      <c r="CK597" s="628"/>
      <c r="CL597" s="628"/>
      <c r="CM597" s="628"/>
      <c r="CN597" s="628"/>
      <c r="CO597" s="628"/>
      <c r="CP597" s="628"/>
      <c r="CQ597" s="628"/>
      <c r="CR597" s="628"/>
      <c r="CS597" s="628"/>
      <c r="CT597" s="628"/>
      <c r="CU597" s="628"/>
      <c r="CV597" s="628"/>
      <c r="CW597" s="628"/>
      <c r="CX597" s="628"/>
      <c r="CY597" s="628"/>
      <c r="CZ597" s="629"/>
      <c r="DA597" s="243"/>
    </row>
    <row r="598" spans="1:105" ht="23.25" hidden="1" customHeight="1" x14ac:dyDescent="0.25">
      <c r="A598" s="630"/>
      <c r="B598" s="631"/>
      <c r="C598" s="631"/>
      <c r="D598" s="631"/>
      <c r="E598" s="631"/>
      <c r="F598" s="631"/>
      <c r="G598" s="632"/>
      <c r="H598" s="584"/>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5"/>
      <c r="AL598" s="585"/>
      <c r="AM598" s="585"/>
      <c r="AN598" s="585"/>
      <c r="AO598" s="585"/>
      <c r="AP598" s="585"/>
      <c r="AQ598" s="585"/>
      <c r="AR598" s="585"/>
      <c r="AS598" s="585"/>
      <c r="AT598" s="585"/>
      <c r="AU598" s="585"/>
      <c r="AV598" s="585"/>
      <c r="AW598" s="585"/>
      <c r="AX598" s="585"/>
      <c r="AY598" s="585"/>
      <c r="AZ598" s="585"/>
      <c r="BA598" s="585"/>
      <c r="BB598" s="586"/>
      <c r="BC598" s="544"/>
      <c r="BD598" s="545"/>
      <c r="BE598" s="545"/>
      <c r="BF598" s="545"/>
      <c r="BG598" s="545"/>
      <c r="BH598" s="545"/>
      <c r="BI598" s="545"/>
      <c r="BJ598" s="545"/>
      <c r="BK598" s="545"/>
      <c r="BL598" s="545"/>
      <c r="BM598" s="545"/>
      <c r="BN598" s="545"/>
      <c r="BO598" s="545"/>
      <c r="BP598" s="545"/>
      <c r="BQ598" s="545"/>
      <c r="BR598" s="546"/>
      <c r="BS598" s="627"/>
      <c r="BT598" s="628"/>
      <c r="BU598" s="628"/>
      <c r="BV598" s="628"/>
      <c r="BW598" s="628"/>
      <c r="BX598" s="628"/>
      <c r="BY598" s="628"/>
      <c r="BZ598" s="628"/>
      <c r="CA598" s="628"/>
      <c r="CB598" s="628"/>
      <c r="CC598" s="628"/>
      <c r="CD598" s="628"/>
      <c r="CE598" s="628"/>
      <c r="CF598" s="628"/>
      <c r="CG598" s="628"/>
      <c r="CH598" s="629"/>
      <c r="CI598" s="627"/>
      <c r="CJ598" s="628"/>
      <c r="CK598" s="628"/>
      <c r="CL598" s="628"/>
      <c r="CM598" s="628"/>
      <c r="CN598" s="628"/>
      <c r="CO598" s="628"/>
      <c r="CP598" s="628"/>
      <c r="CQ598" s="628"/>
      <c r="CR598" s="628"/>
      <c r="CS598" s="628"/>
      <c r="CT598" s="628"/>
      <c r="CU598" s="628"/>
      <c r="CV598" s="628"/>
      <c r="CW598" s="628"/>
      <c r="CX598" s="628"/>
      <c r="CY598" s="628"/>
      <c r="CZ598" s="629"/>
      <c r="DA598" s="243"/>
    </row>
    <row r="599" spans="1:105" ht="23.25" hidden="1" customHeight="1" x14ac:dyDescent="0.25">
      <c r="A599" s="630"/>
      <c r="B599" s="631"/>
      <c r="C599" s="631"/>
      <c r="D599" s="631"/>
      <c r="E599" s="631"/>
      <c r="F599" s="631"/>
      <c r="G599" s="632"/>
      <c r="H599" s="584"/>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5"/>
      <c r="AL599" s="585"/>
      <c r="AM599" s="585"/>
      <c r="AN599" s="585"/>
      <c r="AO599" s="585"/>
      <c r="AP599" s="585"/>
      <c r="AQ599" s="585"/>
      <c r="AR599" s="585"/>
      <c r="AS599" s="585"/>
      <c r="AT599" s="585"/>
      <c r="AU599" s="585"/>
      <c r="AV599" s="585"/>
      <c r="AW599" s="585"/>
      <c r="AX599" s="585"/>
      <c r="AY599" s="585"/>
      <c r="AZ599" s="585"/>
      <c r="BA599" s="585"/>
      <c r="BB599" s="586"/>
      <c r="BC599" s="544"/>
      <c r="BD599" s="545"/>
      <c r="BE599" s="545"/>
      <c r="BF599" s="545"/>
      <c r="BG599" s="545"/>
      <c r="BH599" s="545"/>
      <c r="BI599" s="545"/>
      <c r="BJ599" s="545"/>
      <c r="BK599" s="545"/>
      <c r="BL599" s="545"/>
      <c r="BM599" s="545"/>
      <c r="BN599" s="545"/>
      <c r="BO599" s="545"/>
      <c r="BP599" s="545"/>
      <c r="BQ599" s="545"/>
      <c r="BR599" s="546"/>
      <c r="BS599" s="627"/>
      <c r="BT599" s="628"/>
      <c r="BU599" s="628"/>
      <c r="BV599" s="628"/>
      <c r="BW599" s="628"/>
      <c r="BX599" s="628"/>
      <c r="BY599" s="628"/>
      <c r="BZ599" s="628"/>
      <c r="CA599" s="628"/>
      <c r="CB599" s="628"/>
      <c r="CC599" s="628"/>
      <c r="CD599" s="628"/>
      <c r="CE599" s="628"/>
      <c r="CF599" s="628"/>
      <c r="CG599" s="628"/>
      <c r="CH599" s="629"/>
      <c r="CI599" s="627"/>
      <c r="CJ599" s="628"/>
      <c r="CK599" s="628"/>
      <c r="CL599" s="628"/>
      <c r="CM599" s="628"/>
      <c r="CN599" s="628"/>
      <c r="CO599" s="628"/>
      <c r="CP599" s="628"/>
      <c r="CQ599" s="628"/>
      <c r="CR599" s="628"/>
      <c r="CS599" s="628"/>
      <c r="CT599" s="628"/>
      <c r="CU599" s="628"/>
      <c r="CV599" s="628"/>
      <c r="CW599" s="628"/>
      <c r="CX599" s="628"/>
      <c r="CY599" s="628"/>
      <c r="CZ599" s="629"/>
      <c r="DA599" s="243"/>
    </row>
    <row r="600" spans="1:105" ht="23.25" hidden="1" customHeight="1" x14ac:dyDescent="0.25">
      <c r="A600" s="630"/>
      <c r="B600" s="631"/>
      <c r="C600" s="631"/>
      <c r="D600" s="631"/>
      <c r="E600" s="631"/>
      <c r="F600" s="631"/>
      <c r="G600" s="632"/>
      <c r="H600" s="584"/>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5"/>
      <c r="AL600" s="585"/>
      <c r="AM600" s="585"/>
      <c r="AN600" s="585"/>
      <c r="AO600" s="585"/>
      <c r="AP600" s="585"/>
      <c r="AQ600" s="585"/>
      <c r="AR600" s="585"/>
      <c r="AS600" s="585"/>
      <c r="AT600" s="585"/>
      <c r="AU600" s="585"/>
      <c r="AV600" s="585"/>
      <c r="AW600" s="585"/>
      <c r="AX600" s="585"/>
      <c r="AY600" s="585"/>
      <c r="AZ600" s="585"/>
      <c r="BA600" s="585"/>
      <c r="BB600" s="586"/>
      <c r="BC600" s="544"/>
      <c r="BD600" s="545"/>
      <c r="BE600" s="545"/>
      <c r="BF600" s="545"/>
      <c r="BG600" s="545"/>
      <c r="BH600" s="545"/>
      <c r="BI600" s="545"/>
      <c r="BJ600" s="545"/>
      <c r="BK600" s="545"/>
      <c r="BL600" s="545"/>
      <c r="BM600" s="545"/>
      <c r="BN600" s="545"/>
      <c r="BO600" s="545"/>
      <c r="BP600" s="545"/>
      <c r="BQ600" s="545"/>
      <c r="BR600" s="546"/>
      <c r="BS600" s="627"/>
      <c r="BT600" s="628"/>
      <c r="BU600" s="628"/>
      <c r="BV600" s="628"/>
      <c r="BW600" s="628"/>
      <c r="BX600" s="628"/>
      <c r="BY600" s="628"/>
      <c r="BZ600" s="628"/>
      <c r="CA600" s="628"/>
      <c r="CB600" s="628"/>
      <c r="CC600" s="628"/>
      <c r="CD600" s="628"/>
      <c r="CE600" s="628"/>
      <c r="CF600" s="628"/>
      <c r="CG600" s="628"/>
      <c r="CH600" s="629"/>
      <c r="CI600" s="627"/>
      <c r="CJ600" s="628"/>
      <c r="CK600" s="628"/>
      <c r="CL600" s="628"/>
      <c r="CM600" s="628"/>
      <c r="CN600" s="628"/>
      <c r="CO600" s="628"/>
      <c r="CP600" s="628"/>
      <c r="CQ600" s="628"/>
      <c r="CR600" s="628"/>
      <c r="CS600" s="628"/>
      <c r="CT600" s="628"/>
      <c r="CU600" s="628"/>
      <c r="CV600" s="628"/>
      <c r="CW600" s="628"/>
      <c r="CX600" s="628"/>
      <c r="CY600" s="628"/>
      <c r="CZ600" s="629"/>
      <c r="DA600" s="243"/>
    </row>
    <row r="601" spans="1:105" ht="23.25" hidden="1" customHeight="1" x14ac:dyDescent="0.25">
      <c r="A601" s="630"/>
      <c r="B601" s="631"/>
      <c r="C601" s="631"/>
      <c r="D601" s="631"/>
      <c r="E601" s="631"/>
      <c r="F601" s="631"/>
      <c r="G601" s="632"/>
      <c r="H601" s="584"/>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5"/>
      <c r="AL601" s="585"/>
      <c r="AM601" s="585"/>
      <c r="AN601" s="585"/>
      <c r="AO601" s="585"/>
      <c r="AP601" s="585"/>
      <c r="AQ601" s="585"/>
      <c r="AR601" s="585"/>
      <c r="AS601" s="585"/>
      <c r="AT601" s="585"/>
      <c r="AU601" s="585"/>
      <c r="AV601" s="585"/>
      <c r="AW601" s="585"/>
      <c r="AX601" s="585"/>
      <c r="AY601" s="585"/>
      <c r="AZ601" s="585"/>
      <c r="BA601" s="585"/>
      <c r="BB601" s="586"/>
      <c r="BC601" s="544"/>
      <c r="BD601" s="545"/>
      <c r="BE601" s="545"/>
      <c r="BF601" s="545"/>
      <c r="BG601" s="545"/>
      <c r="BH601" s="545"/>
      <c r="BI601" s="545"/>
      <c r="BJ601" s="545"/>
      <c r="BK601" s="545"/>
      <c r="BL601" s="545"/>
      <c r="BM601" s="545"/>
      <c r="BN601" s="545"/>
      <c r="BO601" s="545"/>
      <c r="BP601" s="545"/>
      <c r="BQ601" s="545"/>
      <c r="BR601" s="546"/>
      <c r="BS601" s="627"/>
      <c r="BT601" s="628"/>
      <c r="BU601" s="628"/>
      <c r="BV601" s="628"/>
      <c r="BW601" s="628"/>
      <c r="BX601" s="628"/>
      <c r="BY601" s="628"/>
      <c r="BZ601" s="628"/>
      <c r="CA601" s="628"/>
      <c r="CB601" s="628"/>
      <c r="CC601" s="628"/>
      <c r="CD601" s="628"/>
      <c r="CE601" s="628"/>
      <c r="CF601" s="628"/>
      <c r="CG601" s="628"/>
      <c r="CH601" s="629"/>
      <c r="CI601" s="627"/>
      <c r="CJ601" s="628"/>
      <c r="CK601" s="628"/>
      <c r="CL601" s="628"/>
      <c r="CM601" s="628"/>
      <c r="CN601" s="628"/>
      <c r="CO601" s="628"/>
      <c r="CP601" s="628"/>
      <c r="CQ601" s="628"/>
      <c r="CR601" s="628"/>
      <c r="CS601" s="628"/>
      <c r="CT601" s="628"/>
      <c r="CU601" s="628"/>
      <c r="CV601" s="628"/>
      <c r="CW601" s="628"/>
      <c r="CX601" s="628"/>
      <c r="CY601" s="628"/>
      <c r="CZ601" s="629"/>
      <c r="DA601" s="243"/>
    </row>
    <row r="602" spans="1:105" ht="23.25" hidden="1" customHeight="1" x14ac:dyDescent="0.25">
      <c r="A602" s="630"/>
      <c r="B602" s="631"/>
      <c r="C602" s="631"/>
      <c r="D602" s="631"/>
      <c r="E602" s="631"/>
      <c r="F602" s="631"/>
      <c r="G602" s="632"/>
      <c r="H602" s="584"/>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5"/>
      <c r="AL602" s="585"/>
      <c r="AM602" s="585"/>
      <c r="AN602" s="585"/>
      <c r="AO602" s="585"/>
      <c r="AP602" s="585"/>
      <c r="AQ602" s="585"/>
      <c r="AR602" s="585"/>
      <c r="AS602" s="585"/>
      <c r="AT602" s="585"/>
      <c r="AU602" s="585"/>
      <c r="AV602" s="585"/>
      <c r="AW602" s="585"/>
      <c r="AX602" s="585"/>
      <c r="AY602" s="585"/>
      <c r="AZ602" s="585"/>
      <c r="BA602" s="585"/>
      <c r="BB602" s="586"/>
      <c r="BC602" s="544"/>
      <c r="BD602" s="545"/>
      <c r="BE602" s="545"/>
      <c r="BF602" s="545"/>
      <c r="BG602" s="545"/>
      <c r="BH602" s="545"/>
      <c r="BI602" s="545"/>
      <c r="BJ602" s="545"/>
      <c r="BK602" s="545"/>
      <c r="BL602" s="545"/>
      <c r="BM602" s="545"/>
      <c r="BN602" s="545"/>
      <c r="BO602" s="545"/>
      <c r="BP602" s="545"/>
      <c r="BQ602" s="545"/>
      <c r="BR602" s="546"/>
      <c r="BS602" s="627"/>
      <c r="BT602" s="628"/>
      <c r="BU602" s="628"/>
      <c r="BV602" s="628"/>
      <c r="BW602" s="628"/>
      <c r="BX602" s="628"/>
      <c r="BY602" s="628"/>
      <c r="BZ602" s="628"/>
      <c r="CA602" s="628"/>
      <c r="CB602" s="628"/>
      <c r="CC602" s="628"/>
      <c r="CD602" s="628"/>
      <c r="CE602" s="628"/>
      <c r="CF602" s="628"/>
      <c r="CG602" s="628"/>
      <c r="CH602" s="629"/>
      <c r="CI602" s="627"/>
      <c r="CJ602" s="628"/>
      <c r="CK602" s="628"/>
      <c r="CL602" s="628"/>
      <c r="CM602" s="628"/>
      <c r="CN602" s="628"/>
      <c r="CO602" s="628"/>
      <c r="CP602" s="628"/>
      <c r="CQ602" s="628"/>
      <c r="CR602" s="628"/>
      <c r="CS602" s="628"/>
      <c r="CT602" s="628"/>
      <c r="CU602" s="628"/>
      <c r="CV602" s="628"/>
      <c r="CW602" s="628"/>
      <c r="CX602" s="628"/>
      <c r="CY602" s="628"/>
      <c r="CZ602" s="629"/>
      <c r="DA602" s="243"/>
    </row>
    <row r="603" spans="1:105" ht="23.25" hidden="1" customHeight="1" x14ac:dyDescent="0.25">
      <c r="A603" s="630"/>
      <c r="B603" s="631"/>
      <c r="C603" s="631"/>
      <c r="D603" s="631"/>
      <c r="E603" s="631"/>
      <c r="F603" s="631"/>
      <c r="G603" s="632"/>
      <c r="H603" s="584"/>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5"/>
      <c r="AL603" s="585"/>
      <c r="AM603" s="585"/>
      <c r="AN603" s="585"/>
      <c r="AO603" s="585"/>
      <c r="AP603" s="585"/>
      <c r="AQ603" s="585"/>
      <c r="AR603" s="585"/>
      <c r="AS603" s="585"/>
      <c r="AT603" s="585"/>
      <c r="AU603" s="585"/>
      <c r="AV603" s="585"/>
      <c r="AW603" s="585"/>
      <c r="AX603" s="585"/>
      <c r="AY603" s="585"/>
      <c r="AZ603" s="585"/>
      <c r="BA603" s="585"/>
      <c r="BB603" s="586"/>
      <c r="BC603" s="544"/>
      <c r="BD603" s="545"/>
      <c r="BE603" s="545"/>
      <c r="BF603" s="545"/>
      <c r="BG603" s="545"/>
      <c r="BH603" s="545"/>
      <c r="BI603" s="545"/>
      <c r="BJ603" s="545"/>
      <c r="BK603" s="545"/>
      <c r="BL603" s="545"/>
      <c r="BM603" s="545"/>
      <c r="BN603" s="545"/>
      <c r="BO603" s="545"/>
      <c r="BP603" s="545"/>
      <c r="BQ603" s="545"/>
      <c r="BR603" s="546"/>
      <c r="BS603" s="627"/>
      <c r="BT603" s="628"/>
      <c r="BU603" s="628"/>
      <c r="BV603" s="628"/>
      <c r="BW603" s="628"/>
      <c r="BX603" s="628"/>
      <c r="BY603" s="628"/>
      <c r="BZ603" s="628"/>
      <c r="CA603" s="628"/>
      <c r="CB603" s="628"/>
      <c r="CC603" s="628"/>
      <c r="CD603" s="628"/>
      <c r="CE603" s="628"/>
      <c r="CF603" s="628"/>
      <c r="CG603" s="628"/>
      <c r="CH603" s="629"/>
      <c r="CI603" s="627"/>
      <c r="CJ603" s="628"/>
      <c r="CK603" s="628"/>
      <c r="CL603" s="628"/>
      <c r="CM603" s="628"/>
      <c r="CN603" s="628"/>
      <c r="CO603" s="628"/>
      <c r="CP603" s="628"/>
      <c r="CQ603" s="628"/>
      <c r="CR603" s="628"/>
      <c r="CS603" s="628"/>
      <c r="CT603" s="628"/>
      <c r="CU603" s="628"/>
      <c r="CV603" s="628"/>
      <c r="CW603" s="628"/>
      <c r="CX603" s="628"/>
      <c r="CY603" s="628"/>
      <c r="CZ603" s="629"/>
      <c r="DA603" s="243"/>
    </row>
    <row r="604" spans="1:105" ht="23.25" hidden="1" customHeight="1" x14ac:dyDescent="0.25">
      <c r="A604" s="630"/>
      <c r="B604" s="631"/>
      <c r="C604" s="631"/>
      <c r="D604" s="631"/>
      <c r="E604" s="631"/>
      <c r="F604" s="631"/>
      <c r="G604" s="632"/>
      <c r="H604" s="584"/>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5"/>
      <c r="AL604" s="585"/>
      <c r="AM604" s="585"/>
      <c r="AN604" s="585"/>
      <c r="AO604" s="585"/>
      <c r="AP604" s="585"/>
      <c r="AQ604" s="585"/>
      <c r="AR604" s="585"/>
      <c r="AS604" s="585"/>
      <c r="AT604" s="585"/>
      <c r="AU604" s="585"/>
      <c r="AV604" s="585"/>
      <c r="AW604" s="585"/>
      <c r="AX604" s="585"/>
      <c r="AY604" s="585"/>
      <c r="AZ604" s="585"/>
      <c r="BA604" s="585"/>
      <c r="BB604" s="586"/>
      <c r="BC604" s="544"/>
      <c r="BD604" s="545"/>
      <c r="BE604" s="545"/>
      <c r="BF604" s="545"/>
      <c r="BG604" s="545"/>
      <c r="BH604" s="545"/>
      <c r="BI604" s="545"/>
      <c r="BJ604" s="545"/>
      <c r="BK604" s="545"/>
      <c r="BL604" s="545"/>
      <c r="BM604" s="545"/>
      <c r="BN604" s="545"/>
      <c r="BO604" s="545"/>
      <c r="BP604" s="545"/>
      <c r="BQ604" s="545"/>
      <c r="BR604" s="546"/>
      <c r="BS604" s="627"/>
      <c r="BT604" s="628"/>
      <c r="BU604" s="628"/>
      <c r="BV604" s="628"/>
      <c r="BW604" s="628"/>
      <c r="BX604" s="628"/>
      <c r="BY604" s="628"/>
      <c r="BZ604" s="628"/>
      <c r="CA604" s="628"/>
      <c r="CB604" s="628"/>
      <c r="CC604" s="628"/>
      <c r="CD604" s="628"/>
      <c r="CE604" s="628"/>
      <c r="CF604" s="628"/>
      <c r="CG604" s="628"/>
      <c r="CH604" s="629"/>
      <c r="CI604" s="627"/>
      <c r="CJ604" s="628"/>
      <c r="CK604" s="628"/>
      <c r="CL604" s="628"/>
      <c r="CM604" s="628"/>
      <c r="CN604" s="628"/>
      <c r="CO604" s="628"/>
      <c r="CP604" s="628"/>
      <c r="CQ604" s="628"/>
      <c r="CR604" s="628"/>
      <c r="CS604" s="628"/>
      <c r="CT604" s="628"/>
      <c r="CU604" s="628"/>
      <c r="CV604" s="628"/>
      <c r="CW604" s="628"/>
      <c r="CX604" s="628"/>
      <c r="CY604" s="628"/>
      <c r="CZ604" s="629"/>
      <c r="DA604" s="243"/>
    </row>
    <row r="605" spans="1:105" ht="23.25" hidden="1" customHeight="1" x14ac:dyDescent="0.25">
      <c r="A605" s="630"/>
      <c r="B605" s="631"/>
      <c r="C605" s="631"/>
      <c r="D605" s="631"/>
      <c r="E605" s="631"/>
      <c r="F605" s="631"/>
      <c r="G605" s="632"/>
      <c r="H605" s="584"/>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5"/>
      <c r="AL605" s="585"/>
      <c r="AM605" s="585"/>
      <c r="AN605" s="585"/>
      <c r="AO605" s="585"/>
      <c r="AP605" s="585"/>
      <c r="AQ605" s="585"/>
      <c r="AR605" s="585"/>
      <c r="AS605" s="585"/>
      <c r="AT605" s="585"/>
      <c r="AU605" s="585"/>
      <c r="AV605" s="585"/>
      <c r="AW605" s="585"/>
      <c r="AX605" s="585"/>
      <c r="AY605" s="585"/>
      <c r="AZ605" s="585"/>
      <c r="BA605" s="585"/>
      <c r="BB605" s="586"/>
      <c r="BC605" s="544"/>
      <c r="BD605" s="545"/>
      <c r="BE605" s="545"/>
      <c r="BF605" s="545"/>
      <c r="BG605" s="545"/>
      <c r="BH605" s="545"/>
      <c r="BI605" s="545"/>
      <c r="BJ605" s="545"/>
      <c r="BK605" s="545"/>
      <c r="BL605" s="545"/>
      <c r="BM605" s="545"/>
      <c r="BN605" s="545"/>
      <c r="BO605" s="545"/>
      <c r="BP605" s="545"/>
      <c r="BQ605" s="545"/>
      <c r="BR605" s="546"/>
      <c r="BS605" s="627"/>
      <c r="BT605" s="628"/>
      <c r="BU605" s="628"/>
      <c r="BV605" s="628"/>
      <c r="BW605" s="628"/>
      <c r="BX605" s="628"/>
      <c r="BY605" s="628"/>
      <c r="BZ605" s="628"/>
      <c r="CA605" s="628"/>
      <c r="CB605" s="628"/>
      <c r="CC605" s="628"/>
      <c r="CD605" s="628"/>
      <c r="CE605" s="628"/>
      <c r="CF605" s="628"/>
      <c r="CG605" s="628"/>
      <c r="CH605" s="629"/>
      <c r="CI605" s="627"/>
      <c r="CJ605" s="628"/>
      <c r="CK605" s="628"/>
      <c r="CL605" s="628"/>
      <c r="CM605" s="628"/>
      <c r="CN605" s="628"/>
      <c r="CO605" s="628"/>
      <c r="CP605" s="628"/>
      <c r="CQ605" s="628"/>
      <c r="CR605" s="628"/>
      <c r="CS605" s="628"/>
      <c r="CT605" s="628"/>
      <c r="CU605" s="628"/>
      <c r="CV605" s="628"/>
      <c r="CW605" s="628"/>
      <c r="CX605" s="628"/>
      <c r="CY605" s="628"/>
      <c r="CZ605" s="629"/>
      <c r="DA605" s="243"/>
    </row>
    <row r="606" spans="1:105" ht="23.25" hidden="1" customHeight="1" x14ac:dyDescent="0.25">
      <c r="A606" s="630"/>
      <c r="B606" s="631"/>
      <c r="C606" s="631"/>
      <c r="D606" s="631"/>
      <c r="E606" s="631"/>
      <c r="F606" s="631"/>
      <c r="G606" s="632"/>
      <c r="H606" s="584"/>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5"/>
      <c r="AL606" s="585"/>
      <c r="AM606" s="585"/>
      <c r="AN606" s="585"/>
      <c r="AO606" s="585"/>
      <c r="AP606" s="585"/>
      <c r="AQ606" s="585"/>
      <c r="AR606" s="585"/>
      <c r="AS606" s="585"/>
      <c r="AT606" s="585"/>
      <c r="AU606" s="585"/>
      <c r="AV606" s="585"/>
      <c r="AW606" s="585"/>
      <c r="AX606" s="585"/>
      <c r="AY606" s="585"/>
      <c r="AZ606" s="585"/>
      <c r="BA606" s="585"/>
      <c r="BB606" s="586"/>
      <c r="BC606" s="544"/>
      <c r="BD606" s="545"/>
      <c r="BE606" s="545"/>
      <c r="BF606" s="545"/>
      <c r="BG606" s="545"/>
      <c r="BH606" s="545"/>
      <c r="BI606" s="545"/>
      <c r="BJ606" s="545"/>
      <c r="BK606" s="545"/>
      <c r="BL606" s="545"/>
      <c r="BM606" s="545"/>
      <c r="BN606" s="545"/>
      <c r="BO606" s="545"/>
      <c r="BP606" s="545"/>
      <c r="BQ606" s="545"/>
      <c r="BR606" s="546"/>
      <c r="BS606" s="627"/>
      <c r="BT606" s="628"/>
      <c r="BU606" s="628"/>
      <c r="BV606" s="628"/>
      <c r="BW606" s="628"/>
      <c r="BX606" s="628"/>
      <c r="BY606" s="628"/>
      <c r="BZ606" s="628"/>
      <c r="CA606" s="628"/>
      <c r="CB606" s="628"/>
      <c r="CC606" s="628"/>
      <c r="CD606" s="628"/>
      <c r="CE606" s="628"/>
      <c r="CF606" s="628"/>
      <c r="CG606" s="628"/>
      <c r="CH606" s="629"/>
      <c r="CI606" s="627"/>
      <c r="CJ606" s="628"/>
      <c r="CK606" s="628"/>
      <c r="CL606" s="628"/>
      <c r="CM606" s="628"/>
      <c r="CN606" s="628"/>
      <c r="CO606" s="628"/>
      <c r="CP606" s="628"/>
      <c r="CQ606" s="628"/>
      <c r="CR606" s="628"/>
      <c r="CS606" s="628"/>
      <c r="CT606" s="628"/>
      <c r="CU606" s="628"/>
      <c r="CV606" s="628"/>
      <c r="CW606" s="628"/>
      <c r="CX606" s="628"/>
      <c r="CY606" s="628"/>
      <c r="CZ606" s="629"/>
      <c r="DA606" s="243"/>
    </row>
    <row r="607" spans="1:105" ht="23.25" hidden="1" customHeight="1" x14ac:dyDescent="0.25">
      <c r="A607" s="630"/>
      <c r="B607" s="631"/>
      <c r="C607" s="631"/>
      <c r="D607" s="631"/>
      <c r="E607" s="631"/>
      <c r="F607" s="631"/>
      <c r="G607" s="632"/>
      <c r="H607" s="584"/>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5"/>
      <c r="AL607" s="585"/>
      <c r="AM607" s="585"/>
      <c r="AN607" s="585"/>
      <c r="AO607" s="585"/>
      <c r="AP607" s="585"/>
      <c r="AQ607" s="585"/>
      <c r="AR607" s="585"/>
      <c r="AS607" s="585"/>
      <c r="AT607" s="585"/>
      <c r="AU607" s="585"/>
      <c r="AV607" s="585"/>
      <c r="AW607" s="585"/>
      <c r="AX607" s="585"/>
      <c r="AY607" s="585"/>
      <c r="AZ607" s="585"/>
      <c r="BA607" s="585"/>
      <c r="BB607" s="586"/>
      <c r="BC607" s="544"/>
      <c r="BD607" s="545"/>
      <c r="BE607" s="545"/>
      <c r="BF607" s="545"/>
      <c r="BG607" s="545"/>
      <c r="BH607" s="545"/>
      <c r="BI607" s="545"/>
      <c r="BJ607" s="545"/>
      <c r="BK607" s="545"/>
      <c r="BL607" s="545"/>
      <c r="BM607" s="545"/>
      <c r="BN607" s="545"/>
      <c r="BO607" s="545"/>
      <c r="BP607" s="545"/>
      <c r="BQ607" s="545"/>
      <c r="BR607" s="546"/>
      <c r="BS607" s="627"/>
      <c r="BT607" s="628"/>
      <c r="BU607" s="628"/>
      <c r="BV607" s="628"/>
      <c r="BW607" s="628"/>
      <c r="BX607" s="628"/>
      <c r="BY607" s="628"/>
      <c r="BZ607" s="628"/>
      <c r="CA607" s="628"/>
      <c r="CB607" s="628"/>
      <c r="CC607" s="628"/>
      <c r="CD607" s="628"/>
      <c r="CE607" s="628"/>
      <c r="CF607" s="628"/>
      <c r="CG607" s="628"/>
      <c r="CH607" s="629"/>
      <c r="CI607" s="627"/>
      <c r="CJ607" s="628"/>
      <c r="CK607" s="628"/>
      <c r="CL607" s="628"/>
      <c r="CM607" s="628"/>
      <c r="CN607" s="628"/>
      <c r="CO607" s="628"/>
      <c r="CP607" s="628"/>
      <c r="CQ607" s="628"/>
      <c r="CR607" s="628"/>
      <c r="CS607" s="628"/>
      <c r="CT607" s="628"/>
      <c r="CU607" s="628"/>
      <c r="CV607" s="628"/>
      <c r="CW607" s="628"/>
      <c r="CX607" s="628"/>
      <c r="CY607" s="628"/>
      <c r="CZ607" s="629"/>
      <c r="DA607" s="243"/>
    </row>
    <row r="608" spans="1:105" ht="23.25" hidden="1" customHeight="1" x14ac:dyDescent="0.25">
      <c r="A608" s="630"/>
      <c r="B608" s="631"/>
      <c r="C608" s="631"/>
      <c r="D608" s="631"/>
      <c r="E608" s="631"/>
      <c r="F608" s="631"/>
      <c r="G608" s="632"/>
      <c r="H608" s="584"/>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5"/>
      <c r="AL608" s="585"/>
      <c r="AM608" s="585"/>
      <c r="AN608" s="585"/>
      <c r="AO608" s="585"/>
      <c r="AP608" s="585"/>
      <c r="AQ608" s="585"/>
      <c r="AR608" s="585"/>
      <c r="AS608" s="585"/>
      <c r="AT608" s="585"/>
      <c r="AU608" s="585"/>
      <c r="AV608" s="585"/>
      <c r="AW608" s="585"/>
      <c r="AX608" s="585"/>
      <c r="AY608" s="585"/>
      <c r="AZ608" s="585"/>
      <c r="BA608" s="585"/>
      <c r="BB608" s="586"/>
      <c r="BC608" s="544"/>
      <c r="BD608" s="545"/>
      <c r="BE608" s="545"/>
      <c r="BF608" s="545"/>
      <c r="BG608" s="545"/>
      <c r="BH608" s="545"/>
      <c r="BI608" s="545"/>
      <c r="BJ608" s="545"/>
      <c r="BK608" s="545"/>
      <c r="BL608" s="545"/>
      <c r="BM608" s="545"/>
      <c r="BN608" s="545"/>
      <c r="BO608" s="545"/>
      <c r="BP608" s="545"/>
      <c r="BQ608" s="545"/>
      <c r="BR608" s="546"/>
      <c r="BS608" s="627"/>
      <c r="BT608" s="628"/>
      <c r="BU608" s="628"/>
      <c r="BV608" s="628"/>
      <c r="BW608" s="628"/>
      <c r="BX608" s="628"/>
      <c r="BY608" s="628"/>
      <c r="BZ608" s="628"/>
      <c r="CA608" s="628"/>
      <c r="CB608" s="628"/>
      <c r="CC608" s="628"/>
      <c r="CD608" s="628"/>
      <c r="CE608" s="628"/>
      <c r="CF608" s="628"/>
      <c r="CG608" s="628"/>
      <c r="CH608" s="629"/>
      <c r="CI608" s="627"/>
      <c r="CJ608" s="628"/>
      <c r="CK608" s="628"/>
      <c r="CL608" s="628"/>
      <c r="CM608" s="628"/>
      <c r="CN608" s="628"/>
      <c r="CO608" s="628"/>
      <c r="CP608" s="628"/>
      <c r="CQ608" s="628"/>
      <c r="CR608" s="628"/>
      <c r="CS608" s="628"/>
      <c r="CT608" s="628"/>
      <c r="CU608" s="628"/>
      <c r="CV608" s="628"/>
      <c r="CW608" s="628"/>
      <c r="CX608" s="628"/>
      <c r="CY608" s="628"/>
      <c r="CZ608" s="629"/>
      <c r="DA608" s="243"/>
    </row>
    <row r="609" spans="1:105" ht="23.25" hidden="1" customHeight="1" x14ac:dyDescent="0.25">
      <c r="A609" s="630"/>
      <c r="B609" s="631"/>
      <c r="C609" s="631"/>
      <c r="D609" s="631"/>
      <c r="E609" s="631"/>
      <c r="F609" s="631"/>
      <c r="G609" s="632"/>
      <c r="H609" s="584"/>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5"/>
      <c r="AL609" s="585"/>
      <c r="AM609" s="585"/>
      <c r="AN609" s="585"/>
      <c r="AO609" s="585"/>
      <c r="AP609" s="585"/>
      <c r="AQ609" s="585"/>
      <c r="AR609" s="585"/>
      <c r="AS609" s="585"/>
      <c r="AT609" s="585"/>
      <c r="AU609" s="585"/>
      <c r="AV609" s="585"/>
      <c r="AW609" s="585"/>
      <c r="AX609" s="585"/>
      <c r="AY609" s="585"/>
      <c r="AZ609" s="585"/>
      <c r="BA609" s="585"/>
      <c r="BB609" s="586"/>
      <c r="BC609" s="544"/>
      <c r="BD609" s="545"/>
      <c r="BE609" s="545"/>
      <c r="BF609" s="545"/>
      <c r="BG609" s="545"/>
      <c r="BH609" s="545"/>
      <c r="BI609" s="545"/>
      <c r="BJ609" s="545"/>
      <c r="BK609" s="545"/>
      <c r="BL609" s="545"/>
      <c r="BM609" s="545"/>
      <c r="BN609" s="545"/>
      <c r="BO609" s="545"/>
      <c r="BP609" s="545"/>
      <c r="BQ609" s="545"/>
      <c r="BR609" s="546"/>
      <c r="BS609" s="627"/>
      <c r="BT609" s="628"/>
      <c r="BU609" s="628"/>
      <c r="BV609" s="628"/>
      <c r="BW609" s="628"/>
      <c r="BX609" s="628"/>
      <c r="BY609" s="628"/>
      <c r="BZ609" s="628"/>
      <c r="CA609" s="628"/>
      <c r="CB609" s="628"/>
      <c r="CC609" s="628"/>
      <c r="CD609" s="628"/>
      <c r="CE609" s="628"/>
      <c r="CF609" s="628"/>
      <c r="CG609" s="628"/>
      <c r="CH609" s="629"/>
      <c r="CI609" s="627"/>
      <c r="CJ609" s="628"/>
      <c r="CK609" s="628"/>
      <c r="CL609" s="628"/>
      <c r="CM609" s="628"/>
      <c r="CN609" s="628"/>
      <c r="CO609" s="628"/>
      <c r="CP609" s="628"/>
      <c r="CQ609" s="628"/>
      <c r="CR609" s="628"/>
      <c r="CS609" s="628"/>
      <c r="CT609" s="628"/>
      <c r="CU609" s="628"/>
      <c r="CV609" s="628"/>
      <c r="CW609" s="628"/>
      <c r="CX609" s="628"/>
      <c r="CY609" s="628"/>
      <c r="CZ609" s="629"/>
      <c r="DA609" s="243"/>
    </row>
    <row r="610" spans="1:105" ht="23.25" hidden="1" customHeight="1" x14ac:dyDescent="0.25">
      <c r="A610" s="630"/>
      <c r="B610" s="631"/>
      <c r="C610" s="631"/>
      <c r="D610" s="631"/>
      <c r="E610" s="631"/>
      <c r="F610" s="631"/>
      <c r="G610" s="632"/>
      <c r="H610" s="584"/>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5"/>
      <c r="AL610" s="585"/>
      <c r="AM610" s="585"/>
      <c r="AN610" s="585"/>
      <c r="AO610" s="585"/>
      <c r="AP610" s="585"/>
      <c r="AQ610" s="585"/>
      <c r="AR610" s="585"/>
      <c r="AS610" s="585"/>
      <c r="AT610" s="585"/>
      <c r="AU610" s="585"/>
      <c r="AV610" s="585"/>
      <c r="AW610" s="585"/>
      <c r="AX610" s="585"/>
      <c r="AY610" s="585"/>
      <c r="AZ610" s="585"/>
      <c r="BA610" s="585"/>
      <c r="BB610" s="586"/>
      <c r="BC610" s="544"/>
      <c r="BD610" s="545"/>
      <c r="BE610" s="545"/>
      <c r="BF610" s="545"/>
      <c r="BG610" s="545"/>
      <c r="BH610" s="545"/>
      <c r="BI610" s="545"/>
      <c r="BJ610" s="545"/>
      <c r="BK610" s="545"/>
      <c r="BL610" s="545"/>
      <c r="BM610" s="545"/>
      <c r="BN610" s="545"/>
      <c r="BO610" s="545"/>
      <c r="BP610" s="545"/>
      <c r="BQ610" s="545"/>
      <c r="BR610" s="546"/>
      <c r="BS610" s="627"/>
      <c r="BT610" s="628"/>
      <c r="BU610" s="628"/>
      <c r="BV610" s="628"/>
      <c r="BW610" s="628"/>
      <c r="BX610" s="628"/>
      <c r="BY610" s="628"/>
      <c r="BZ610" s="628"/>
      <c r="CA610" s="628"/>
      <c r="CB610" s="628"/>
      <c r="CC610" s="628"/>
      <c r="CD610" s="628"/>
      <c r="CE610" s="628"/>
      <c r="CF610" s="628"/>
      <c r="CG610" s="628"/>
      <c r="CH610" s="629"/>
      <c r="CI610" s="627"/>
      <c r="CJ610" s="628"/>
      <c r="CK610" s="628"/>
      <c r="CL610" s="628"/>
      <c r="CM610" s="628"/>
      <c r="CN610" s="628"/>
      <c r="CO610" s="628"/>
      <c r="CP610" s="628"/>
      <c r="CQ610" s="628"/>
      <c r="CR610" s="628"/>
      <c r="CS610" s="628"/>
      <c r="CT610" s="628"/>
      <c r="CU610" s="628"/>
      <c r="CV610" s="628"/>
      <c r="CW610" s="628"/>
      <c r="CX610" s="628"/>
      <c r="CY610" s="628"/>
      <c r="CZ610" s="629"/>
      <c r="DA610" s="243"/>
    </row>
    <row r="611" spans="1:105" ht="23.25" hidden="1" customHeight="1" x14ac:dyDescent="0.25">
      <c r="A611" s="630"/>
      <c r="B611" s="631"/>
      <c r="C611" s="631"/>
      <c r="D611" s="631"/>
      <c r="E611" s="631"/>
      <c r="F611" s="631"/>
      <c r="G611" s="632"/>
      <c r="H611" s="584"/>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5"/>
      <c r="AL611" s="585"/>
      <c r="AM611" s="585"/>
      <c r="AN611" s="585"/>
      <c r="AO611" s="585"/>
      <c r="AP611" s="585"/>
      <c r="AQ611" s="585"/>
      <c r="AR611" s="585"/>
      <c r="AS611" s="585"/>
      <c r="AT611" s="585"/>
      <c r="AU611" s="585"/>
      <c r="AV611" s="585"/>
      <c r="AW611" s="585"/>
      <c r="AX611" s="585"/>
      <c r="AY611" s="585"/>
      <c r="AZ611" s="585"/>
      <c r="BA611" s="585"/>
      <c r="BB611" s="586"/>
      <c r="BC611" s="544"/>
      <c r="BD611" s="545"/>
      <c r="BE611" s="545"/>
      <c r="BF611" s="545"/>
      <c r="BG611" s="545"/>
      <c r="BH611" s="545"/>
      <c r="BI611" s="545"/>
      <c r="BJ611" s="545"/>
      <c r="BK611" s="545"/>
      <c r="BL611" s="545"/>
      <c r="BM611" s="545"/>
      <c r="BN611" s="545"/>
      <c r="BO611" s="545"/>
      <c r="BP611" s="545"/>
      <c r="BQ611" s="545"/>
      <c r="BR611" s="546"/>
      <c r="BS611" s="627"/>
      <c r="BT611" s="628"/>
      <c r="BU611" s="628"/>
      <c r="BV611" s="628"/>
      <c r="BW611" s="628"/>
      <c r="BX611" s="628"/>
      <c r="BY611" s="628"/>
      <c r="BZ611" s="628"/>
      <c r="CA611" s="628"/>
      <c r="CB611" s="628"/>
      <c r="CC611" s="628"/>
      <c r="CD611" s="628"/>
      <c r="CE611" s="628"/>
      <c r="CF611" s="628"/>
      <c r="CG611" s="628"/>
      <c r="CH611" s="629"/>
      <c r="CI611" s="627"/>
      <c r="CJ611" s="628"/>
      <c r="CK611" s="628"/>
      <c r="CL611" s="628"/>
      <c r="CM611" s="628"/>
      <c r="CN611" s="628"/>
      <c r="CO611" s="628"/>
      <c r="CP611" s="628"/>
      <c r="CQ611" s="628"/>
      <c r="CR611" s="628"/>
      <c r="CS611" s="628"/>
      <c r="CT611" s="628"/>
      <c r="CU611" s="628"/>
      <c r="CV611" s="628"/>
      <c r="CW611" s="628"/>
      <c r="CX611" s="628"/>
      <c r="CY611" s="628"/>
      <c r="CZ611" s="629"/>
      <c r="DA611" s="243"/>
    </row>
    <row r="612" spans="1:105" ht="23.25" hidden="1" customHeight="1" x14ac:dyDescent="0.25">
      <c r="A612" s="630"/>
      <c r="B612" s="631"/>
      <c r="C612" s="631"/>
      <c r="D612" s="631"/>
      <c r="E612" s="631"/>
      <c r="F612" s="631"/>
      <c r="G612" s="632"/>
      <c r="H612" s="584"/>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5"/>
      <c r="AL612" s="585"/>
      <c r="AM612" s="585"/>
      <c r="AN612" s="585"/>
      <c r="AO612" s="585"/>
      <c r="AP612" s="585"/>
      <c r="AQ612" s="585"/>
      <c r="AR612" s="585"/>
      <c r="AS612" s="585"/>
      <c r="AT612" s="585"/>
      <c r="AU612" s="585"/>
      <c r="AV612" s="585"/>
      <c r="AW612" s="585"/>
      <c r="AX612" s="585"/>
      <c r="AY612" s="585"/>
      <c r="AZ612" s="585"/>
      <c r="BA612" s="585"/>
      <c r="BB612" s="586"/>
      <c r="BC612" s="544"/>
      <c r="BD612" s="545"/>
      <c r="BE612" s="545"/>
      <c r="BF612" s="545"/>
      <c r="BG612" s="545"/>
      <c r="BH612" s="545"/>
      <c r="BI612" s="545"/>
      <c r="BJ612" s="545"/>
      <c r="BK612" s="545"/>
      <c r="BL612" s="545"/>
      <c r="BM612" s="545"/>
      <c r="BN612" s="545"/>
      <c r="BO612" s="545"/>
      <c r="BP612" s="545"/>
      <c r="BQ612" s="545"/>
      <c r="BR612" s="546"/>
      <c r="BS612" s="627"/>
      <c r="BT612" s="628"/>
      <c r="BU612" s="628"/>
      <c r="BV612" s="628"/>
      <c r="BW612" s="628"/>
      <c r="BX612" s="628"/>
      <c r="BY612" s="628"/>
      <c r="BZ612" s="628"/>
      <c r="CA612" s="628"/>
      <c r="CB612" s="628"/>
      <c r="CC612" s="628"/>
      <c r="CD612" s="628"/>
      <c r="CE612" s="628"/>
      <c r="CF612" s="628"/>
      <c r="CG612" s="628"/>
      <c r="CH612" s="629"/>
      <c r="CI612" s="627"/>
      <c r="CJ612" s="628"/>
      <c r="CK612" s="628"/>
      <c r="CL612" s="628"/>
      <c r="CM612" s="628"/>
      <c r="CN612" s="628"/>
      <c r="CO612" s="628"/>
      <c r="CP612" s="628"/>
      <c r="CQ612" s="628"/>
      <c r="CR612" s="628"/>
      <c r="CS612" s="628"/>
      <c r="CT612" s="628"/>
      <c r="CU612" s="628"/>
      <c r="CV612" s="628"/>
      <c r="CW612" s="628"/>
      <c r="CX612" s="628"/>
      <c r="CY612" s="628"/>
      <c r="CZ612" s="629"/>
      <c r="DA612" s="243"/>
    </row>
    <row r="613" spans="1:105" ht="23.25" hidden="1" customHeight="1" x14ac:dyDescent="0.25">
      <c r="A613" s="630"/>
      <c r="B613" s="631"/>
      <c r="C613" s="631"/>
      <c r="D613" s="631"/>
      <c r="E613" s="631"/>
      <c r="F613" s="631"/>
      <c r="G613" s="632"/>
      <c r="H613" s="584"/>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5"/>
      <c r="AL613" s="585"/>
      <c r="AM613" s="585"/>
      <c r="AN613" s="585"/>
      <c r="AO613" s="585"/>
      <c r="AP613" s="585"/>
      <c r="AQ613" s="585"/>
      <c r="AR613" s="585"/>
      <c r="AS613" s="585"/>
      <c r="AT613" s="585"/>
      <c r="AU613" s="585"/>
      <c r="AV613" s="585"/>
      <c r="AW613" s="585"/>
      <c r="AX613" s="585"/>
      <c r="AY613" s="585"/>
      <c r="AZ613" s="585"/>
      <c r="BA613" s="585"/>
      <c r="BB613" s="586"/>
      <c r="BC613" s="544"/>
      <c r="BD613" s="545"/>
      <c r="BE613" s="545"/>
      <c r="BF613" s="545"/>
      <c r="BG613" s="545"/>
      <c r="BH613" s="545"/>
      <c r="BI613" s="545"/>
      <c r="BJ613" s="545"/>
      <c r="BK613" s="545"/>
      <c r="BL613" s="545"/>
      <c r="BM613" s="545"/>
      <c r="BN613" s="545"/>
      <c r="BO613" s="545"/>
      <c r="BP613" s="545"/>
      <c r="BQ613" s="545"/>
      <c r="BR613" s="546"/>
      <c r="BS613" s="627"/>
      <c r="BT613" s="628"/>
      <c r="BU613" s="628"/>
      <c r="BV613" s="628"/>
      <c r="BW613" s="628"/>
      <c r="BX613" s="628"/>
      <c r="BY613" s="628"/>
      <c r="BZ613" s="628"/>
      <c r="CA613" s="628"/>
      <c r="CB613" s="628"/>
      <c r="CC613" s="628"/>
      <c r="CD613" s="628"/>
      <c r="CE613" s="628"/>
      <c r="CF613" s="628"/>
      <c r="CG613" s="628"/>
      <c r="CH613" s="629"/>
      <c r="CI613" s="627"/>
      <c r="CJ613" s="628"/>
      <c r="CK613" s="628"/>
      <c r="CL613" s="628"/>
      <c r="CM613" s="628"/>
      <c r="CN613" s="628"/>
      <c r="CO613" s="628"/>
      <c r="CP613" s="628"/>
      <c r="CQ613" s="628"/>
      <c r="CR613" s="628"/>
      <c r="CS613" s="628"/>
      <c r="CT613" s="628"/>
      <c r="CU613" s="628"/>
      <c r="CV613" s="628"/>
      <c r="CW613" s="628"/>
      <c r="CX613" s="628"/>
      <c r="CY613" s="628"/>
      <c r="CZ613" s="629"/>
      <c r="DA613" s="243"/>
    </row>
    <row r="614" spans="1:105" ht="23.25" hidden="1" customHeight="1" x14ac:dyDescent="0.25">
      <c r="A614" s="630"/>
      <c r="B614" s="631"/>
      <c r="C614" s="631"/>
      <c r="D614" s="631"/>
      <c r="E614" s="631"/>
      <c r="F614" s="631"/>
      <c r="G614" s="632"/>
      <c r="H614" s="584"/>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5"/>
      <c r="AL614" s="585"/>
      <c r="AM614" s="585"/>
      <c r="AN614" s="585"/>
      <c r="AO614" s="585"/>
      <c r="AP614" s="585"/>
      <c r="AQ614" s="585"/>
      <c r="AR614" s="585"/>
      <c r="AS614" s="585"/>
      <c r="AT614" s="585"/>
      <c r="AU614" s="585"/>
      <c r="AV614" s="585"/>
      <c r="AW614" s="585"/>
      <c r="AX614" s="585"/>
      <c r="AY614" s="585"/>
      <c r="AZ614" s="585"/>
      <c r="BA614" s="585"/>
      <c r="BB614" s="586"/>
      <c r="BC614" s="544"/>
      <c r="BD614" s="545"/>
      <c r="BE614" s="545"/>
      <c r="BF614" s="545"/>
      <c r="BG614" s="545"/>
      <c r="BH614" s="545"/>
      <c r="BI614" s="545"/>
      <c r="BJ614" s="545"/>
      <c r="BK614" s="545"/>
      <c r="BL614" s="545"/>
      <c r="BM614" s="545"/>
      <c r="BN614" s="545"/>
      <c r="BO614" s="545"/>
      <c r="BP614" s="545"/>
      <c r="BQ614" s="545"/>
      <c r="BR614" s="546"/>
      <c r="BS614" s="627"/>
      <c r="BT614" s="628"/>
      <c r="BU614" s="628"/>
      <c r="BV614" s="628"/>
      <c r="BW614" s="628"/>
      <c r="BX614" s="628"/>
      <c r="BY614" s="628"/>
      <c r="BZ614" s="628"/>
      <c r="CA614" s="628"/>
      <c r="CB614" s="628"/>
      <c r="CC614" s="628"/>
      <c r="CD614" s="628"/>
      <c r="CE614" s="628"/>
      <c r="CF614" s="628"/>
      <c r="CG614" s="628"/>
      <c r="CH614" s="629"/>
      <c r="CI614" s="627"/>
      <c r="CJ614" s="628"/>
      <c r="CK614" s="628"/>
      <c r="CL614" s="628"/>
      <c r="CM614" s="628"/>
      <c r="CN614" s="628"/>
      <c r="CO614" s="628"/>
      <c r="CP614" s="628"/>
      <c r="CQ614" s="628"/>
      <c r="CR614" s="628"/>
      <c r="CS614" s="628"/>
      <c r="CT614" s="628"/>
      <c r="CU614" s="628"/>
      <c r="CV614" s="628"/>
      <c r="CW614" s="628"/>
      <c r="CX614" s="628"/>
      <c r="CY614" s="628"/>
      <c r="CZ614" s="629"/>
      <c r="DA614" s="243"/>
    </row>
    <row r="615" spans="1:105" ht="23.25" hidden="1" customHeight="1" x14ac:dyDescent="0.25">
      <c r="A615" s="630"/>
      <c r="B615" s="631"/>
      <c r="C615" s="631"/>
      <c r="D615" s="631"/>
      <c r="E615" s="631"/>
      <c r="F615" s="631"/>
      <c r="G615" s="632"/>
      <c r="H615" s="584"/>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5"/>
      <c r="AL615" s="585"/>
      <c r="AM615" s="585"/>
      <c r="AN615" s="585"/>
      <c r="AO615" s="585"/>
      <c r="AP615" s="585"/>
      <c r="AQ615" s="585"/>
      <c r="AR615" s="585"/>
      <c r="AS615" s="585"/>
      <c r="AT615" s="585"/>
      <c r="AU615" s="585"/>
      <c r="AV615" s="585"/>
      <c r="AW615" s="585"/>
      <c r="AX615" s="585"/>
      <c r="AY615" s="585"/>
      <c r="AZ615" s="585"/>
      <c r="BA615" s="585"/>
      <c r="BB615" s="586"/>
      <c r="BC615" s="544"/>
      <c r="BD615" s="545"/>
      <c r="BE615" s="545"/>
      <c r="BF615" s="545"/>
      <c r="BG615" s="545"/>
      <c r="BH615" s="545"/>
      <c r="BI615" s="545"/>
      <c r="BJ615" s="545"/>
      <c r="BK615" s="545"/>
      <c r="BL615" s="545"/>
      <c r="BM615" s="545"/>
      <c r="BN615" s="545"/>
      <c r="BO615" s="545"/>
      <c r="BP615" s="545"/>
      <c r="BQ615" s="545"/>
      <c r="BR615" s="546"/>
      <c r="BS615" s="627"/>
      <c r="BT615" s="628"/>
      <c r="BU615" s="628"/>
      <c r="BV615" s="628"/>
      <c r="BW615" s="628"/>
      <c r="BX615" s="628"/>
      <c r="BY615" s="628"/>
      <c r="BZ615" s="628"/>
      <c r="CA615" s="628"/>
      <c r="CB615" s="628"/>
      <c r="CC615" s="628"/>
      <c r="CD615" s="628"/>
      <c r="CE615" s="628"/>
      <c r="CF615" s="628"/>
      <c r="CG615" s="628"/>
      <c r="CH615" s="629"/>
      <c r="CI615" s="627"/>
      <c r="CJ615" s="628"/>
      <c r="CK615" s="628"/>
      <c r="CL615" s="628"/>
      <c r="CM615" s="628"/>
      <c r="CN615" s="628"/>
      <c r="CO615" s="628"/>
      <c r="CP615" s="628"/>
      <c r="CQ615" s="628"/>
      <c r="CR615" s="628"/>
      <c r="CS615" s="628"/>
      <c r="CT615" s="628"/>
      <c r="CU615" s="628"/>
      <c r="CV615" s="628"/>
      <c r="CW615" s="628"/>
      <c r="CX615" s="628"/>
      <c r="CY615" s="628"/>
      <c r="CZ615" s="629"/>
      <c r="DA615" s="243"/>
    </row>
    <row r="616" spans="1:105" ht="23.25" hidden="1" customHeight="1" x14ac:dyDescent="0.25">
      <c r="A616" s="630"/>
      <c r="B616" s="631"/>
      <c r="C616" s="631"/>
      <c r="D616" s="631"/>
      <c r="E616" s="631"/>
      <c r="F616" s="631"/>
      <c r="G616" s="632"/>
      <c r="H616" s="584"/>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5"/>
      <c r="AL616" s="585"/>
      <c r="AM616" s="585"/>
      <c r="AN616" s="585"/>
      <c r="AO616" s="585"/>
      <c r="AP616" s="585"/>
      <c r="AQ616" s="585"/>
      <c r="AR616" s="585"/>
      <c r="AS616" s="585"/>
      <c r="AT616" s="585"/>
      <c r="AU616" s="585"/>
      <c r="AV616" s="585"/>
      <c r="AW616" s="585"/>
      <c r="AX616" s="585"/>
      <c r="AY616" s="585"/>
      <c r="AZ616" s="585"/>
      <c r="BA616" s="585"/>
      <c r="BB616" s="586"/>
      <c r="BC616" s="544"/>
      <c r="BD616" s="545"/>
      <c r="BE616" s="545"/>
      <c r="BF616" s="545"/>
      <c r="BG616" s="545"/>
      <c r="BH616" s="545"/>
      <c r="BI616" s="545"/>
      <c r="BJ616" s="545"/>
      <c r="BK616" s="545"/>
      <c r="BL616" s="545"/>
      <c r="BM616" s="545"/>
      <c r="BN616" s="545"/>
      <c r="BO616" s="545"/>
      <c r="BP616" s="545"/>
      <c r="BQ616" s="545"/>
      <c r="BR616" s="546"/>
      <c r="BS616" s="627"/>
      <c r="BT616" s="628"/>
      <c r="BU616" s="628"/>
      <c r="BV616" s="628"/>
      <c r="BW616" s="628"/>
      <c r="BX616" s="628"/>
      <c r="BY616" s="628"/>
      <c r="BZ616" s="628"/>
      <c r="CA616" s="628"/>
      <c r="CB616" s="628"/>
      <c r="CC616" s="628"/>
      <c r="CD616" s="628"/>
      <c r="CE616" s="628"/>
      <c r="CF616" s="628"/>
      <c r="CG616" s="628"/>
      <c r="CH616" s="629"/>
      <c r="CI616" s="627"/>
      <c r="CJ616" s="628"/>
      <c r="CK616" s="628"/>
      <c r="CL616" s="628"/>
      <c r="CM616" s="628"/>
      <c r="CN616" s="628"/>
      <c r="CO616" s="628"/>
      <c r="CP616" s="628"/>
      <c r="CQ616" s="628"/>
      <c r="CR616" s="628"/>
      <c r="CS616" s="628"/>
      <c r="CT616" s="628"/>
      <c r="CU616" s="628"/>
      <c r="CV616" s="628"/>
      <c r="CW616" s="628"/>
      <c r="CX616" s="628"/>
      <c r="CY616" s="628"/>
      <c r="CZ616" s="629"/>
      <c r="DA616" s="243"/>
    </row>
    <row r="617" spans="1:105" ht="23.25" hidden="1" customHeight="1" x14ac:dyDescent="0.25">
      <c r="A617" s="630"/>
      <c r="B617" s="631"/>
      <c r="C617" s="631"/>
      <c r="D617" s="631"/>
      <c r="E617" s="631"/>
      <c r="F617" s="631"/>
      <c r="G617" s="632"/>
      <c r="H617" s="584"/>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5"/>
      <c r="AL617" s="585"/>
      <c r="AM617" s="585"/>
      <c r="AN617" s="585"/>
      <c r="AO617" s="585"/>
      <c r="AP617" s="585"/>
      <c r="AQ617" s="585"/>
      <c r="AR617" s="585"/>
      <c r="AS617" s="585"/>
      <c r="AT617" s="585"/>
      <c r="AU617" s="585"/>
      <c r="AV617" s="585"/>
      <c r="AW617" s="585"/>
      <c r="AX617" s="585"/>
      <c r="AY617" s="585"/>
      <c r="AZ617" s="585"/>
      <c r="BA617" s="585"/>
      <c r="BB617" s="586"/>
      <c r="BC617" s="544"/>
      <c r="BD617" s="545"/>
      <c r="BE617" s="545"/>
      <c r="BF617" s="545"/>
      <c r="BG617" s="545"/>
      <c r="BH617" s="545"/>
      <c r="BI617" s="545"/>
      <c r="BJ617" s="545"/>
      <c r="BK617" s="545"/>
      <c r="BL617" s="545"/>
      <c r="BM617" s="545"/>
      <c r="BN617" s="545"/>
      <c r="BO617" s="545"/>
      <c r="BP617" s="545"/>
      <c r="BQ617" s="545"/>
      <c r="BR617" s="546"/>
      <c r="BS617" s="627"/>
      <c r="BT617" s="628"/>
      <c r="BU617" s="628"/>
      <c r="BV617" s="628"/>
      <c r="BW617" s="628"/>
      <c r="BX617" s="628"/>
      <c r="BY617" s="628"/>
      <c r="BZ617" s="628"/>
      <c r="CA617" s="628"/>
      <c r="CB617" s="628"/>
      <c r="CC617" s="628"/>
      <c r="CD617" s="628"/>
      <c r="CE617" s="628"/>
      <c r="CF617" s="628"/>
      <c r="CG617" s="628"/>
      <c r="CH617" s="629"/>
      <c r="CI617" s="627"/>
      <c r="CJ617" s="628"/>
      <c r="CK617" s="628"/>
      <c r="CL617" s="628"/>
      <c r="CM617" s="628"/>
      <c r="CN617" s="628"/>
      <c r="CO617" s="628"/>
      <c r="CP617" s="628"/>
      <c r="CQ617" s="628"/>
      <c r="CR617" s="628"/>
      <c r="CS617" s="628"/>
      <c r="CT617" s="628"/>
      <c r="CU617" s="628"/>
      <c r="CV617" s="628"/>
      <c r="CW617" s="628"/>
      <c r="CX617" s="628"/>
      <c r="CY617" s="628"/>
      <c r="CZ617" s="629"/>
      <c r="DA617" s="243"/>
    </row>
    <row r="618" spans="1:105" ht="23.25" customHeight="1" x14ac:dyDescent="0.25">
      <c r="A618" s="633" t="s">
        <v>292</v>
      </c>
      <c r="B618" s="634"/>
      <c r="C618" s="634"/>
      <c r="D618" s="634"/>
      <c r="E618" s="634"/>
      <c r="F618" s="634"/>
      <c r="G618" s="634"/>
      <c r="H618" s="634"/>
      <c r="I618" s="634"/>
      <c r="J618" s="634"/>
      <c r="K618" s="634"/>
      <c r="L618" s="634"/>
      <c r="M618" s="634"/>
      <c r="N618" s="634"/>
      <c r="O618" s="634"/>
      <c r="P618" s="634"/>
      <c r="Q618" s="634"/>
      <c r="R618" s="634"/>
      <c r="S618" s="634"/>
      <c r="T618" s="634"/>
      <c r="U618" s="634"/>
      <c r="V618" s="634"/>
      <c r="W618" s="634"/>
      <c r="X618" s="634"/>
      <c r="Y618" s="634"/>
      <c r="Z618" s="634"/>
      <c r="AA618" s="634"/>
      <c r="AB618" s="634"/>
      <c r="AC618" s="634"/>
      <c r="AD618" s="634"/>
      <c r="AE618" s="634"/>
      <c r="AF618" s="634"/>
      <c r="AG618" s="634"/>
      <c r="AH618" s="634"/>
      <c r="AI618" s="634"/>
      <c r="AJ618" s="634"/>
      <c r="AK618" s="634"/>
      <c r="AL618" s="634"/>
      <c r="AM618" s="634"/>
      <c r="AN618" s="634"/>
      <c r="AO618" s="634"/>
      <c r="AP618" s="634"/>
      <c r="AQ618" s="634"/>
      <c r="AR618" s="634"/>
      <c r="AS618" s="634"/>
      <c r="AT618" s="634"/>
      <c r="AU618" s="634"/>
      <c r="AV618" s="634"/>
      <c r="AW618" s="634"/>
      <c r="AX618" s="634"/>
      <c r="AY618" s="634"/>
      <c r="AZ618" s="634"/>
      <c r="BA618" s="634"/>
      <c r="BB618" s="635"/>
      <c r="BC618" s="582" t="s">
        <v>4</v>
      </c>
      <c r="BD618" s="582"/>
      <c r="BE618" s="582"/>
      <c r="BF618" s="582"/>
      <c r="BG618" s="582"/>
      <c r="BH618" s="582"/>
      <c r="BI618" s="582"/>
      <c r="BJ618" s="582"/>
      <c r="BK618" s="582"/>
      <c r="BL618" s="582"/>
      <c r="BM618" s="582"/>
      <c r="BN618" s="582"/>
      <c r="BO618" s="582"/>
      <c r="BP618" s="582"/>
      <c r="BQ618" s="582"/>
      <c r="BR618" s="582"/>
      <c r="BS618" s="582" t="s">
        <v>4</v>
      </c>
      <c r="BT618" s="582"/>
      <c r="BU618" s="582"/>
      <c r="BV618" s="582"/>
      <c r="BW618" s="582"/>
      <c r="BX618" s="582"/>
      <c r="BY618" s="582"/>
      <c r="BZ618" s="582"/>
      <c r="CA618" s="582"/>
      <c r="CB618" s="582"/>
      <c r="CC618" s="582"/>
      <c r="CD618" s="582"/>
      <c r="CE618" s="582"/>
      <c r="CF618" s="582"/>
      <c r="CG618" s="582"/>
      <c r="CH618" s="582"/>
      <c r="CI618" s="636">
        <f>CI595</f>
        <v>300000</v>
      </c>
      <c r="CJ618" s="637"/>
      <c r="CK618" s="637"/>
      <c r="CL618" s="637"/>
      <c r="CM618" s="637"/>
      <c r="CN618" s="637"/>
      <c r="CO618" s="637"/>
      <c r="CP618" s="637"/>
      <c r="CQ618" s="637"/>
      <c r="CR618" s="637"/>
      <c r="CS618" s="637"/>
      <c r="CT618" s="637"/>
      <c r="CU618" s="637"/>
      <c r="CV618" s="637"/>
      <c r="CW618" s="637"/>
      <c r="CX618" s="637"/>
      <c r="CY618" s="637"/>
      <c r="CZ618" s="638"/>
      <c r="DA618" s="243"/>
    </row>
    <row r="619" spans="1:105" ht="23.25" customHeight="1" x14ac:dyDescent="0.25">
      <c r="A619" s="648" t="s">
        <v>573</v>
      </c>
      <c r="B619" s="649"/>
      <c r="C619" s="649"/>
      <c r="D619" s="649"/>
      <c r="E619" s="649"/>
      <c r="F619" s="649"/>
      <c r="G619" s="649"/>
      <c r="H619" s="649"/>
      <c r="I619" s="649"/>
      <c r="J619" s="649"/>
      <c r="K619" s="649"/>
      <c r="L619" s="649"/>
      <c r="M619" s="649"/>
      <c r="N619" s="649"/>
      <c r="O619" s="649"/>
      <c r="P619" s="649"/>
      <c r="Q619" s="649"/>
      <c r="R619" s="649"/>
      <c r="S619" s="649"/>
      <c r="T619" s="649"/>
      <c r="U619" s="649"/>
      <c r="V619" s="649"/>
      <c r="W619" s="649"/>
      <c r="X619" s="649"/>
      <c r="Y619" s="649"/>
      <c r="Z619" s="649"/>
      <c r="AA619" s="649"/>
      <c r="AB619" s="649"/>
      <c r="AC619" s="649"/>
      <c r="AD619" s="649"/>
      <c r="AE619" s="649"/>
      <c r="AF619" s="649"/>
      <c r="AG619" s="649"/>
      <c r="AH619" s="649"/>
      <c r="AI619" s="649"/>
      <c r="AJ619" s="649"/>
      <c r="AK619" s="649"/>
      <c r="AL619" s="649"/>
      <c r="AM619" s="649"/>
      <c r="AN619" s="649"/>
      <c r="AO619" s="649"/>
      <c r="AP619" s="649"/>
      <c r="AQ619" s="649"/>
      <c r="AR619" s="649"/>
      <c r="AS619" s="649"/>
      <c r="AT619" s="649"/>
      <c r="AU619" s="649"/>
      <c r="AV619" s="649"/>
      <c r="AW619" s="649"/>
      <c r="AX619" s="649"/>
      <c r="AY619" s="649"/>
      <c r="AZ619" s="649"/>
      <c r="BA619" s="649"/>
      <c r="BB619" s="649"/>
      <c r="BC619" s="649"/>
      <c r="BD619" s="649"/>
      <c r="BE619" s="649"/>
      <c r="BF619" s="649"/>
      <c r="BG619" s="649"/>
      <c r="BH619" s="649"/>
      <c r="BI619" s="649"/>
      <c r="BJ619" s="649"/>
      <c r="BK619" s="649"/>
      <c r="BL619" s="649"/>
      <c r="BM619" s="649"/>
      <c r="BN619" s="649"/>
      <c r="BO619" s="649"/>
      <c r="BP619" s="649"/>
      <c r="BQ619" s="649"/>
      <c r="BR619" s="649"/>
      <c r="BS619" s="649"/>
      <c r="BT619" s="649"/>
      <c r="BU619" s="649"/>
      <c r="BV619" s="649"/>
      <c r="BW619" s="649"/>
      <c r="BX619" s="649"/>
      <c r="BY619" s="649"/>
      <c r="BZ619" s="649"/>
      <c r="CA619" s="649"/>
      <c r="CB619" s="649"/>
      <c r="CC619" s="649"/>
      <c r="CD619" s="649"/>
      <c r="CE619" s="649"/>
      <c r="CF619" s="649"/>
      <c r="CG619" s="649"/>
      <c r="CH619" s="649"/>
      <c r="CI619" s="649"/>
      <c r="CJ619" s="649"/>
      <c r="CK619" s="649"/>
      <c r="CL619" s="649"/>
      <c r="CM619" s="649"/>
      <c r="CN619" s="649"/>
      <c r="CO619" s="649"/>
      <c r="CP619" s="649"/>
      <c r="CQ619" s="649"/>
      <c r="CR619" s="649"/>
      <c r="CS619" s="649"/>
      <c r="CT619" s="649"/>
      <c r="CU619" s="649"/>
      <c r="CV619" s="649"/>
      <c r="CW619" s="649"/>
      <c r="CX619" s="649"/>
      <c r="CY619" s="649"/>
      <c r="CZ619" s="650"/>
      <c r="DA619" s="243"/>
    </row>
    <row r="620" spans="1:105" ht="23.25" customHeight="1" x14ac:dyDescent="0.25">
      <c r="A620" s="630" t="s">
        <v>67</v>
      </c>
      <c r="B620" s="631"/>
      <c r="C620" s="631"/>
      <c r="D620" s="631"/>
      <c r="E620" s="631"/>
      <c r="F620" s="631"/>
      <c r="G620" s="632"/>
      <c r="H620" s="584" t="s">
        <v>1021</v>
      </c>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5"/>
      <c r="AL620" s="585"/>
      <c r="AM620" s="585"/>
      <c r="AN620" s="585"/>
      <c r="AO620" s="585"/>
      <c r="AP620" s="585"/>
      <c r="AQ620" s="585"/>
      <c r="AR620" s="585"/>
      <c r="AS620" s="585"/>
      <c r="AT620" s="585"/>
      <c r="AU620" s="585"/>
      <c r="AV620" s="585"/>
      <c r="AW620" s="585"/>
      <c r="AX620" s="585"/>
      <c r="AY620" s="585"/>
      <c r="AZ620" s="585"/>
      <c r="BA620" s="585"/>
      <c r="BB620" s="586"/>
      <c r="BC620" s="544">
        <v>2</v>
      </c>
      <c r="BD620" s="545"/>
      <c r="BE620" s="545"/>
      <c r="BF620" s="545"/>
      <c r="BG620" s="545"/>
      <c r="BH620" s="545"/>
      <c r="BI620" s="545"/>
      <c r="BJ620" s="545"/>
      <c r="BK620" s="545"/>
      <c r="BL620" s="545"/>
      <c r="BM620" s="545"/>
      <c r="BN620" s="545"/>
      <c r="BO620" s="545"/>
      <c r="BP620" s="545"/>
      <c r="BQ620" s="545"/>
      <c r="BR620" s="546"/>
      <c r="BS620" s="627">
        <f>CI620/BC620</f>
        <v>12468.75</v>
      </c>
      <c r="BT620" s="628"/>
      <c r="BU620" s="628"/>
      <c r="BV620" s="628"/>
      <c r="BW620" s="628"/>
      <c r="BX620" s="628"/>
      <c r="BY620" s="628"/>
      <c r="BZ620" s="628"/>
      <c r="CA620" s="628"/>
      <c r="CB620" s="628"/>
      <c r="CC620" s="628"/>
      <c r="CD620" s="628"/>
      <c r="CE620" s="628"/>
      <c r="CF620" s="628"/>
      <c r="CG620" s="628"/>
      <c r="CH620" s="629"/>
      <c r="CI620" s="627">
        <v>24937.5</v>
      </c>
      <c r="CJ620" s="628"/>
      <c r="CK620" s="628"/>
      <c r="CL620" s="628"/>
      <c r="CM620" s="628"/>
      <c r="CN620" s="628"/>
      <c r="CO620" s="628"/>
      <c r="CP620" s="628"/>
      <c r="CQ620" s="628"/>
      <c r="CR620" s="628"/>
      <c r="CS620" s="628"/>
      <c r="CT620" s="628"/>
      <c r="CU620" s="628"/>
      <c r="CV620" s="628"/>
      <c r="CW620" s="628"/>
      <c r="CX620" s="628"/>
      <c r="CY620" s="628"/>
      <c r="CZ620" s="629"/>
      <c r="DA620" s="243"/>
    </row>
    <row r="621" spans="1:105" ht="23.25" customHeight="1" x14ac:dyDescent="0.25">
      <c r="A621" s="630" t="s">
        <v>71</v>
      </c>
      <c r="B621" s="631"/>
      <c r="C621" s="631"/>
      <c r="D621" s="631"/>
      <c r="E621" s="631"/>
      <c r="F621" s="631"/>
      <c r="G621" s="632"/>
      <c r="H621" s="584" t="s">
        <v>1072</v>
      </c>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5"/>
      <c r="AL621" s="585"/>
      <c r="AM621" s="585"/>
      <c r="AN621" s="585"/>
      <c r="AO621" s="585"/>
      <c r="AP621" s="585"/>
      <c r="AQ621" s="585"/>
      <c r="AR621" s="585"/>
      <c r="AS621" s="585"/>
      <c r="AT621" s="585"/>
      <c r="AU621" s="585"/>
      <c r="AV621" s="585"/>
      <c r="AW621" s="585"/>
      <c r="AX621" s="585"/>
      <c r="AY621" s="585"/>
      <c r="AZ621" s="585"/>
      <c r="BA621" s="585"/>
      <c r="BB621" s="586"/>
      <c r="BC621" s="544">
        <v>2</v>
      </c>
      <c r="BD621" s="545"/>
      <c r="BE621" s="545"/>
      <c r="BF621" s="545"/>
      <c r="BG621" s="545"/>
      <c r="BH621" s="545"/>
      <c r="BI621" s="545"/>
      <c r="BJ621" s="545"/>
      <c r="BK621" s="545"/>
      <c r="BL621" s="545"/>
      <c r="BM621" s="545"/>
      <c r="BN621" s="545"/>
      <c r="BO621" s="545"/>
      <c r="BP621" s="545"/>
      <c r="BQ621" s="545"/>
      <c r="BR621" s="546"/>
      <c r="BS621" s="627">
        <f t="shared" ref="BS621:BS622" si="12">CI621/BC621</f>
        <v>8115</v>
      </c>
      <c r="BT621" s="628"/>
      <c r="BU621" s="628"/>
      <c r="BV621" s="628"/>
      <c r="BW621" s="628"/>
      <c r="BX621" s="628"/>
      <c r="BY621" s="628"/>
      <c r="BZ621" s="628"/>
      <c r="CA621" s="628"/>
      <c r="CB621" s="628"/>
      <c r="CC621" s="628"/>
      <c r="CD621" s="628"/>
      <c r="CE621" s="628"/>
      <c r="CF621" s="628"/>
      <c r="CG621" s="628"/>
      <c r="CH621" s="629"/>
      <c r="CI621" s="627">
        <v>16230</v>
      </c>
      <c r="CJ621" s="628"/>
      <c r="CK621" s="628"/>
      <c r="CL621" s="628"/>
      <c r="CM621" s="628"/>
      <c r="CN621" s="628"/>
      <c r="CO621" s="628"/>
      <c r="CP621" s="628"/>
      <c r="CQ621" s="628"/>
      <c r="CR621" s="628"/>
      <c r="CS621" s="628"/>
      <c r="CT621" s="628"/>
      <c r="CU621" s="628"/>
      <c r="CV621" s="628"/>
      <c r="CW621" s="628"/>
      <c r="CX621" s="628"/>
      <c r="CY621" s="628"/>
      <c r="CZ621" s="629"/>
      <c r="DA621" s="243"/>
    </row>
    <row r="622" spans="1:105" ht="23.25" customHeight="1" x14ac:dyDescent="0.25">
      <c r="A622" s="630" t="s">
        <v>71</v>
      </c>
      <c r="B622" s="631"/>
      <c r="C622" s="631"/>
      <c r="D622" s="631"/>
      <c r="E622" s="631"/>
      <c r="F622" s="631"/>
      <c r="G622" s="632"/>
      <c r="H622" s="584" t="s">
        <v>1022</v>
      </c>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5"/>
      <c r="AL622" s="585"/>
      <c r="AM622" s="585"/>
      <c r="AN622" s="585"/>
      <c r="AO622" s="585"/>
      <c r="AP622" s="585"/>
      <c r="AQ622" s="585"/>
      <c r="AR622" s="585"/>
      <c r="AS622" s="585"/>
      <c r="AT622" s="585"/>
      <c r="AU622" s="585"/>
      <c r="AV622" s="585"/>
      <c r="AW622" s="585"/>
      <c r="AX622" s="585"/>
      <c r="AY622" s="585"/>
      <c r="AZ622" s="585"/>
      <c r="BA622" s="585"/>
      <c r="BB622" s="586"/>
      <c r="BC622" s="544">
        <v>11</v>
      </c>
      <c r="BD622" s="545"/>
      <c r="BE622" s="545"/>
      <c r="BF622" s="545"/>
      <c r="BG622" s="545"/>
      <c r="BH622" s="545"/>
      <c r="BI622" s="545"/>
      <c r="BJ622" s="545"/>
      <c r="BK622" s="545"/>
      <c r="BL622" s="545"/>
      <c r="BM622" s="545"/>
      <c r="BN622" s="545"/>
      <c r="BO622" s="545"/>
      <c r="BP622" s="545"/>
      <c r="BQ622" s="545"/>
      <c r="BR622" s="546"/>
      <c r="BS622" s="627">
        <f t="shared" si="12"/>
        <v>10384</v>
      </c>
      <c r="BT622" s="628"/>
      <c r="BU622" s="628"/>
      <c r="BV622" s="628"/>
      <c r="BW622" s="628"/>
      <c r="BX622" s="628"/>
      <c r="BY622" s="628"/>
      <c r="BZ622" s="628"/>
      <c r="CA622" s="628"/>
      <c r="CB622" s="628"/>
      <c r="CC622" s="628"/>
      <c r="CD622" s="628"/>
      <c r="CE622" s="628"/>
      <c r="CF622" s="628"/>
      <c r="CG622" s="628"/>
      <c r="CH622" s="629"/>
      <c r="CI622" s="627">
        <v>114224</v>
      </c>
      <c r="CJ622" s="628"/>
      <c r="CK622" s="628"/>
      <c r="CL622" s="628"/>
      <c r="CM622" s="628"/>
      <c r="CN622" s="628"/>
      <c r="CO622" s="628"/>
      <c r="CP622" s="628"/>
      <c r="CQ622" s="628"/>
      <c r="CR622" s="628"/>
      <c r="CS622" s="628"/>
      <c r="CT622" s="628"/>
      <c r="CU622" s="628"/>
      <c r="CV622" s="628"/>
      <c r="CW622" s="628"/>
      <c r="CX622" s="628"/>
      <c r="CY622" s="628"/>
      <c r="CZ622" s="629"/>
      <c r="DA622" s="243"/>
    </row>
    <row r="623" spans="1:105" ht="23.25" customHeight="1" x14ac:dyDescent="0.25">
      <c r="A623" s="630" t="s">
        <v>462</v>
      </c>
      <c r="B623" s="631"/>
      <c r="C623" s="631"/>
      <c r="D623" s="631"/>
      <c r="E623" s="631"/>
      <c r="F623" s="631"/>
      <c r="G623" s="632"/>
      <c r="H623" s="584" t="s">
        <v>1023</v>
      </c>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5"/>
      <c r="AL623" s="585"/>
      <c r="AM623" s="585"/>
      <c r="AN623" s="585"/>
      <c r="AO623" s="585"/>
      <c r="AP623" s="585"/>
      <c r="AQ623" s="585"/>
      <c r="AR623" s="585"/>
      <c r="AS623" s="585"/>
      <c r="AT623" s="585"/>
      <c r="AU623" s="585"/>
      <c r="AV623" s="585"/>
      <c r="AW623" s="585"/>
      <c r="AX623" s="585"/>
      <c r="AY623" s="585"/>
      <c r="AZ623" s="585"/>
      <c r="BA623" s="585"/>
      <c r="BB623" s="586"/>
      <c r="BC623" s="544">
        <v>6</v>
      </c>
      <c r="BD623" s="545"/>
      <c r="BE623" s="545"/>
      <c r="BF623" s="545"/>
      <c r="BG623" s="545"/>
      <c r="BH623" s="545"/>
      <c r="BI623" s="545"/>
      <c r="BJ623" s="545"/>
      <c r="BK623" s="545"/>
      <c r="BL623" s="545"/>
      <c r="BM623" s="545"/>
      <c r="BN623" s="545"/>
      <c r="BO623" s="545"/>
      <c r="BP623" s="545"/>
      <c r="BQ623" s="545"/>
      <c r="BR623" s="546"/>
      <c r="BS623" s="627">
        <f t="shared" ref="BS623:BS672" si="13">CI623/BC623</f>
        <v>23641.916666666668</v>
      </c>
      <c r="BT623" s="628"/>
      <c r="BU623" s="628"/>
      <c r="BV623" s="628"/>
      <c r="BW623" s="628"/>
      <c r="BX623" s="628"/>
      <c r="BY623" s="628"/>
      <c r="BZ623" s="628"/>
      <c r="CA623" s="628"/>
      <c r="CB623" s="628"/>
      <c r="CC623" s="628"/>
      <c r="CD623" s="628"/>
      <c r="CE623" s="628"/>
      <c r="CF623" s="628"/>
      <c r="CG623" s="628"/>
      <c r="CH623" s="629"/>
      <c r="CI623" s="627">
        <v>141851.5</v>
      </c>
      <c r="CJ623" s="628"/>
      <c r="CK623" s="628"/>
      <c r="CL623" s="628"/>
      <c r="CM623" s="628"/>
      <c r="CN623" s="628"/>
      <c r="CO623" s="628"/>
      <c r="CP623" s="628"/>
      <c r="CQ623" s="628"/>
      <c r="CR623" s="628"/>
      <c r="CS623" s="628"/>
      <c r="CT623" s="628"/>
      <c r="CU623" s="628"/>
      <c r="CV623" s="628"/>
      <c r="CW623" s="628"/>
      <c r="CX623" s="628"/>
      <c r="CY623" s="628"/>
      <c r="CZ623" s="629"/>
      <c r="DA623" s="243"/>
    </row>
    <row r="624" spans="1:105" ht="23.25" customHeight="1" x14ac:dyDescent="0.25">
      <c r="A624" s="630" t="s">
        <v>477</v>
      </c>
      <c r="B624" s="631"/>
      <c r="C624" s="631"/>
      <c r="D624" s="631"/>
      <c r="E624" s="631"/>
      <c r="F624" s="631"/>
      <c r="G624" s="632"/>
      <c r="H624" s="584" t="s">
        <v>1024</v>
      </c>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5"/>
      <c r="AL624" s="585"/>
      <c r="AM624" s="585"/>
      <c r="AN624" s="585"/>
      <c r="AO624" s="585"/>
      <c r="AP624" s="585"/>
      <c r="AQ624" s="585"/>
      <c r="AR624" s="585"/>
      <c r="AS624" s="585"/>
      <c r="AT624" s="585"/>
      <c r="AU624" s="585"/>
      <c r="AV624" s="585"/>
      <c r="AW624" s="585"/>
      <c r="AX624" s="585"/>
      <c r="AY624" s="585"/>
      <c r="AZ624" s="585"/>
      <c r="BA624" s="585"/>
      <c r="BB624" s="586"/>
      <c r="BC624" s="544">
        <v>1</v>
      </c>
      <c r="BD624" s="545"/>
      <c r="BE624" s="545"/>
      <c r="BF624" s="545"/>
      <c r="BG624" s="545"/>
      <c r="BH624" s="545"/>
      <c r="BI624" s="545"/>
      <c r="BJ624" s="545"/>
      <c r="BK624" s="545"/>
      <c r="BL624" s="545"/>
      <c r="BM624" s="545"/>
      <c r="BN624" s="545"/>
      <c r="BO624" s="545"/>
      <c r="BP624" s="545"/>
      <c r="BQ624" s="545"/>
      <c r="BR624" s="546"/>
      <c r="BS624" s="627">
        <f t="shared" si="13"/>
        <v>20280</v>
      </c>
      <c r="BT624" s="628"/>
      <c r="BU624" s="628"/>
      <c r="BV624" s="628"/>
      <c r="BW624" s="628"/>
      <c r="BX624" s="628"/>
      <c r="BY624" s="628"/>
      <c r="BZ624" s="628"/>
      <c r="CA624" s="628"/>
      <c r="CB624" s="628"/>
      <c r="CC624" s="628"/>
      <c r="CD624" s="628"/>
      <c r="CE624" s="628"/>
      <c r="CF624" s="628"/>
      <c r="CG624" s="628"/>
      <c r="CH624" s="629"/>
      <c r="CI624" s="627">
        <v>20280</v>
      </c>
      <c r="CJ624" s="628"/>
      <c r="CK624" s="628"/>
      <c r="CL624" s="628"/>
      <c r="CM624" s="628"/>
      <c r="CN624" s="628"/>
      <c r="CO624" s="628"/>
      <c r="CP624" s="628"/>
      <c r="CQ624" s="628"/>
      <c r="CR624" s="628"/>
      <c r="CS624" s="628"/>
      <c r="CT624" s="628"/>
      <c r="CU624" s="628"/>
      <c r="CV624" s="628"/>
      <c r="CW624" s="628"/>
      <c r="CX624" s="628"/>
      <c r="CY624" s="628"/>
      <c r="CZ624" s="629"/>
      <c r="DA624" s="243"/>
    </row>
    <row r="625" spans="1:105" ht="27" customHeight="1" x14ac:dyDescent="0.25">
      <c r="A625" s="630" t="s">
        <v>479</v>
      </c>
      <c r="B625" s="631"/>
      <c r="C625" s="631"/>
      <c r="D625" s="631"/>
      <c r="E625" s="631"/>
      <c r="F625" s="631"/>
      <c r="G625" s="632"/>
      <c r="H625" s="584" t="s">
        <v>1025</v>
      </c>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5"/>
      <c r="AL625" s="585"/>
      <c r="AM625" s="585"/>
      <c r="AN625" s="585"/>
      <c r="AO625" s="585"/>
      <c r="AP625" s="585"/>
      <c r="AQ625" s="585"/>
      <c r="AR625" s="585"/>
      <c r="AS625" s="585"/>
      <c r="AT625" s="585"/>
      <c r="AU625" s="585"/>
      <c r="AV625" s="585"/>
      <c r="AW625" s="585"/>
      <c r="AX625" s="585"/>
      <c r="AY625" s="585"/>
      <c r="AZ625" s="585"/>
      <c r="BA625" s="585"/>
      <c r="BB625" s="586"/>
      <c r="BC625" s="544">
        <v>1</v>
      </c>
      <c r="BD625" s="545"/>
      <c r="BE625" s="545"/>
      <c r="BF625" s="545"/>
      <c r="BG625" s="545"/>
      <c r="BH625" s="545"/>
      <c r="BI625" s="545"/>
      <c r="BJ625" s="545"/>
      <c r="BK625" s="545"/>
      <c r="BL625" s="545"/>
      <c r="BM625" s="545"/>
      <c r="BN625" s="545"/>
      <c r="BO625" s="545"/>
      <c r="BP625" s="545"/>
      <c r="BQ625" s="545"/>
      <c r="BR625" s="546"/>
      <c r="BS625" s="627">
        <f t="shared" si="13"/>
        <v>155023</v>
      </c>
      <c r="BT625" s="628"/>
      <c r="BU625" s="628"/>
      <c r="BV625" s="628"/>
      <c r="BW625" s="628"/>
      <c r="BX625" s="628"/>
      <c r="BY625" s="628"/>
      <c r="BZ625" s="628"/>
      <c r="CA625" s="628"/>
      <c r="CB625" s="628"/>
      <c r="CC625" s="628"/>
      <c r="CD625" s="628"/>
      <c r="CE625" s="628"/>
      <c r="CF625" s="628"/>
      <c r="CG625" s="628"/>
      <c r="CH625" s="629"/>
      <c r="CI625" s="627">
        <v>155023</v>
      </c>
      <c r="CJ625" s="628"/>
      <c r="CK625" s="628"/>
      <c r="CL625" s="628"/>
      <c r="CM625" s="628"/>
      <c r="CN625" s="628"/>
      <c r="CO625" s="628"/>
      <c r="CP625" s="628"/>
      <c r="CQ625" s="628"/>
      <c r="CR625" s="628"/>
      <c r="CS625" s="628"/>
      <c r="CT625" s="628"/>
      <c r="CU625" s="628"/>
      <c r="CV625" s="628"/>
      <c r="CW625" s="628"/>
      <c r="CX625" s="628"/>
      <c r="CY625" s="628"/>
      <c r="CZ625" s="629"/>
      <c r="DA625" s="243"/>
    </row>
    <row r="626" spans="1:105" ht="23.25" customHeight="1" x14ac:dyDescent="0.25">
      <c r="A626" s="630" t="s">
        <v>481</v>
      </c>
      <c r="B626" s="631"/>
      <c r="C626" s="631"/>
      <c r="D626" s="631"/>
      <c r="E626" s="631"/>
      <c r="F626" s="631"/>
      <c r="G626" s="632"/>
      <c r="H626" s="584" t="s">
        <v>1026</v>
      </c>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5"/>
      <c r="AL626" s="585"/>
      <c r="AM626" s="585"/>
      <c r="AN626" s="585"/>
      <c r="AO626" s="585"/>
      <c r="AP626" s="585"/>
      <c r="AQ626" s="585"/>
      <c r="AR626" s="585"/>
      <c r="AS626" s="585"/>
      <c r="AT626" s="585"/>
      <c r="AU626" s="585"/>
      <c r="AV626" s="585"/>
      <c r="AW626" s="585"/>
      <c r="AX626" s="585"/>
      <c r="AY626" s="585"/>
      <c r="AZ626" s="585"/>
      <c r="BA626" s="585"/>
      <c r="BB626" s="586"/>
      <c r="BC626" s="544">
        <v>3</v>
      </c>
      <c r="BD626" s="545"/>
      <c r="BE626" s="545"/>
      <c r="BF626" s="545"/>
      <c r="BG626" s="545"/>
      <c r="BH626" s="545"/>
      <c r="BI626" s="545"/>
      <c r="BJ626" s="545"/>
      <c r="BK626" s="545"/>
      <c r="BL626" s="545"/>
      <c r="BM626" s="545"/>
      <c r="BN626" s="545"/>
      <c r="BO626" s="545"/>
      <c r="BP626" s="545"/>
      <c r="BQ626" s="545"/>
      <c r="BR626" s="546"/>
      <c r="BS626" s="627">
        <f t="shared" si="13"/>
        <v>14525</v>
      </c>
      <c r="BT626" s="628"/>
      <c r="BU626" s="628"/>
      <c r="BV626" s="628"/>
      <c r="BW626" s="628"/>
      <c r="BX626" s="628"/>
      <c r="BY626" s="628"/>
      <c r="BZ626" s="628"/>
      <c r="CA626" s="628"/>
      <c r="CB626" s="628"/>
      <c r="CC626" s="628"/>
      <c r="CD626" s="628"/>
      <c r="CE626" s="628"/>
      <c r="CF626" s="628"/>
      <c r="CG626" s="628"/>
      <c r="CH626" s="629"/>
      <c r="CI626" s="627">
        <v>43575</v>
      </c>
      <c r="CJ626" s="628"/>
      <c r="CK626" s="628"/>
      <c r="CL626" s="628"/>
      <c r="CM626" s="628"/>
      <c r="CN626" s="628"/>
      <c r="CO626" s="628"/>
      <c r="CP626" s="628"/>
      <c r="CQ626" s="628"/>
      <c r="CR626" s="628"/>
      <c r="CS626" s="628"/>
      <c r="CT626" s="628"/>
      <c r="CU626" s="628"/>
      <c r="CV626" s="628"/>
      <c r="CW626" s="628"/>
      <c r="CX626" s="628"/>
      <c r="CY626" s="628"/>
      <c r="CZ626" s="629"/>
      <c r="DA626" s="243"/>
    </row>
    <row r="627" spans="1:105" ht="23.25" customHeight="1" x14ac:dyDescent="0.25">
      <c r="A627" s="630" t="s">
        <v>483</v>
      </c>
      <c r="B627" s="631"/>
      <c r="C627" s="631"/>
      <c r="D627" s="631"/>
      <c r="E627" s="631"/>
      <c r="F627" s="631"/>
      <c r="G627" s="632"/>
      <c r="H627" s="584" t="s">
        <v>1027</v>
      </c>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5"/>
      <c r="AL627" s="585"/>
      <c r="AM627" s="585"/>
      <c r="AN627" s="585"/>
      <c r="AO627" s="585"/>
      <c r="AP627" s="585"/>
      <c r="AQ627" s="585"/>
      <c r="AR627" s="585"/>
      <c r="AS627" s="585"/>
      <c r="AT627" s="585"/>
      <c r="AU627" s="585"/>
      <c r="AV627" s="585"/>
      <c r="AW627" s="585"/>
      <c r="AX627" s="585"/>
      <c r="AY627" s="585"/>
      <c r="AZ627" s="585"/>
      <c r="BA627" s="585"/>
      <c r="BB627" s="586"/>
      <c r="BC627" s="544">
        <v>1</v>
      </c>
      <c r="BD627" s="545"/>
      <c r="BE627" s="545"/>
      <c r="BF627" s="545"/>
      <c r="BG627" s="545"/>
      <c r="BH627" s="545"/>
      <c r="BI627" s="545"/>
      <c r="BJ627" s="545"/>
      <c r="BK627" s="545"/>
      <c r="BL627" s="545"/>
      <c r="BM627" s="545"/>
      <c r="BN627" s="545"/>
      <c r="BO627" s="545"/>
      <c r="BP627" s="545"/>
      <c r="BQ627" s="545"/>
      <c r="BR627" s="546"/>
      <c r="BS627" s="627">
        <f t="shared" si="13"/>
        <v>5100</v>
      </c>
      <c r="BT627" s="628"/>
      <c r="BU627" s="628"/>
      <c r="BV627" s="628"/>
      <c r="BW627" s="628"/>
      <c r="BX627" s="628"/>
      <c r="BY627" s="628"/>
      <c r="BZ627" s="628"/>
      <c r="CA627" s="628"/>
      <c r="CB627" s="628"/>
      <c r="CC627" s="628"/>
      <c r="CD627" s="628"/>
      <c r="CE627" s="628"/>
      <c r="CF627" s="628"/>
      <c r="CG627" s="628"/>
      <c r="CH627" s="629"/>
      <c r="CI627" s="627">
        <v>5100</v>
      </c>
      <c r="CJ627" s="628"/>
      <c r="CK627" s="628"/>
      <c r="CL627" s="628"/>
      <c r="CM627" s="628"/>
      <c r="CN627" s="628"/>
      <c r="CO627" s="628"/>
      <c r="CP627" s="628"/>
      <c r="CQ627" s="628"/>
      <c r="CR627" s="628"/>
      <c r="CS627" s="628"/>
      <c r="CT627" s="628"/>
      <c r="CU627" s="628"/>
      <c r="CV627" s="628"/>
      <c r="CW627" s="628"/>
      <c r="CX627" s="628"/>
      <c r="CY627" s="628"/>
      <c r="CZ627" s="629"/>
      <c r="DA627" s="243"/>
    </row>
    <row r="628" spans="1:105" ht="23.25" customHeight="1" x14ac:dyDescent="0.25">
      <c r="A628" s="630" t="s">
        <v>485</v>
      </c>
      <c r="B628" s="631"/>
      <c r="C628" s="631"/>
      <c r="D628" s="631"/>
      <c r="E628" s="631"/>
      <c r="F628" s="631"/>
      <c r="G628" s="632"/>
      <c r="H628" s="584" t="s">
        <v>1028</v>
      </c>
      <c r="I628" s="585"/>
      <c r="J628" s="585"/>
      <c r="K628" s="585"/>
      <c r="L628" s="585"/>
      <c r="M628" s="585"/>
      <c r="N628" s="585"/>
      <c r="O628" s="585"/>
      <c r="P628" s="585"/>
      <c r="Q628" s="585"/>
      <c r="R628" s="585"/>
      <c r="S628" s="585"/>
      <c r="T628" s="585"/>
      <c r="U628" s="585"/>
      <c r="V628" s="585"/>
      <c r="W628" s="585"/>
      <c r="X628" s="585"/>
      <c r="Y628" s="585"/>
      <c r="Z628" s="585"/>
      <c r="AA628" s="585"/>
      <c r="AB628" s="585"/>
      <c r="AC628" s="585"/>
      <c r="AD628" s="585"/>
      <c r="AE628" s="585"/>
      <c r="AF628" s="585"/>
      <c r="AG628" s="585"/>
      <c r="AH628" s="585"/>
      <c r="AI628" s="585"/>
      <c r="AJ628" s="585"/>
      <c r="AK628" s="585"/>
      <c r="AL628" s="585"/>
      <c r="AM628" s="585"/>
      <c r="AN628" s="585"/>
      <c r="AO628" s="585"/>
      <c r="AP628" s="585"/>
      <c r="AQ628" s="585"/>
      <c r="AR628" s="585"/>
      <c r="AS628" s="585"/>
      <c r="AT628" s="585"/>
      <c r="AU628" s="585"/>
      <c r="AV628" s="585"/>
      <c r="AW628" s="585"/>
      <c r="AX628" s="585"/>
      <c r="AY628" s="585"/>
      <c r="AZ628" s="585"/>
      <c r="BA628" s="585"/>
      <c r="BB628" s="586"/>
      <c r="BC628" s="544">
        <v>1</v>
      </c>
      <c r="BD628" s="545"/>
      <c r="BE628" s="545"/>
      <c r="BF628" s="545"/>
      <c r="BG628" s="545"/>
      <c r="BH628" s="545"/>
      <c r="BI628" s="545"/>
      <c r="BJ628" s="545"/>
      <c r="BK628" s="545"/>
      <c r="BL628" s="545"/>
      <c r="BM628" s="545"/>
      <c r="BN628" s="545"/>
      <c r="BO628" s="545"/>
      <c r="BP628" s="545"/>
      <c r="BQ628" s="545"/>
      <c r="BR628" s="546"/>
      <c r="BS628" s="627">
        <f t="shared" si="13"/>
        <v>5400</v>
      </c>
      <c r="BT628" s="628"/>
      <c r="BU628" s="628"/>
      <c r="BV628" s="628"/>
      <c r="BW628" s="628"/>
      <c r="BX628" s="628"/>
      <c r="BY628" s="628"/>
      <c r="BZ628" s="628"/>
      <c r="CA628" s="628"/>
      <c r="CB628" s="628"/>
      <c r="CC628" s="628"/>
      <c r="CD628" s="628"/>
      <c r="CE628" s="628"/>
      <c r="CF628" s="628"/>
      <c r="CG628" s="628"/>
      <c r="CH628" s="629"/>
      <c r="CI628" s="627">
        <v>5400</v>
      </c>
      <c r="CJ628" s="628"/>
      <c r="CK628" s="628"/>
      <c r="CL628" s="628"/>
      <c r="CM628" s="628"/>
      <c r="CN628" s="628"/>
      <c r="CO628" s="628"/>
      <c r="CP628" s="628"/>
      <c r="CQ628" s="628"/>
      <c r="CR628" s="628"/>
      <c r="CS628" s="628"/>
      <c r="CT628" s="628"/>
      <c r="CU628" s="628"/>
      <c r="CV628" s="628"/>
      <c r="CW628" s="628"/>
      <c r="CX628" s="628"/>
      <c r="CY628" s="628"/>
      <c r="CZ628" s="629"/>
      <c r="DA628" s="243"/>
    </row>
    <row r="629" spans="1:105" ht="29.4" customHeight="1" x14ac:dyDescent="0.25">
      <c r="A629" s="630" t="s">
        <v>487</v>
      </c>
      <c r="B629" s="631"/>
      <c r="C629" s="631"/>
      <c r="D629" s="631"/>
      <c r="E629" s="631"/>
      <c r="F629" s="631"/>
      <c r="G629" s="632"/>
      <c r="H629" s="584" t="s">
        <v>1074</v>
      </c>
      <c r="I629" s="585"/>
      <c r="J629" s="585"/>
      <c r="K629" s="585"/>
      <c r="L629" s="585"/>
      <c r="M629" s="585"/>
      <c r="N629" s="585"/>
      <c r="O629" s="585"/>
      <c r="P629" s="585"/>
      <c r="Q629" s="585"/>
      <c r="R629" s="585"/>
      <c r="S629" s="585"/>
      <c r="T629" s="585"/>
      <c r="U629" s="585"/>
      <c r="V629" s="585"/>
      <c r="W629" s="585"/>
      <c r="X629" s="585"/>
      <c r="Y629" s="585"/>
      <c r="Z629" s="585"/>
      <c r="AA629" s="585"/>
      <c r="AB629" s="585"/>
      <c r="AC629" s="585"/>
      <c r="AD629" s="585"/>
      <c r="AE629" s="585"/>
      <c r="AF629" s="585"/>
      <c r="AG629" s="585"/>
      <c r="AH629" s="585"/>
      <c r="AI629" s="585"/>
      <c r="AJ629" s="585"/>
      <c r="AK629" s="585"/>
      <c r="AL629" s="585"/>
      <c r="AM629" s="585"/>
      <c r="AN629" s="585"/>
      <c r="AO629" s="585"/>
      <c r="AP629" s="585"/>
      <c r="AQ629" s="585"/>
      <c r="AR629" s="585"/>
      <c r="AS629" s="585"/>
      <c r="AT629" s="585"/>
      <c r="AU629" s="585"/>
      <c r="AV629" s="585"/>
      <c r="AW629" s="585"/>
      <c r="AX629" s="585"/>
      <c r="AY629" s="585"/>
      <c r="AZ629" s="585"/>
      <c r="BA629" s="585"/>
      <c r="BB629" s="586"/>
      <c r="BC629" s="544">
        <v>2</v>
      </c>
      <c r="BD629" s="545"/>
      <c r="BE629" s="545"/>
      <c r="BF629" s="545"/>
      <c r="BG629" s="545"/>
      <c r="BH629" s="545"/>
      <c r="BI629" s="545"/>
      <c r="BJ629" s="545"/>
      <c r="BK629" s="545"/>
      <c r="BL629" s="545"/>
      <c r="BM629" s="545"/>
      <c r="BN629" s="545"/>
      <c r="BO629" s="545"/>
      <c r="BP629" s="545"/>
      <c r="BQ629" s="545"/>
      <c r="BR629" s="546"/>
      <c r="BS629" s="627">
        <f t="shared" si="13"/>
        <v>8100</v>
      </c>
      <c r="BT629" s="628"/>
      <c r="BU629" s="628"/>
      <c r="BV629" s="628"/>
      <c r="BW629" s="628"/>
      <c r="BX629" s="628"/>
      <c r="BY629" s="628"/>
      <c r="BZ629" s="628"/>
      <c r="CA629" s="628"/>
      <c r="CB629" s="628"/>
      <c r="CC629" s="628"/>
      <c r="CD629" s="628"/>
      <c r="CE629" s="628"/>
      <c r="CF629" s="628"/>
      <c r="CG629" s="628"/>
      <c r="CH629" s="629"/>
      <c r="CI629" s="627">
        <v>16200</v>
      </c>
      <c r="CJ629" s="628"/>
      <c r="CK629" s="628"/>
      <c r="CL629" s="628"/>
      <c r="CM629" s="628"/>
      <c r="CN629" s="628"/>
      <c r="CO629" s="628"/>
      <c r="CP629" s="628"/>
      <c r="CQ629" s="628"/>
      <c r="CR629" s="628"/>
      <c r="CS629" s="628"/>
      <c r="CT629" s="628"/>
      <c r="CU629" s="628"/>
      <c r="CV629" s="628"/>
      <c r="CW629" s="628"/>
      <c r="CX629" s="628"/>
      <c r="CY629" s="628"/>
      <c r="CZ629" s="629"/>
      <c r="DA629" s="243"/>
    </row>
    <row r="630" spans="1:105" ht="23.25" customHeight="1" x14ac:dyDescent="0.25">
      <c r="A630" s="630" t="s">
        <v>489</v>
      </c>
      <c r="B630" s="631"/>
      <c r="C630" s="631"/>
      <c r="D630" s="631"/>
      <c r="E630" s="631"/>
      <c r="F630" s="631"/>
      <c r="G630" s="632"/>
      <c r="H630" s="584" t="s">
        <v>1073</v>
      </c>
      <c r="I630" s="585"/>
      <c r="J630" s="585"/>
      <c r="K630" s="585"/>
      <c r="L630" s="585"/>
      <c r="M630" s="585"/>
      <c r="N630" s="585"/>
      <c r="O630" s="585"/>
      <c r="P630" s="585"/>
      <c r="Q630" s="585"/>
      <c r="R630" s="585"/>
      <c r="S630" s="585"/>
      <c r="T630" s="585"/>
      <c r="U630" s="585"/>
      <c r="V630" s="585"/>
      <c r="W630" s="585"/>
      <c r="X630" s="585"/>
      <c r="Y630" s="585"/>
      <c r="Z630" s="585"/>
      <c r="AA630" s="585"/>
      <c r="AB630" s="585"/>
      <c r="AC630" s="585"/>
      <c r="AD630" s="585"/>
      <c r="AE630" s="585"/>
      <c r="AF630" s="585"/>
      <c r="AG630" s="585"/>
      <c r="AH630" s="585"/>
      <c r="AI630" s="585"/>
      <c r="AJ630" s="585"/>
      <c r="AK630" s="585"/>
      <c r="AL630" s="585"/>
      <c r="AM630" s="585"/>
      <c r="AN630" s="585"/>
      <c r="AO630" s="585"/>
      <c r="AP630" s="585"/>
      <c r="AQ630" s="585"/>
      <c r="AR630" s="585"/>
      <c r="AS630" s="585"/>
      <c r="AT630" s="585"/>
      <c r="AU630" s="585"/>
      <c r="AV630" s="585"/>
      <c r="AW630" s="585"/>
      <c r="AX630" s="585"/>
      <c r="AY630" s="585"/>
      <c r="AZ630" s="585"/>
      <c r="BA630" s="585"/>
      <c r="BB630" s="586"/>
      <c r="BC630" s="544">
        <v>2</v>
      </c>
      <c r="BD630" s="545"/>
      <c r="BE630" s="545"/>
      <c r="BF630" s="545"/>
      <c r="BG630" s="545"/>
      <c r="BH630" s="545"/>
      <c r="BI630" s="545"/>
      <c r="BJ630" s="545"/>
      <c r="BK630" s="545"/>
      <c r="BL630" s="545"/>
      <c r="BM630" s="545"/>
      <c r="BN630" s="545"/>
      <c r="BO630" s="545"/>
      <c r="BP630" s="545"/>
      <c r="BQ630" s="545"/>
      <c r="BR630" s="546"/>
      <c r="BS630" s="627">
        <f t="shared" si="13"/>
        <v>9450</v>
      </c>
      <c r="BT630" s="628"/>
      <c r="BU630" s="628"/>
      <c r="BV630" s="628"/>
      <c r="BW630" s="628"/>
      <c r="BX630" s="628"/>
      <c r="BY630" s="628"/>
      <c r="BZ630" s="628"/>
      <c r="CA630" s="628"/>
      <c r="CB630" s="628"/>
      <c r="CC630" s="628"/>
      <c r="CD630" s="628"/>
      <c r="CE630" s="628"/>
      <c r="CF630" s="628"/>
      <c r="CG630" s="628"/>
      <c r="CH630" s="629"/>
      <c r="CI630" s="627">
        <v>18900</v>
      </c>
      <c r="CJ630" s="628"/>
      <c r="CK630" s="628"/>
      <c r="CL630" s="628"/>
      <c r="CM630" s="628"/>
      <c r="CN630" s="628"/>
      <c r="CO630" s="628"/>
      <c r="CP630" s="628"/>
      <c r="CQ630" s="628"/>
      <c r="CR630" s="628"/>
      <c r="CS630" s="628"/>
      <c r="CT630" s="628"/>
      <c r="CU630" s="628"/>
      <c r="CV630" s="628"/>
      <c r="CW630" s="628"/>
      <c r="CX630" s="628"/>
      <c r="CY630" s="628"/>
      <c r="CZ630" s="629"/>
      <c r="DA630" s="243"/>
    </row>
    <row r="631" spans="1:105" ht="23.25" customHeight="1" x14ac:dyDescent="0.25">
      <c r="A631" s="630" t="s">
        <v>491</v>
      </c>
      <c r="B631" s="631"/>
      <c r="C631" s="631"/>
      <c r="D631" s="631"/>
      <c r="E631" s="631"/>
      <c r="F631" s="631"/>
      <c r="G631" s="632"/>
      <c r="H631" s="584" t="s">
        <v>1029</v>
      </c>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5"/>
      <c r="AL631" s="585"/>
      <c r="AM631" s="585"/>
      <c r="AN631" s="585"/>
      <c r="AO631" s="585"/>
      <c r="AP631" s="585"/>
      <c r="AQ631" s="585"/>
      <c r="AR631" s="585"/>
      <c r="AS631" s="585"/>
      <c r="AT631" s="585"/>
      <c r="AU631" s="585"/>
      <c r="AV631" s="585"/>
      <c r="AW631" s="585"/>
      <c r="AX631" s="585"/>
      <c r="AY631" s="585"/>
      <c r="AZ631" s="585"/>
      <c r="BA631" s="585"/>
      <c r="BB631" s="586"/>
      <c r="BC631" s="544">
        <v>2</v>
      </c>
      <c r="BD631" s="545"/>
      <c r="BE631" s="545"/>
      <c r="BF631" s="545"/>
      <c r="BG631" s="545"/>
      <c r="BH631" s="545"/>
      <c r="BI631" s="545"/>
      <c r="BJ631" s="545"/>
      <c r="BK631" s="545"/>
      <c r="BL631" s="545"/>
      <c r="BM631" s="545"/>
      <c r="BN631" s="545"/>
      <c r="BO631" s="545"/>
      <c r="BP631" s="545"/>
      <c r="BQ631" s="545"/>
      <c r="BR631" s="546"/>
      <c r="BS631" s="627">
        <f t="shared" si="13"/>
        <v>10800</v>
      </c>
      <c r="BT631" s="628"/>
      <c r="BU631" s="628"/>
      <c r="BV631" s="628"/>
      <c r="BW631" s="628"/>
      <c r="BX631" s="628"/>
      <c r="BY631" s="628"/>
      <c r="BZ631" s="628"/>
      <c r="CA631" s="628"/>
      <c r="CB631" s="628"/>
      <c r="CC631" s="628"/>
      <c r="CD631" s="628"/>
      <c r="CE631" s="628"/>
      <c r="CF631" s="628"/>
      <c r="CG631" s="628"/>
      <c r="CH631" s="629"/>
      <c r="CI631" s="627">
        <v>21600</v>
      </c>
      <c r="CJ631" s="628"/>
      <c r="CK631" s="628"/>
      <c r="CL631" s="628"/>
      <c r="CM631" s="628"/>
      <c r="CN631" s="628"/>
      <c r="CO631" s="628"/>
      <c r="CP631" s="628"/>
      <c r="CQ631" s="628"/>
      <c r="CR631" s="628"/>
      <c r="CS631" s="628"/>
      <c r="CT631" s="628"/>
      <c r="CU631" s="628"/>
      <c r="CV631" s="628"/>
      <c r="CW631" s="628"/>
      <c r="CX631" s="628"/>
      <c r="CY631" s="628"/>
      <c r="CZ631" s="629"/>
      <c r="DA631" s="243"/>
    </row>
    <row r="632" spans="1:105" ht="23.25" customHeight="1" x14ac:dyDescent="0.25">
      <c r="A632" s="630" t="s">
        <v>493</v>
      </c>
      <c r="B632" s="631"/>
      <c r="C632" s="631"/>
      <c r="D632" s="631"/>
      <c r="E632" s="631"/>
      <c r="F632" s="631"/>
      <c r="G632" s="632"/>
      <c r="H632" s="584" t="s">
        <v>899</v>
      </c>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5"/>
      <c r="AL632" s="585"/>
      <c r="AM632" s="585"/>
      <c r="AN632" s="585"/>
      <c r="AO632" s="585"/>
      <c r="AP632" s="585"/>
      <c r="AQ632" s="585"/>
      <c r="AR632" s="585"/>
      <c r="AS632" s="585"/>
      <c r="AT632" s="585"/>
      <c r="AU632" s="585"/>
      <c r="AV632" s="585"/>
      <c r="AW632" s="585"/>
      <c r="AX632" s="585"/>
      <c r="AY632" s="585"/>
      <c r="AZ632" s="585"/>
      <c r="BA632" s="585"/>
      <c r="BB632" s="586"/>
      <c r="BC632" s="544">
        <v>4</v>
      </c>
      <c r="BD632" s="545"/>
      <c r="BE632" s="545"/>
      <c r="BF632" s="545"/>
      <c r="BG632" s="545"/>
      <c r="BH632" s="545"/>
      <c r="BI632" s="545"/>
      <c r="BJ632" s="545"/>
      <c r="BK632" s="545"/>
      <c r="BL632" s="545"/>
      <c r="BM632" s="545"/>
      <c r="BN632" s="545"/>
      <c r="BO632" s="545"/>
      <c r="BP632" s="545"/>
      <c r="BQ632" s="545"/>
      <c r="BR632" s="546"/>
      <c r="BS632" s="627">
        <f t="shared" si="13"/>
        <v>7525</v>
      </c>
      <c r="BT632" s="628"/>
      <c r="BU632" s="628"/>
      <c r="BV632" s="628"/>
      <c r="BW632" s="628"/>
      <c r="BX632" s="628"/>
      <c r="BY632" s="628"/>
      <c r="BZ632" s="628"/>
      <c r="CA632" s="628"/>
      <c r="CB632" s="628"/>
      <c r="CC632" s="628"/>
      <c r="CD632" s="628"/>
      <c r="CE632" s="628"/>
      <c r="CF632" s="628"/>
      <c r="CG632" s="628"/>
      <c r="CH632" s="629"/>
      <c r="CI632" s="627">
        <v>30100</v>
      </c>
      <c r="CJ632" s="628"/>
      <c r="CK632" s="628"/>
      <c r="CL632" s="628"/>
      <c r="CM632" s="628"/>
      <c r="CN632" s="628"/>
      <c r="CO632" s="628"/>
      <c r="CP632" s="628"/>
      <c r="CQ632" s="628"/>
      <c r="CR632" s="628"/>
      <c r="CS632" s="628"/>
      <c r="CT632" s="628"/>
      <c r="CU632" s="628"/>
      <c r="CV632" s="628"/>
      <c r="CW632" s="628"/>
      <c r="CX632" s="628"/>
      <c r="CY632" s="628"/>
      <c r="CZ632" s="629"/>
      <c r="DA632" s="243"/>
    </row>
    <row r="633" spans="1:105" ht="23.25" customHeight="1" x14ac:dyDescent="0.25">
      <c r="A633" s="630" t="s">
        <v>515</v>
      </c>
      <c r="B633" s="631"/>
      <c r="C633" s="631"/>
      <c r="D633" s="631"/>
      <c r="E633" s="631"/>
      <c r="F633" s="631"/>
      <c r="G633" s="632"/>
      <c r="H633" s="584" t="s">
        <v>1075</v>
      </c>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5"/>
      <c r="AL633" s="585"/>
      <c r="AM633" s="585"/>
      <c r="AN633" s="585"/>
      <c r="AO633" s="585"/>
      <c r="AP633" s="585"/>
      <c r="AQ633" s="585"/>
      <c r="AR633" s="585"/>
      <c r="AS633" s="585"/>
      <c r="AT633" s="585"/>
      <c r="AU633" s="585"/>
      <c r="AV633" s="585"/>
      <c r="AW633" s="585"/>
      <c r="AX633" s="585"/>
      <c r="AY633" s="585"/>
      <c r="AZ633" s="585"/>
      <c r="BA633" s="585"/>
      <c r="BB633" s="586"/>
      <c r="BC633" s="544">
        <v>1</v>
      </c>
      <c r="BD633" s="545"/>
      <c r="BE633" s="545"/>
      <c r="BF633" s="545"/>
      <c r="BG633" s="545"/>
      <c r="BH633" s="545"/>
      <c r="BI633" s="545"/>
      <c r="BJ633" s="545"/>
      <c r="BK633" s="545"/>
      <c r="BL633" s="545"/>
      <c r="BM633" s="545"/>
      <c r="BN633" s="545"/>
      <c r="BO633" s="545"/>
      <c r="BP633" s="545"/>
      <c r="BQ633" s="545"/>
      <c r="BR633" s="546"/>
      <c r="BS633" s="627">
        <f t="shared" si="13"/>
        <v>10200</v>
      </c>
      <c r="BT633" s="628"/>
      <c r="BU633" s="628"/>
      <c r="BV633" s="628"/>
      <c r="BW633" s="628"/>
      <c r="BX633" s="628"/>
      <c r="BY633" s="628"/>
      <c r="BZ633" s="628"/>
      <c r="CA633" s="628"/>
      <c r="CB633" s="628"/>
      <c r="CC633" s="628"/>
      <c r="CD633" s="628"/>
      <c r="CE633" s="628"/>
      <c r="CF633" s="628"/>
      <c r="CG633" s="628"/>
      <c r="CH633" s="629"/>
      <c r="CI633" s="627">
        <v>10200</v>
      </c>
      <c r="CJ633" s="628"/>
      <c r="CK633" s="628"/>
      <c r="CL633" s="628"/>
      <c r="CM633" s="628"/>
      <c r="CN633" s="628"/>
      <c r="CO633" s="628"/>
      <c r="CP633" s="628"/>
      <c r="CQ633" s="628"/>
      <c r="CR633" s="628"/>
      <c r="CS633" s="628"/>
      <c r="CT633" s="628"/>
      <c r="CU633" s="628"/>
      <c r="CV633" s="628"/>
      <c r="CW633" s="628"/>
      <c r="CX633" s="628"/>
      <c r="CY633" s="628"/>
      <c r="CZ633" s="629"/>
      <c r="DA633" s="243"/>
    </row>
    <row r="634" spans="1:105" ht="23.25" customHeight="1" x14ac:dyDescent="0.25">
      <c r="A634" s="630" t="s">
        <v>519</v>
      </c>
      <c r="B634" s="631"/>
      <c r="C634" s="631"/>
      <c r="D634" s="631"/>
      <c r="E634" s="631"/>
      <c r="F634" s="631"/>
      <c r="G634" s="632"/>
      <c r="H634" s="584" t="s">
        <v>1030</v>
      </c>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5"/>
      <c r="AL634" s="585"/>
      <c r="AM634" s="585"/>
      <c r="AN634" s="585"/>
      <c r="AO634" s="585"/>
      <c r="AP634" s="585"/>
      <c r="AQ634" s="585"/>
      <c r="AR634" s="585"/>
      <c r="AS634" s="585"/>
      <c r="AT634" s="585"/>
      <c r="AU634" s="585"/>
      <c r="AV634" s="585"/>
      <c r="AW634" s="585"/>
      <c r="AX634" s="585"/>
      <c r="AY634" s="585"/>
      <c r="AZ634" s="585"/>
      <c r="BA634" s="585"/>
      <c r="BB634" s="586"/>
      <c r="BC634" s="544">
        <v>3</v>
      </c>
      <c r="BD634" s="545"/>
      <c r="BE634" s="545"/>
      <c r="BF634" s="545"/>
      <c r="BG634" s="545"/>
      <c r="BH634" s="545"/>
      <c r="BI634" s="545"/>
      <c r="BJ634" s="545"/>
      <c r="BK634" s="545"/>
      <c r="BL634" s="545"/>
      <c r="BM634" s="545"/>
      <c r="BN634" s="545"/>
      <c r="BO634" s="545"/>
      <c r="BP634" s="545"/>
      <c r="BQ634" s="545"/>
      <c r="BR634" s="546"/>
      <c r="BS634" s="627">
        <f t="shared" si="13"/>
        <v>6491</v>
      </c>
      <c r="BT634" s="628"/>
      <c r="BU634" s="628"/>
      <c r="BV634" s="628"/>
      <c r="BW634" s="628"/>
      <c r="BX634" s="628"/>
      <c r="BY634" s="628"/>
      <c r="BZ634" s="628"/>
      <c r="CA634" s="628"/>
      <c r="CB634" s="628"/>
      <c r="CC634" s="628"/>
      <c r="CD634" s="628"/>
      <c r="CE634" s="628"/>
      <c r="CF634" s="628"/>
      <c r="CG634" s="628"/>
      <c r="CH634" s="629"/>
      <c r="CI634" s="627">
        <v>19473</v>
      </c>
      <c r="CJ634" s="628"/>
      <c r="CK634" s="628"/>
      <c r="CL634" s="628"/>
      <c r="CM634" s="628"/>
      <c r="CN634" s="628"/>
      <c r="CO634" s="628"/>
      <c r="CP634" s="628"/>
      <c r="CQ634" s="628"/>
      <c r="CR634" s="628"/>
      <c r="CS634" s="628"/>
      <c r="CT634" s="628"/>
      <c r="CU634" s="628"/>
      <c r="CV634" s="628"/>
      <c r="CW634" s="628"/>
      <c r="CX634" s="628"/>
      <c r="CY634" s="628"/>
      <c r="CZ634" s="629"/>
      <c r="DA634" s="243"/>
    </row>
    <row r="635" spans="1:105" ht="23.25" customHeight="1" x14ac:dyDescent="0.25">
      <c r="A635" s="630" t="s">
        <v>521</v>
      </c>
      <c r="B635" s="631"/>
      <c r="C635" s="631"/>
      <c r="D635" s="631"/>
      <c r="E635" s="631"/>
      <c r="F635" s="631"/>
      <c r="G635" s="632"/>
      <c r="H635" s="584" t="s">
        <v>1031</v>
      </c>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5"/>
      <c r="AL635" s="585"/>
      <c r="AM635" s="585"/>
      <c r="AN635" s="585"/>
      <c r="AO635" s="585"/>
      <c r="AP635" s="585"/>
      <c r="AQ635" s="585"/>
      <c r="AR635" s="585"/>
      <c r="AS635" s="585"/>
      <c r="AT635" s="585"/>
      <c r="AU635" s="585"/>
      <c r="AV635" s="585"/>
      <c r="AW635" s="585"/>
      <c r="AX635" s="585"/>
      <c r="AY635" s="585"/>
      <c r="AZ635" s="585"/>
      <c r="BA635" s="585"/>
      <c r="BB635" s="586"/>
      <c r="BC635" s="544">
        <v>1</v>
      </c>
      <c r="BD635" s="545"/>
      <c r="BE635" s="545"/>
      <c r="BF635" s="545"/>
      <c r="BG635" s="545"/>
      <c r="BH635" s="545"/>
      <c r="BI635" s="545"/>
      <c r="BJ635" s="545"/>
      <c r="BK635" s="545"/>
      <c r="BL635" s="545"/>
      <c r="BM635" s="545"/>
      <c r="BN635" s="545"/>
      <c r="BO635" s="545"/>
      <c r="BP635" s="545"/>
      <c r="BQ635" s="545"/>
      <c r="BR635" s="546"/>
      <c r="BS635" s="627">
        <f t="shared" si="13"/>
        <v>9500</v>
      </c>
      <c r="BT635" s="628"/>
      <c r="BU635" s="628"/>
      <c r="BV635" s="628"/>
      <c r="BW635" s="628"/>
      <c r="BX635" s="628"/>
      <c r="BY635" s="628"/>
      <c r="BZ635" s="628"/>
      <c r="CA635" s="628"/>
      <c r="CB635" s="628"/>
      <c r="CC635" s="628"/>
      <c r="CD635" s="628"/>
      <c r="CE635" s="628"/>
      <c r="CF635" s="628"/>
      <c r="CG635" s="628"/>
      <c r="CH635" s="629"/>
      <c r="CI635" s="627">
        <v>9500</v>
      </c>
      <c r="CJ635" s="628"/>
      <c r="CK635" s="628"/>
      <c r="CL635" s="628"/>
      <c r="CM635" s="628"/>
      <c r="CN635" s="628"/>
      <c r="CO635" s="628"/>
      <c r="CP635" s="628"/>
      <c r="CQ635" s="628"/>
      <c r="CR635" s="628"/>
      <c r="CS635" s="628"/>
      <c r="CT635" s="628"/>
      <c r="CU635" s="628"/>
      <c r="CV635" s="628"/>
      <c r="CW635" s="628"/>
      <c r="CX635" s="628"/>
      <c r="CY635" s="628"/>
      <c r="CZ635" s="629"/>
      <c r="DA635" s="243"/>
    </row>
    <row r="636" spans="1:105" ht="23.25" customHeight="1" x14ac:dyDescent="0.25">
      <c r="A636" s="630" t="s">
        <v>523</v>
      </c>
      <c r="B636" s="631"/>
      <c r="C636" s="631"/>
      <c r="D636" s="631"/>
      <c r="E636" s="631"/>
      <c r="F636" s="631"/>
      <c r="G636" s="632"/>
      <c r="H636" s="584" t="s">
        <v>1032</v>
      </c>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5"/>
      <c r="AL636" s="585"/>
      <c r="AM636" s="585"/>
      <c r="AN636" s="585"/>
      <c r="AO636" s="585"/>
      <c r="AP636" s="585"/>
      <c r="AQ636" s="585"/>
      <c r="AR636" s="585"/>
      <c r="AS636" s="585"/>
      <c r="AT636" s="585"/>
      <c r="AU636" s="585"/>
      <c r="AV636" s="585"/>
      <c r="AW636" s="585"/>
      <c r="AX636" s="585"/>
      <c r="AY636" s="585"/>
      <c r="AZ636" s="585"/>
      <c r="BA636" s="585"/>
      <c r="BB636" s="586"/>
      <c r="BC636" s="544">
        <v>2</v>
      </c>
      <c r="BD636" s="545"/>
      <c r="BE636" s="545"/>
      <c r="BF636" s="545"/>
      <c r="BG636" s="545"/>
      <c r="BH636" s="545"/>
      <c r="BI636" s="545"/>
      <c r="BJ636" s="545"/>
      <c r="BK636" s="545"/>
      <c r="BL636" s="545"/>
      <c r="BM636" s="545"/>
      <c r="BN636" s="545"/>
      <c r="BO636" s="545"/>
      <c r="BP636" s="545"/>
      <c r="BQ636" s="545"/>
      <c r="BR636" s="546"/>
      <c r="BS636" s="627">
        <f t="shared" si="13"/>
        <v>6600</v>
      </c>
      <c r="BT636" s="628"/>
      <c r="BU636" s="628"/>
      <c r="BV636" s="628"/>
      <c r="BW636" s="628"/>
      <c r="BX636" s="628"/>
      <c r="BY636" s="628"/>
      <c r="BZ636" s="628"/>
      <c r="CA636" s="628"/>
      <c r="CB636" s="628"/>
      <c r="CC636" s="628"/>
      <c r="CD636" s="628"/>
      <c r="CE636" s="628"/>
      <c r="CF636" s="628"/>
      <c r="CG636" s="628"/>
      <c r="CH636" s="629"/>
      <c r="CI636" s="627">
        <v>13200</v>
      </c>
      <c r="CJ636" s="628"/>
      <c r="CK636" s="628"/>
      <c r="CL636" s="628"/>
      <c r="CM636" s="628"/>
      <c r="CN636" s="628"/>
      <c r="CO636" s="628"/>
      <c r="CP636" s="628"/>
      <c r="CQ636" s="628"/>
      <c r="CR636" s="628"/>
      <c r="CS636" s="628"/>
      <c r="CT636" s="628"/>
      <c r="CU636" s="628"/>
      <c r="CV636" s="628"/>
      <c r="CW636" s="628"/>
      <c r="CX636" s="628"/>
      <c r="CY636" s="628"/>
      <c r="CZ636" s="629"/>
      <c r="DA636" s="243"/>
    </row>
    <row r="637" spans="1:105" ht="23.25" customHeight="1" x14ac:dyDescent="0.25">
      <c r="A637" s="630" t="s">
        <v>525</v>
      </c>
      <c r="B637" s="631"/>
      <c r="C637" s="631"/>
      <c r="D637" s="631"/>
      <c r="E637" s="631"/>
      <c r="F637" s="631"/>
      <c r="G637" s="632"/>
      <c r="H637" s="584" t="s">
        <v>1033</v>
      </c>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6"/>
      <c r="BC637" s="544">
        <v>1</v>
      </c>
      <c r="BD637" s="545"/>
      <c r="BE637" s="545"/>
      <c r="BF637" s="545"/>
      <c r="BG637" s="545"/>
      <c r="BH637" s="545"/>
      <c r="BI637" s="545"/>
      <c r="BJ637" s="545"/>
      <c r="BK637" s="545"/>
      <c r="BL637" s="545"/>
      <c r="BM637" s="545"/>
      <c r="BN637" s="545"/>
      <c r="BO637" s="545"/>
      <c r="BP637" s="545"/>
      <c r="BQ637" s="545"/>
      <c r="BR637" s="546"/>
      <c r="BS637" s="627">
        <f t="shared" si="13"/>
        <v>37100</v>
      </c>
      <c r="BT637" s="628"/>
      <c r="BU637" s="628"/>
      <c r="BV637" s="628"/>
      <c r="BW637" s="628"/>
      <c r="BX637" s="628"/>
      <c r="BY637" s="628"/>
      <c r="BZ637" s="628"/>
      <c r="CA637" s="628"/>
      <c r="CB637" s="628"/>
      <c r="CC637" s="628"/>
      <c r="CD637" s="628"/>
      <c r="CE637" s="628"/>
      <c r="CF637" s="628"/>
      <c r="CG637" s="628"/>
      <c r="CH637" s="629"/>
      <c r="CI637" s="627">
        <v>37100</v>
      </c>
      <c r="CJ637" s="628"/>
      <c r="CK637" s="628"/>
      <c r="CL637" s="628"/>
      <c r="CM637" s="628"/>
      <c r="CN637" s="628"/>
      <c r="CO637" s="628"/>
      <c r="CP637" s="628"/>
      <c r="CQ637" s="628"/>
      <c r="CR637" s="628"/>
      <c r="CS637" s="628"/>
      <c r="CT637" s="628"/>
      <c r="CU637" s="628"/>
      <c r="CV637" s="628"/>
      <c r="CW637" s="628"/>
      <c r="CX637" s="628"/>
      <c r="CY637" s="628"/>
      <c r="CZ637" s="629"/>
      <c r="DA637" s="243"/>
    </row>
    <row r="638" spans="1:105" ht="23.25" customHeight="1" x14ac:dyDescent="0.25">
      <c r="A638" s="630" t="s">
        <v>526</v>
      </c>
      <c r="B638" s="631"/>
      <c r="C638" s="631"/>
      <c r="D638" s="631"/>
      <c r="E638" s="631"/>
      <c r="F638" s="631"/>
      <c r="G638" s="632"/>
      <c r="H638" s="584" t="s">
        <v>1034</v>
      </c>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5"/>
      <c r="AL638" s="585"/>
      <c r="AM638" s="585"/>
      <c r="AN638" s="585"/>
      <c r="AO638" s="585"/>
      <c r="AP638" s="585"/>
      <c r="AQ638" s="585"/>
      <c r="AR638" s="585"/>
      <c r="AS638" s="585"/>
      <c r="AT638" s="585"/>
      <c r="AU638" s="585"/>
      <c r="AV638" s="585"/>
      <c r="AW638" s="585"/>
      <c r="AX638" s="585"/>
      <c r="AY638" s="585"/>
      <c r="AZ638" s="585"/>
      <c r="BA638" s="585"/>
      <c r="BB638" s="586"/>
      <c r="BC638" s="544">
        <v>1</v>
      </c>
      <c r="BD638" s="545"/>
      <c r="BE638" s="545"/>
      <c r="BF638" s="545"/>
      <c r="BG638" s="545"/>
      <c r="BH638" s="545"/>
      <c r="BI638" s="545"/>
      <c r="BJ638" s="545"/>
      <c r="BK638" s="545"/>
      <c r="BL638" s="545"/>
      <c r="BM638" s="545"/>
      <c r="BN638" s="545"/>
      <c r="BO638" s="545"/>
      <c r="BP638" s="545"/>
      <c r="BQ638" s="545"/>
      <c r="BR638" s="546"/>
      <c r="BS638" s="627">
        <f t="shared" si="13"/>
        <v>47500</v>
      </c>
      <c r="BT638" s="628"/>
      <c r="BU638" s="628"/>
      <c r="BV638" s="628"/>
      <c r="BW638" s="628"/>
      <c r="BX638" s="628"/>
      <c r="BY638" s="628"/>
      <c r="BZ638" s="628"/>
      <c r="CA638" s="628"/>
      <c r="CB638" s="628"/>
      <c r="CC638" s="628"/>
      <c r="CD638" s="628"/>
      <c r="CE638" s="628"/>
      <c r="CF638" s="628"/>
      <c r="CG638" s="628"/>
      <c r="CH638" s="629"/>
      <c r="CI638" s="627">
        <v>47500</v>
      </c>
      <c r="CJ638" s="628"/>
      <c r="CK638" s="628"/>
      <c r="CL638" s="628"/>
      <c r="CM638" s="628"/>
      <c r="CN638" s="628"/>
      <c r="CO638" s="628"/>
      <c r="CP638" s="628"/>
      <c r="CQ638" s="628"/>
      <c r="CR638" s="628"/>
      <c r="CS638" s="628"/>
      <c r="CT638" s="628"/>
      <c r="CU638" s="628"/>
      <c r="CV638" s="628"/>
      <c r="CW638" s="628"/>
      <c r="CX638" s="628"/>
      <c r="CY638" s="628"/>
      <c r="CZ638" s="629"/>
      <c r="DA638" s="243"/>
    </row>
    <row r="639" spans="1:105" ht="23.25" customHeight="1" x14ac:dyDescent="0.25">
      <c r="A639" s="630" t="s">
        <v>530</v>
      </c>
      <c r="B639" s="631"/>
      <c r="C639" s="631"/>
      <c r="D639" s="631"/>
      <c r="E639" s="631"/>
      <c r="F639" s="631"/>
      <c r="G639" s="632"/>
      <c r="H639" s="584" t="s">
        <v>1076</v>
      </c>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5"/>
      <c r="AL639" s="585"/>
      <c r="AM639" s="585"/>
      <c r="AN639" s="585"/>
      <c r="AO639" s="585"/>
      <c r="AP639" s="585"/>
      <c r="AQ639" s="585"/>
      <c r="AR639" s="585"/>
      <c r="AS639" s="585"/>
      <c r="AT639" s="585"/>
      <c r="AU639" s="585"/>
      <c r="AV639" s="585"/>
      <c r="AW639" s="585"/>
      <c r="AX639" s="585"/>
      <c r="AY639" s="585"/>
      <c r="AZ639" s="585"/>
      <c r="BA639" s="585"/>
      <c r="BB639" s="586"/>
      <c r="BC639" s="544">
        <v>2</v>
      </c>
      <c r="BD639" s="545"/>
      <c r="BE639" s="545"/>
      <c r="BF639" s="545"/>
      <c r="BG639" s="545"/>
      <c r="BH639" s="545"/>
      <c r="BI639" s="545"/>
      <c r="BJ639" s="545"/>
      <c r="BK639" s="545"/>
      <c r="BL639" s="545"/>
      <c r="BM639" s="545"/>
      <c r="BN639" s="545"/>
      <c r="BO639" s="545"/>
      <c r="BP639" s="545"/>
      <c r="BQ639" s="545"/>
      <c r="BR639" s="546"/>
      <c r="BS639" s="627">
        <f t="shared" ref="BS639" si="14">CI639/BC639</f>
        <v>16096</v>
      </c>
      <c r="BT639" s="628"/>
      <c r="BU639" s="628"/>
      <c r="BV639" s="628"/>
      <c r="BW639" s="628"/>
      <c r="BX639" s="628"/>
      <c r="BY639" s="628"/>
      <c r="BZ639" s="628"/>
      <c r="CA639" s="628"/>
      <c r="CB639" s="628"/>
      <c r="CC639" s="628"/>
      <c r="CD639" s="628"/>
      <c r="CE639" s="628"/>
      <c r="CF639" s="628"/>
      <c r="CG639" s="628"/>
      <c r="CH639" s="629"/>
      <c r="CI639" s="627">
        <v>32192</v>
      </c>
      <c r="CJ639" s="628"/>
      <c r="CK639" s="628"/>
      <c r="CL639" s="628"/>
      <c r="CM639" s="628"/>
      <c r="CN639" s="628"/>
      <c r="CO639" s="628"/>
      <c r="CP639" s="628"/>
      <c r="CQ639" s="628"/>
      <c r="CR639" s="628"/>
      <c r="CS639" s="628"/>
      <c r="CT639" s="628"/>
      <c r="CU639" s="628"/>
      <c r="CV639" s="628"/>
      <c r="CW639" s="628"/>
      <c r="CX639" s="628"/>
      <c r="CY639" s="628"/>
      <c r="CZ639" s="629"/>
      <c r="DA639" s="243"/>
    </row>
    <row r="640" spans="1:105" ht="23.25" customHeight="1" x14ac:dyDescent="0.25">
      <c r="A640" s="630" t="s">
        <v>530</v>
      </c>
      <c r="B640" s="631"/>
      <c r="C640" s="631"/>
      <c r="D640" s="631"/>
      <c r="E640" s="631"/>
      <c r="F640" s="631"/>
      <c r="G640" s="632"/>
      <c r="H640" s="584" t="s">
        <v>884</v>
      </c>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5"/>
      <c r="AL640" s="585"/>
      <c r="AM640" s="585"/>
      <c r="AN640" s="585"/>
      <c r="AO640" s="585"/>
      <c r="AP640" s="585"/>
      <c r="AQ640" s="585"/>
      <c r="AR640" s="585"/>
      <c r="AS640" s="585"/>
      <c r="AT640" s="585"/>
      <c r="AU640" s="585"/>
      <c r="AV640" s="585"/>
      <c r="AW640" s="585"/>
      <c r="AX640" s="585"/>
      <c r="AY640" s="585"/>
      <c r="AZ640" s="585"/>
      <c r="BA640" s="585"/>
      <c r="BB640" s="586"/>
      <c r="BC640" s="544">
        <v>1</v>
      </c>
      <c r="BD640" s="545"/>
      <c r="BE640" s="545"/>
      <c r="BF640" s="545"/>
      <c r="BG640" s="545"/>
      <c r="BH640" s="545"/>
      <c r="BI640" s="545"/>
      <c r="BJ640" s="545"/>
      <c r="BK640" s="545"/>
      <c r="BL640" s="545"/>
      <c r="BM640" s="545"/>
      <c r="BN640" s="545"/>
      <c r="BO640" s="545"/>
      <c r="BP640" s="545"/>
      <c r="BQ640" s="545"/>
      <c r="BR640" s="546"/>
      <c r="BS640" s="627">
        <f t="shared" si="13"/>
        <v>24600</v>
      </c>
      <c r="BT640" s="628"/>
      <c r="BU640" s="628"/>
      <c r="BV640" s="628"/>
      <c r="BW640" s="628"/>
      <c r="BX640" s="628"/>
      <c r="BY640" s="628"/>
      <c r="BZ640" s="628"/>
      <c r="CA640" s="628"/>
      <c r="CB640" s="628"/>
      <c r="CC640" s="628"/>
      <c r="CD640" s="628"/>
      <c r="CE640" s="628"/>
      <c r="CF640" s="628"/>
      <c r="CG640" s="628"/>
      <c r="CH640" s="629"/>
      <c r="CI640" s="627">
        <v>24600</v>
      </c>
      <c r="CJ640" s="628"/>
      <c r="CK640" s="628"/>
      <c r="CL640" s="628"/>
      <c r="CM640" s="628"/>
      <c r="CN640" s="628"/>
      <c r="CO640" s="628"/>
      <c r="CP640" s="628"/>
      <c r="CQ640" s="628"/>
      <c r="CR640" s="628"/>
      <c r="CS640" s="628"/>
      <c r="CT640" s="628"/>
      <c r="CU640" s="628"/>
      <c r="CV640" s="628"/>
      <c r="CW640" s="628"/>
      <c r="CX640" s="628"/>
      <c r="CY640" s="628"/>
      <c r="CZ640" s="629"/>
      <c r="DA640" s="243"/>
    </row>
    <row r="641" spans="1:105" ht="23.25" customHeight="1" x14ac:dyDescent="0.25">
      <c r="A641" s="630" t="s">
        <v>621</v>
      </c>
      <c r="B641" s="631"/>
      <c r="C641" s="631"/>
      <c r="D641" s="631"/>
      <c r="E641" s="631"/>
      <c r="F641" s="631"/>
      <c r="G641" s="632"/>
      <c r="H641" s="584" t="s">
        <v>1035</v>
      </c>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5"/>
      <c r="AL641" s="585"/>
      <c r="AM641" s="585"/>
      <c r="AN641" s="585"/>
      <c r="AO641" s="585"/>
      <c r="AP641" s="585"/>
      <c r="AQ641" s="585"/>
      <c r="AR641" s="585"/>
      <c r="AS641" s="585"/>
      <c r="AT641" s="585"/>
      <c r="AU641" s="585"/>
      <c r="AV641" s="585"/>
      <c r="AW641" s="585"/>
      <c r="AX641" s="585"/>
      <c r="AY641" s="585"/>
      <c r="AZ641" s="585"/>
      <c r="BA641" s="585"/>
      <c r="BB641" s="586"/>
      <c r="BC641" s="544">
        <v>2</v>
      </c>
      <c r="BD641" s="545"/>
      <c r="BE641" s="545"/>
      <c r="BF641" s="545"/>
      <c r="BG641" s="545"/>
      <c r="BH641" s="545"/>
      <c r="BI641" s="545"/>
      <c r="BJ641" s="545"/>
      <c r="BK641" s="545"/>
      <c r="BL641" s="545"/>
      <c r="BM641" s="545"/>
      <c r="BN641" s="545"/>
      <c r="BO641" s="545"/>
      <c r="BP641" s="545"/>
      <c r="BQ641" s="545"/>
      <c r="BR641" s="546"/>
      <c r="BS641" s="627">
        <f t="shared" si="13"/>
        <v>7950</v>
      </c>
      <c r="BT641" s="628"/>
      <c r="BU641" s="628"/>
      <c r="BV641" s="628"/>
      <c r="BW641" s="628"/>
      <c r="BX641" s="628"/>
      <c r="BY641" s="628"/>
      <c r="BZ641" s="628"/>
      <c r="CA641" s="628"/>
      <c r="CB641" s="628"/>
      <c r="CC641" s="628"/>
      <c r="CD641" s="628"/>
      <c r="CE641" s="628"/>
      <c r="CF641" s="628"/>
      <c r="CG641" s="628"/>
      <c r="CH641" s="629"/>
      <c r="CI641" s="627">
        <v>15900</v>
      </c>
      <c r="CJ641" s="628"/>
      <c r="CK641" s="628"/>
      <c r="CL641" s="628"/>
      <c r="CM641" s="628"/>
      <c r="CN641" s="628"/>
      <c r="CO641" s="628"/>
      <c r="CP641" s="628"/>
      <c r="CQ641" s="628"/>
      <c r="CR641" s="628"/>
      <c r="CS641" s="628"/>
      <c r="CT641" s="628"/>
      <c r="CU641" s="628"/>
      <c r="CV641" s="628"/>
      <c r="CW641" s="628"/>
      <c r="CX641" s="628"/>
      <c r="CY641" s="628"/>
      <c r="CZ641" s="629"/>
      <c r="DA641" s="243"/>
    </row>
    <row r="642" spans="1:105" ht="23.25" customHeight="1" x14ac:dyDescent="0.25">
      <c r="A642" s="630" t="s">
        <v>622</v>
      </c>
      <c r="B642" s="631"/>
      <c r="C642" s="631"/>
      <c r="D642" s="631"/>
      <c r="E642" s="631"/>
      <c r="F642" s="631"/>
      <c r="G642" s="632"/>
      <c r="H642" s="584" t="s">
        <v>1077</v>
      </c>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5"/>
      <c r="AL642" s="585"/>
      <c r="AM642" s="585"/>
      <c r="AN642" s="585"/>
      <c r="AO642" s="585"/>
      <c r="AP642" s="585"/>
      <c r="AQ642" s="585"/>
      <c r="AR642" s="585"/>
      <c r="AS642" s="585"/>
      <c r="AT642" s="585"/>
      <c r="AU642" s="585"/>
      <c r="AV642" s="585"/>
      <c r="AW642" s="585"/>
      <c r="AX642" s="585"/>
      <c r="AY642" s="585"/>
      <c r="AZ642" s="585"/>
      <c r="BA642" s="585"/>
      <c r="BB642" s="586"/>
      <c r="BC642" s="544">
        <v>6</v>
      </c>
      <c r="BD642" s="545"/>
      <c r="BE642" s="545"/>
      <c r="BF642" s="545"/>
      <c r="BG642" s="545"/>
      <c r="BH642" s="545"/>
      <c r="BI642" s="545"/>
      <c r="BJ642" s="545"/>
      <c r="BK642" s="545"/>
      <c r="BL642" s="545"/>
      <c r="BM642" s="545"/>
      <c r="BN642" s="545"/>
      <c r="BO642" s="545"/>
      <c r="BP642" s="545"/>
      <c r="BQ642" s="545"/>
      <c r="BR642" s="546"/>
      <c r="BS642" s="627">
        <f t="shared" ref="BS642" si="15">CI642/BC642</f>
        <v>4200</v>
      </c>
      <c r="BT642" s="628"/>
      <c r="BU642" s="628"/>
      <c r="BV642" s="628"/>
      <c r="BW642" s="628"/>
      <c r="BX642" s="628"/>
      <c r="BY642" s="628"/>
      <c r="BZ642" s="628"/>
      <c r="CA642" s="628"/>
      <c r="CB642" s="628"/>
      <c r="CC642" s="628"/>
      <c r="CD642" s="628"/>
      <c r="CE642" s="628"/>
      <c r="CF642" s="628"/>
      <c r="CG642" s="628"/>
      <c r="CH642" s="629"/>
      <c r="CI642" s="627">
        <v>25200</v>
      </c>
      <c r="CJ642" s="628"/>
      <c r="CK642" s="628"/>
      <c r="CL642" s="628"/>
      <c r="CM642" s="628"/>
      <c r="CN642" s="628"/>
      <c r="CO642" s="628"/>
      <c r="CP642" s="628"/>
      <c r="CQ642" s="628"/>
      <c r="CR642" s="628"/>
      <c r="CS642" s="628"/>
      <c r="CT642" s="628"/>
      <c r="CU642" s="628"/>
      <c r="CV642" s="628"/>
      <c r="CW642" s="628"/>
      <c r="CX642" s="628"/>
      <c r="CY642" s="628"/>
      <c r="CZ642" s="629"/>
      <c r="DA642" s="243"/>
    </row>
    <row r="643" spans="1:105" ht="23.25" customHeight="1" x14ac:dyDescent="0.25">
      <c r="A643" s="630" t="s">
        <v>622</v>
      </c>
      <c r="B643" s="631"/>
      <c r="C643" s="631"/>
      <c r="D643" s="631"/>
      <c r="E643" s="631"/>
      <c r="F643" s="631"/>
      <c r="G643" s="632"/>
      <c r="H643" s="584" t="s">
        <v>1036</v>
      </c>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5"/>
      <c r="AL643" s="585"/>
      <c r="AM643" s="585"/>
      <c r="AN643" s="585"/>
      <c r="AO643" s="585"/>
      <c r="AP643" s="585"/>
      <c r="AQ643" s="585"/>
      <c r="AR643" s="585"/>
      <c r="AS643" s="585"/>
      <c r="AT643" s="585"/>
      <c r="AU643" s="585"/>
      <c r="AV643" s="585"/>
      <c r="AW643" s="585"/>
      <c r="AX643" s="585"/>
      <c r="AY643" s="585"/>
      <c r="AZ643" s="585"/>
      <c r="BA643" s="585"/>
      <c r="BB643" s="586"/>
      <c r="BC643" s="544">
        <v>6</v>
      </c>
      <c r="BD643" s="545"/>
      <c r="BE643" s="545"/>
      <c r="BF643" s="545"/>
      <c r="BG643" s="545"/>
      <c r="BH643" s="545"/>
      <c r="BI643" s="545"/>
      <c r="BJ643" s="545"/>
      <c r="BK643" s="545"/>
      <c r="BL643" s="545"/>
      <c r="BM643" s="545"/>
      <c r="BN643" s="545"/>
      <c r="BO643" s="545"/>
      <c r="BP643" s="545"/>
      <c r="BQ643" s="545"/>
      <c r="BR643" s="546"/>
      <c r="BS643" s="627">
        <f t="shared" si="13"/>
        <v>2533.3333333333335</v>
      </c>
      <c r="BT643" s="628"/>
      <c r="BU643" s="628"/>
      <c r="BV643" s="628"/>
      <c r="BW643" s="628"/>
      <c r="BX643" s="628"/>
      <c r="BY643" s="628"/>
      <c r="BZ643" s="628"/>
      <c r="CA643" s="628"/>
      <c r="CB643" s="628"/>
      <c r="CC643" s="628"/>
      <c r="CD643" s="628"/>
      <c r="CE643" s="628"/>
      <c r="CF643" s="628"/>
      <c r="CG643" s="628"/>
      <c r="CH643" s="629"/>
      <c r="CI643" s="627">
        <v>15200</v>
      </c>
      <c r="CJ643" s="628"/>
      <c r="CK643" s="628"/>
      <c r="CL643" s="628"/>
      <c r="CM643" s="628"/>
      <c r="CN643" s="628"/>
      <c r="CO643" s="628"/>
      <c r="CP643" s="628"/>
      <c r="CQ643" s="628"/>
      <c r="CR643" s="628"/>
      <c r="CS643" s="628"/>
      <c r="CT643" s="628"/>
      <c r="CU643" s="628"/>
      <c r="CV643" s="628"/>
      <c r="CW643" s="628"/>
      <c r="CX643" s="628"/>
      <c r="CY643" s="628"/>
      <c r="CZ643" s="629"/>
      <c r="DA643" s="243"/>
    </row>
    <row r="644" spans="1:105" ht="23.25" customHeight="1" x14ac:dyDescent="0.25">
      <c r="A644" s="630" t="s">
        <v>623</v>
      </c>
      <c r="B644" s="631"/>
      <c r="C644" s="631"/>
      <c r="D644" s="631"/>
      <c r="E644" s="631"/>
      <c r="F644" s="631"/>
      <c r="G644" s="632"/>
      <c r="H644" s="584" t="s">
        <v>1078</v>
      </c>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5"/>
      <c r="AL644" s="585"/>
      <c r="AM644" s="585"/>
      <c r="AN644" s="585"/>
      <c r="AO644" s="585"/>
      <c r="AP644" s="585"/>
      <c r="AQ644" s="585"/>
      <c r="AR644" s="585"/>
      <c r="AS644" s="585"/>
      <c r="AT644" s="585"/>
      <c r="AU644" s="585"/>
      <c r="AV644" s="585"/>
      <c r="AW644" s="585"/>
      <c r="AX644" s="585"/>
      <c r="AY644" s="585"/>
      <c r="AZ644" s="585"/>
      <c r="BA644" s="585"/>
      <c r="BB644" s="586"/>
      <c r="BC644" s="544">
        <v>1</v>
      </c>
      <c r="BD644" s="545"/>
      <c r="BE644" s="545"/>
      <c r="BF644" s="545"/>
      <c r="BG644" s="545"/>
      <c r="BH644" s="545"/>
      <c r="BI644" s="545"/>
      <c r="BJ644" s="545"/>
      <c r="BK644" s="545"/>
      <c r="BL644" s="545"/>
      <c r="BM644" s="545"/>
      <c r="BN644" s="545"/>
      <c r="BO644" s="545"/>
      <c r="BP644" s="545"/>
      <c r="BQ644" s="545"/>
      <c r="BR644" s="546"/>
      <c r="BS644" s="627">
        <f t="shared" si="13"/>
        <v>8000</v>
      </c>
      <c r="BT644" s="628"/>
      <c r="BU644" s="628"/>
      <c r="BV644" s="628"/>
      <c r="BW644" s="628"/>
      <c r="BX644" s="628"/>
      <c r="BY644" s="628"/>
      <c r="BZ644" s="628"/>
      <c r="CA644" s="628"/>
      <c r="CB644" s="628"/>
      <c r="CC644" s="628"/>
      <c r="CD644" s="628"/>
      <c r="CE644" s="628"/>
      <c r="CF644" s="628"/>
      <c r="CG644" s="628"/>
      <c r="CH644" s="629"/>
      <c r="CI644" s="627">
        <v>8000</v>
      </c>
      <c r="CJ644" s="628"/>
      <c r="CK644" s="628"/>
      <c r="CL644" s="628"/>
      <c r="CM644" s="628"/>
      <c r="CN644" s="628"/>
      <c r="CO644" s="628"/>
      <c r="CP644" s="628"/>
      <c r="CQ644" s="628"/>
      <c r="CR644" s="628"/>
      <c r="CS644" s="628"/>
      <c r="CT644" s="628"/>
      <c r="CU644" s="628"/>
      <c r="CV644" s="628"/>
      <c r="CW644" s="628"/>
      <c r="CX644" s="628"/>
      <c r="CY644" s="628"/>
      <c r="CZ644" s="629"/>
      <c r="DA644" s="243"/>
    </row>
    <row r="645" spans="1:105" ht="23.25" customHeight="1" x14ac:dyDescent="0.25">
      <c r="A645" s="630" t="s">
        <v>387</v>
      </c>
      <c r="B645" s="631"/>
      <c r="C645" s="631"/>
      <c r="D645" s="631"/>
      <c r="E645" s="631"/>
      <c r="F645" s="631"/>
      <c r="G645" s="632"/>
      <c r="H645" s="584" t="s">
        <v>1079</v>
      </c>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5"/>
      <c r="AL645" s="585"/>
      <c r="AM645" s="585"/>
      <c r="AN645" s="585"/>
      <c r="AO645" s="585"/>
      <c r="AP645" s="585"/>
      <c r="AQ645" s="585"/>
      <c r="AR645" s="585"/>
      <c r="AS645" s="585"/>
      <c r="AT645" s="585"/>
      <c r="AU645" s="585"/>
      <c r="AV645" s="585"/>
      <c r="AW645" s="585"/>
      <c r="AX645" s="585"/>
      <c r="AY645" s="585"/>
      <c r="AZ645" s="585"/>
      <c r="BA645" s="585"/>
      <c r="BB645" s="586"/>
      <c r="BC645" s="544">
        <v>2</v>
      </c>
      <c r="BD645" s="545"/>
      <c r="BE645" s="545"/>
      <c r="BF645" s="545"/>
      <c r="BG645" s="545"/>
      <c r="BH645" s="545"/>
      <c r="BI645" s="545"/>
      <c r="BJ645" s="545"/>
      <c r="BK645" s="545"/>
      <c r="BL645" s="545"/>
      <c r="BM645" s="545"/>
      <c r="BN645" s="545"/>
      <c r="BO645" s="545"/>
      <c r="BP645" s="545"/>
      <c r="BQ645" s="545"/>
      <c r="BR645" s="546"/>
      <c r="BS645" s="627">
        <f t="shared" ref="BS645" si="16">CI645/BC645</f>
        <v>8953</v>
      </c>
      <c r="BT645" s="628"/>
      <c r="BU645" s="628"/>
      <c r="BV645" s="628"/>
      <c r="BW645" s="628"/>
      <c r="BX645" s="628"/>
      <c r="BY645" s="628"/>
      <c r="BZ645" s="628"/>
      <c r="CA645" s="628"/>
      <c r="CB645" s="628"/>
      <c r="CC645" s="628"/>
      <c r="CD645" s="628"/>
      <c r="CE645" s="628"/>
      <c r="CF645" s="628"/>
      <c r="CG645" s="628"/>
      <c r="CH645" s="629"/>
      <c r="CI645" s="627">
        <v>17906</v>
      </c>
      <c r="CJ645" s="628"/>
      <c r="CK645" s="628"/>
      <c r="CL645" s="628"/>
      <c r="CM645" s="628"/>
      <c r="CN645" s="628"/>
      <c r="CO645" s="628"/>
      <c r="CP645" s="628"/>
      <c r="CQ645" s="628"/>
      <c r="CR645" s="628"/>
      <c r="CS645" s="628"/>
      <c r="CT645" s="628"/>
      <c r="CU645" s="628"/>
      <c r="CV645" s="628"/>
      <c r="CW645" s="628"/>
      <c r="CX645" s="628"/>
      <c r="CY645" s="628"/>
      <c r="CZ645" s="629"/>
      <c r="DA645" s="243"/>
    </row>
    <row r="646" spans="1:105" ht="23.25" customHeight="1" x14ac:dyDescent="0.25">
      <c r="A646" s="630" t="s">
        <v>387</v>
      </c>
      <c r="B646" s="631"/>
      <c r="C646" s="631"/>
      <c r="D646" s="631"/>
      <c r="E646" s="631"/>
      <c r="F646" s="631"/>
      <c r="G646" s="632"/>
      <c r="H646" s="584" t="s">
        <v>1080</v>
      </c>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585"/>
      <c r="AY646" s="585"/>
      <c r="AZ646" s="585"/>
      <c r="BA646" s="585"/>
      <c r="BB646" s="586"/>
      <c r="BC646" s="544">
        <v>2</v>
      </c>
      <c r="BD646" s="545"/>
      <c r="BE646" s="545"/>
      <c r="BF646" s="545"/>
      <c r="BG646" s="545"/>
      <c r="BH646" s="545"/>
      <c r="BI646" s="545"/>
      <c r="BJ646" s="545"/>
      <c r="BK646" s="545"/>
      <c r="BL646" s="545"/>
      <c r="BM646" s="545"/>
      <c r="BN646" s="545"/>
      <c r="BO646" s="545"/>
      <c r="BP646" s="545"/>
      <c r="BQ646" s="545"/>
      <c r="BR646" s="546"/>
      <c r="BS646" s="627"/>
      <c r="BT646" s="628"/>
      <c r="BU646" s="628"/>
      <c r="BV646" s="628"/>
      <c r="BW646" s="628"/>
      <c r="BX646" s="628"/>
      <c r="BY646" s="628"/>
      <c r="BZ646" s="628"/>
      <c r="CA646" s="628"/>
      <c r="CB646" s="628"/>
      <c r="CC646" s="628"/>
      <c r="CD646" s="628"/>
      <c r="CE646" s="628"/>
      <c r="CF646" s="628"/>
      <c r="CG646" s="628"/>
      <c r="CH646" s="629"/>
      <c r="CI646" s="627">
        <v>32434</v>
      </c>
      <c r="CJ646" s="628"/>
      <c r="CK646" s="628"/>
      <c r="CL646" s="628"/>
      <c r="CM646" s="628"/>
      <c r="CN646" s="628"/>
      <c r="CO646" s="628"/>
      <c r="CP646" s="628"/>
      <c r="CQ646" s="628"/>
      <c r="CR646" s="628"/>
      <c r="CS646" s="628"/>
      <c r="CT646" s="628"/>
      <c r="CU646" s="628"/>
      <c r="CV646" s="628"/>
      <c r="CW646" s="628"/>
      <c r="CX646" s="628"/>
      <c r="CY646" s="628"/>
      <c r="CZ646" s="629"/>
      <c r="DA646" s="243"/>
    </row>
    <row r="647" spans="1:105" ht="23.25" customHeight="1" x14ac:dyDescent="0.25">
      <c r="A647" s="630" t="s">
        <v>387</v>
      </c>
      <c r="B647" s="631"/>
      <c r="C647" s="631"/>
      <c r="D647" s="631"/>
      <c r="E647" s="631"/>
      <c r="F647" s="631"/>
      <c r="G647" s="632"/>
      <c r="H647" s="584" t="s">
        <v>1037</v>
      </c>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5"/>
      <c r="AL647" s="585"/>
      <c r="AM647" s="585"/>
      <c r="AN647" s="585"/>
      <c r="AO647" s="585"/>
      <c r="AP647" s="585"/>
      <c r="AQ647" s="585"/>
      <c r="AR647" s="585"/>
      <c r="AS647" s="585"/>
      <c r="AT647" s="585"/>
      <c r="AU647" s="585"/>
      <c r="AV647" s="585"/>
      <c r="AW647" s="585"/>
      <c r="AX647" s="585"/>
      <c r="AY647" s="585"/>
      <c r="AZ647" s="585"/>
      <c r="BA647" s="585"/>
      <c r="BB647" s="586"/>
      <c r="BC647" s="544">
        <v>2</v>
      </c>
      <c r="BD647" s="545"/>
      <c r="BE647" s="545"/>
      <c r="BF647" s="545"/>
      <c r="BG647" s="545"/>
      <c r="BH647" s="545"/>
      <c r="BI647" s="545"/>
      <c r="BJ647" s="545"/>
      <c r="BK647" s="545"/>
      <c r="BL647" s="545"/>
      <c r="BM647" s="545"/>
      <c r="BN647" s="545"/>
      <c r="BO647" s="545"/>
      <c r="BP647" s="545"/>
      <c r="BQ647" s="545"/>
      <c r="BR647" s="546"/>
      <c r="BS647" s="627">
        <f t="shared" si="13"/>
        <v>10050</v>
      </c>
      <c r="BT647" s="628"/>
      <c r="BU647" s="628"/>
      <c r="BV647" s="628"/>
      <c r="BW647" s="628"/>
      <c r="BX647" s="628"/>
      <c r="BY647" s="628"/>
      <c r="BZ647" s="628"/>
      <c r="CA647" s="628"/>
      <c r="CB647" s="628"/>
      <c r="CC647" s="628"/>
      <c r="CD647" s="628"/>
      <c r="CE647" s="628"/>
      <c r="CF647" s="628"/>
      <c r="CG647" s="628"/>
      <c r="CH647" s="629"/>
      <c r="CI647" s="627">
        <v>20100</v>
      </c>
      <c r="CJ647" s="628"/>
      <c r="CK647" s="628"/>
      <c r="CL647" s="628"/>
      <c r="CM647" s="628"/>
      <c r="CN647" s="628"/>
      <c r="CO647" s="628"/>
      <c r="CP647" s="628"/>
      <c r="CQ647" s="628"/>
      <c r="CR647" s="628"/>
      <c r="CS647" s="628"/>
      <c r="CT647" s="628"/>
      <c r="CU647" s="628"/>
      <c r="CV647" s="628"/>
      <c r="CW647" s="628"/>
      <c r="CX647" s="628"/>
      <c r="CY647" s="628"/>
      <c r="CZ647" s="629"/>
      <c r="DA647" s="243"/>
    </row>
    <row r="648" spans="1:105" ht="23.25" customHeight="1" x14ac:dyDescent="0.25">
      <c r="A648" s="630" t="s">
        <v>624</v>
      </c>
      <c r="B648" s="631"/>
      <c r="C648" s="631"/>
      <c r="D648" s="631"/>
      <c r="E648" s="631"/>
      <c r="F648" s="631"/>
      <c r="G648" s="632"/>
      <c r="H648" s="584" t="s">
        <v>1038</v>
      </c>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5"/>
      <c r="AL648" s="585"/>
      <c r="AM648" s="585"/>
      <c r="AN648" s="585"/>
      <c r="AO648" s="585"/>
      <c r="AP648" s="585"/>
      <c r="AQ648" s="585"/>
      <c r="AR648" s="585"/>
      <c r="AS648" s="585"/>
      <c r="AT648" s="585"/>
      <c r="AU648" s="585"/>
      <c r="AV648" s="585"/>
      <c r="AW648" s="585"/>
      <c r="AX648" s="585"/>
      <c r="AY648" s="585"/>
      <c r="AZ648" s="585"/>
      <c r="BA648" s="585"/>
      <c r="BB648" s="586"/>
      <c r="BC648" s="544">
        <v>2</v>
      </c>
      <c r="BD648" s="545"/>
      <c r="BE648" s="545"/>
      <c r="BF648" s="545"/>
      <c r="BG648" s="545"/>
      <c r="BH648" s="545"/>
      <c r="BI648" s="545"/>
      <c r="BJ648" s="545"/>
      <c r="BK648" s="545"/>
      <c r="BL648" s="545"/>
      <c r="BM648" s="545"/>
      <c r="BN648" s="545"/>
      <c r="BO648" s="545"/>
      <c r="BP648" s="545"/>
      <c r="BQ648" s="545"/>
      <c r="BR648" s="546"/>
      <c r="BS648" s="627">
        <f t="shared" si="13"/>
        <v>8032.5</v>
      </c>
      <c r="BT648" s="628"/>
      <c r="BU648" s="628"/>
      <c r="BV648" s="628"/>
      <c r="BW648" s="628"/>
      <c r="BX648" s="628"/>
      <c r="BY648" s="628"/>
      <c r="BZ648" s="628"/>
      <c r="CA648" s="628"/>
      <c r="CB648" s="628"/>
      <c r="CC648" s="628"/>
      <c r="CD648" s="628"/>
      <c r="CE648" s="628"/>
      <c r="CF648" s="628"/>
      <c r="CG648" s="628"/>
      <c r="CH648" s="629"/>
      <c r="CI648" s="627">
        <v>16065</v>
      </c>
      <c r="CJ648" s="628"/>
      <c r="CK648" s="628"/>
      <c r="CL648" s="628"/>
      <c r="CM648" s="628"/>
      <c r="CN648" s="628"/>
      <c r="CO648" s="628"/>
      <c r="CP648" s="628"/>
      <c r="CQ648" s="628"/>
      <c r="CR648" s="628"/>
      <c r="CS648" s="628"/>
      <c r="CT648" s="628"/>
      <c r="CU648" s="628"/>
      <c r="CV648" s="628"/>
      <c r="CW648" s="628"/>
      <c r="CX648" s="628"/>
      <c r="CY648" s="628"/>
      <c r="CZ648" s="629"/>
      <c r="DA648" s="243"/>
    </row>
    <row r="649" spans="1:105" ht="23.25" customHeight="1" x14ac:dyDescent="0.25">
      <c r="A649" s="630" t="s">
        <v>625</v>
      </c>
      <c r="B649" s="631"/>
      <c r="C649" s="631"/>
      <c r="D649" s="631"/>
      <c r="E649" s="631"/>
      <c r="F649" s="631"/>
      <c r="G649" s="632"/>
      <c r="H649" s="584" t="s">
        <v>1081</v>
      </c>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5"/>
      <c r="AL649" s="585"/>
      <c r="AM649" s="585"/>
      <c r="AN649" s="585"/>
      <c r="AO649" s="585"/>
      <c r="AP649" s="585"/>
      <c r="AQ649" s="585"/>
      <c r="AR649" s="585"/>
      <c r="AS649" s="585"/>
      <c r="AT649" s="585"/>
      <c r="AU649" s="585"/>
      <c r="AV649" s="585"/>
      <c r="AW649" s="585"/>
      <c r="AX649" s="585"/>
      <c r="AY649" s="585"/>
      <c r="AZ649" s="585"/>
      <c r="BA649" s="585"/>
      <c r="BB649" s="586"/>
      <c r="BC649" s="544">
        <v>2</v>
      </c>
      <c r="BD649" s="545"/>
      <c r="BE649" s="545"/>
      <c r="BF649" s="545"/>
      <c r="BG649" s="545"/>
      <c r="BH649" s="545"/>
      <c r="BI649" s="545"/>
      <c r="BJ649" s="545"/>
      <c r="BK649" s="545"/>
      <c r="BL649" s="545"/>
      <c r="BM649" s="545"/>
      <c r="BN649" s="545"/>
      <c r="BO649" s="545"/>
      <c r="BP649" s="545"/>
      <c r="BQ649" s="545"/>
      <c r="BR649" s="546"/>
      <c r="BS649" s="627">
        <f t="shared" ref="BS649:BS650" si="17">CI649/BC649</f>
        <v>21602</v>
      </c>
      <c r="BT649" s="628"/>
      <c r="BU649" s="628"/>
      <c r="BV649" s="628"/>
      <c r="BW649" s="628"/>
      <c r="BX649" s="628"/>
      <c r="BY649" s="628"/>
      <c r="BZ649" s="628"/>
      <c r="CA649" s="628"/>
      <c r="CB649" s="628"/>
      <c r="CC649" s="628"/>
      <c r="CD649" s="628"/>
      <c r="CE649" s="628"/>
      <c r="CF649" s="628"/>
      <c r="CG649" s="628"/>
      <c r="CH649" s="629"/>
      <c r="CI649" s="627">
        <v>43204</v>
      </c>
      <c r="CJ649" s="628"/>
      <c r="CK649" s="628"/>
      <c r="CL649" s="628"/>
      <c r="CM649" s="628"/>
      <c r="CN649" s="628"/>
      <c r="CO649" s="628"/>
      <c r="CP649" s="628"/>
      <c r="CQ649" s="628"/>
      <c r="CR649" s="628"/>
      <c r="CS649" s="628"/>
      <c r="CT649" s="628"/>
      <c r="CU649" s="628"/>
      <c r="CV649" s="628"/>
      <c r="CW649" s="628"/>
      <c r="CX649" s="628"/>
      <c r="CY649" s="628"/>
      <c r="CZ649" s="629"/>
      <c r="DA649" s="243"/>
    </row>
    <row r="650" spans="1:105" ht="23.25" customHeight="1" x14ac:dyDescent="0.25">
      <c r="A650" s="630" t="s">
        <v>625</v>
      </c>
      <c r="B650" s="631"/>
      <c r="C650" s="631"/>
      <c r="D650" s="631"/>
      <c r="E650" s="631"/>
      <c r="F650" s="631"/>
      <c r="G650" s="632"/>
      <c r="H650" s="584" t="s">
        <v>1039</v>
      </c>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5"/>
      <c r="AL650" s="585"/>
      <c r="AM650" s="585"/>
      <c r="AN650" s="585"/>
      <c r="AO650" s="585"/>
      <c r="AP650" s="585"/>
      <c r="AQ650" s="585"/>
      <c r="AR650" s="585"/>
      <c r="AS650" s="585"/>
      <c r="AT650" s="585"/>
      <c r="AU650" s="585"/>
      <c r="AV650" s="585"/>
      <c r="AW650" s="585"/>
      <c r="AX650" s="585"/>
      <c r="AY650" s="585"/>
      <c r="AZ650" s="585"/>
      <c r="BA650" s="585"/>
      <c r="BB650" s="586"/>
      <c r="BC650" s="544">
        <v>2</v>
      </c>
      <c r="BD650" s="545"/>
      <c r="BE650" s="545"/>
      <c r="BF650" s="545"/>
      <c r="BG650" s="545"/>
      <c r="BH650" s="545"/>
      <c r="BI650" s="545"/>
      <c r="BJ650" s="545"/>
      <c r="BK650" s="545"/>
      <c r="BL650" s="545"/>
      <c r="BM650" s="545"/>
      <c r="BN650" s="545"/>
      <c r="BO650" s="545"/>
      <c r="BP650" s="545"/>
      <c r="BQ650" s="545"/>
      <c r="BR650" s="546"/>
      <c r="BS650" s="627">
        <f t="shared" si="17"/>
        <v>12250</v>
      </c>
      <c r="BT650" s="628"/>
      <c r="BU650" s="628"/>
      <c r="BV650" s="628"/>
      <c r="BW650" s="628"/>
      <c r="BX650" s="628"/>
      <c r="BY650" s="628"/>
      <c r="BZ650" s="628"/>
      <c r="CA650" s="628"/>
      <c r="CB650" s="628"/>
      <c r="CC650" s="628"/>
      <c r="CD650" s="628"/>
      <c r="CE650" s="628"/>
      <c r="CF650" s="628"/>
      <c r="CG650" s="628"/>
      <c r="CH650" s="629"/>
      <c r="CI650" s="627">
        <v>24500</v>
      </c>
      <c r="CJ650" s="628"/>
      <c r="CK650" s="628"/>
      <c r="CL650" s="628"/>
      <c r="CM650" s="628"/>
      <c r="CN650" s="628"/>
      <c r="CO650" s="628"/>
      <c r="CP650" s="628"/>
      <c r="CQ650" s="628"/>
      <c r="CR650" s="628"/>
      <c r="CS650" s="628"/>
      <c r="CT650" s="628"/>
      <c r="CU650" s="628"/>
      <c r="CV650" s="628"/>
      <c r="CW650" s="628"/>
      <c r="CX650" s="628"/>
      <c r="CY650" s="628"/>
      <c r="CZ650" s="629"/>
      <c r="DA650" s="243"/>
    </row>
    <row r="651" spans="1:105" ht="27" customHeight="1" x14ac:dyDescent="0.25">
      <c r="A651" s="630" t="s">
        <v>388</v>
      </c>
      <c r="B651" s="631"/>
      <c r="C651" s="631"/>
      <c r="D651" s="631"/>
      <c r="E651" s="631"/>
      <c r="F651" s="631"/>
      <c r="G651" s="632"/>
      <c r="H651" s="584" t="s">
        <v>1082</v>
      </c>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5"/>
      <c r="AL651" s="585"/>
      <c r="AM651" s="585"/>
      <c r="AN651" s="585"/>
      <c r="AO651" s="585"/>
      <c r="AP651" s="585"/>
      <c r="AQ651" s="585"/>
      <c r="AR651" s="585"/>
      <c r="AS651" s="585"/>
      <c r="AT651" s="585"/>
      <c r="AU651" s="585"/>
      <c r="AV651" s="585"/>
      <c r="AW651" s="585"/>
      <c r="AX651" s="585"/>
      <c r="AY651" s="585"/>
      <c r="AZ651" s="585"/>
      <c r="BA651" s="585"/>
      <c r="BB651" s="586"/>
      <c r="BC651" s="544">
        <v>3</v>
      </c>
      <c r="BD651" s="545"/>
      <c r="BE651" s="545"/>
      <c r="BF651" s="545"/>
      <c r="BG651" s="545"/>
      <c r="BH651" s="545"/>
      <c r="BI651" s="545"/>
      <c r="BJ651" s="545"/>
      <c r="BK651" s="545"/>
      <c r="BL651" s="545"/>
      <c r="BM651" s="545"/>
      <c r="BN651" s="545"/>
      <c r="BO651" s="545"/>
      <c r="BP651" s="545"/>
      <c r="BQ651" s="545"/>
      <c r="BR651" s="546"/>
      <c r="BS651" s="627">
        <f t="shared" si="13"/>
        <v>10066.666666666666</v>
      </c>
      <c r="BT651" s="628"/>
      <c r="BU651" s="628"/>
      <c r="BV651" s="628"/>
      <c r="BW651" s="628"/>
      <c r="BX651" s="628"/>
      <c r="BY651" s="628"/>
      <c r="BZ651" s="628"/>
      <c r="CA651" s="628"/>
      <c r="CB651" s="628"/>
      <c r="CC651" s="628"/>
      <c r="CD651" s="628"/>
      <c r="CE651" s="628"/>
      <c r="CF651" s="628"/>
      <c r="CG651" s="628"/>
      <c r="CH651" s="629"/>
      <c r="CI651" s="627">
        <v>30200</v>
      </c>
      <c r="CJ651" s="628"/>
      <c r="CK651" s="628"/>
      <c r="CL651" s="628"/>
      <c r="CM651" s="628"/>
      <c r="CN651" s="628"/>
      <c r="CO651" s="628"/>
      <c r="CP651" s="628"/>
      <c r="CQ651" s="628"/>
      <c r="CR651" s="628"/>
      <c r="CS651" s="628"/>
      <c r="CT651" s="628"/>
      <c r="CU651" s="628"/>
      <c r="CV651" s="628"/>
      <c r="CW651" s="628"/>
      <c r="CX651" s="628"/>
      <c r="CY651" s="628"/>
      <c r="CZ651" s="629"/>
      <c r="DA651" s="243"/>
    </row>
    <row r="652" spans="1:105" ht="23.25" customHeight="1" x14ac:dyDescent="0.25">
      <c r="A652" s="630" t="s">
        <v>629</v>
      </c>
      <c r="B652" s="631"/>
      <c r="C652" s="631"/>
      <c r="D652" s="631"/>
      <c r="E652" s="631"/>
      <c r="F652" s="631"/>
      <c r="G652" s="632"/>
      <c r="H652" s="584" t="s">
        <v>1040</v>
      </c>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5"/>
      <c r="AL652" s="585"/>
      <c r="AM652" s="585"/>
      <c r="AN652" s="585"/>
      <c r="AO652" s="585"/>
      <c r="AP652" s="585"/>
      <c r="AQ652" s="585"/>
      <c r="AR652" s="585"/>
      <c r="AS652" s="585"/>
      <c r="AT652" s="585"/>
      <c r="AU652" s="585"/>
      <c r="AV652" s="585"/>
      <c r="AW652" s="585"/>
      <c r="AX652" s="585"/>
      <c r="AY652" s="585"/>
      <c r="AZ652" s="585"/>
      <c r="BA652" s="585"/>
      <c r="BB652" s="586"/>
      <c r="BC652" s="544">
        <v>1</v>
      </c>
      <c r="BD652" s="545"/>
      <c r="BE652" s="545"/>
      <c r="BF652" s="545"/>
      <c r="BG652" s="545"/>
      <c r="BH652" s="545"/>
      <c r="BI652" s="545"/>
      <c r="BJ652" s="545"/>
      <c r="BK652" s="545"/>
      <c r="BL652" s="545"/>
      <c r="BM652" s="545"/>
      <c r="BN652" s="545"/>
      <c r="BO652" s="545"/>
      <c r="BP652" s="545"/>
      <c r="BQ652" s="545"/>
      <c r="BR652" s="546"/>
      <c r="BS652" s="627">
        <f t="shared" si="13"/>
        <v>30900</v>
      </c>
      <c r="BT652" s="628"/>
      <c r="BU652" s="628"/>
      <c r="BV652" s="628"/>
      <c r="BW652" s="628"/>
      <c r="BX652" s="628"/>
      <c r="BY652" s="628"/>
      <c r="BZ652" s="628"/>
      <c r="CA652" s="628"/>
      <c r="CB652" s="628"/>
      <c r="CC652" s="628"/>
      <c r="CD652" s="628"/>
      <c r="CE652" s="628"/>
      <c r="CF652" s="628"/>
      <c r="CG652" s="628"/>
      <c r="CH652" s="629"/>
      <c r="CI652" s="627">
        <v>30900</v>
      </c>
      <c r="CJ652" s="628"/>
      <c r="CK652" s="628"/>
      <c r="CL652" s="628"/>
      <c r="CM652" s="628"/>
      <c r="CN652" s="628"/>
      <c r="CO652" s="628"/>
      <c r="CP652" s="628"/>
      <c r="CQ652" s="628"/>
      <c r="CR652" s="628"/>
      <c r="CS652" s="628"/>
      <c r="CT652" s="628"/>
      <c r="CU652" s="628"/>
      <c r="CV652" s="628"/>
      <c r="CW652" s="628"/>
      <c r="CX652" s="628"/>
      <c r="CY652" s="628"/>
      <c r="CZ652" s="629"/>
      <c r="DA652" s="243"/>
    </row>
    <row r="653" spans="1:105" ht="23.25" customHeight="1" x14ac:dyDescent="0.25">
      <c r="A653" s="630" t="s">
        <v>631</v>
      </c>
      <c r="B653" s="631"/>
      <c r="C653" s="631"/>
      <c r="D653" s="631"/>
      <c r="E653" s="631"/>
      <c r="F653" s="631"/>
      <c r="G653" s="632"/>
      <c r="H653" s="584" t="s">
        <v>1041</v>
      </c>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5"/>
      <c r="AL653" s="585"/>
      <c r="AM653" s="585"/>
      <c r="AN653" s="585"/>
      <c r="AO653" s="585"/>
      <c r="AP653" s="585"/>
      <c r="AQ653" s="585"/>
      <c r="AR653" s="585"/>
      <c r="AS653" s="585"/>
      <c r="AT653" s="585"/>
      <c r="AU653" s="585"/>
      <c r="AV653" s="585"/>
      <c r="AW653" s="585"/>
      <c r="AX653" s="585"/>
      <c r="AY653" s="585"/>
      <c r="AZ653" s="585"/>
      <c r="BA653" s="585"/>
      <c r="BB653" s="586"/>
      <c r="BC653" s="544">
        <v>5</v>
      </c>
      <c r="BD653" s="545"/>
      <c r="BE653" s="545"/>
      <c r="BF653" s="545"/>
      <c r="BG653" s="545"/>
      <c r="BH653" s="545"/>
      <c r="BI653" s="545"/>
      <c r="BJ653" s="545"/>
      <c r="BK653" s="545"/>
      <c r="BL653" s="545"/>
      <c r="BM653" s="545"/>
      <c r="BN653" s="545"/>
      <c r="BO653" s="545"/>
      <c r="BP653" s="545"/>
      <c r="BQ653" s="545"/>
      <c r="BR653" s="546"/>
      <c r="BS653" s="627">
        <f t="shared" si="13"/>
        <v>21000</v>
      </c>
      <c r="BT653" s="628"/>
      <c r="BU653" s="628"/>
      <c r="BV653" s="628"/>
      <c r="BW653" s="628"/>
      <c r="BX653" s="628"/>
      <c r="BY653" s="628"/>
      <c r="BZ653" s="628"/>
      <c r="CA653" s="628"/>
      <c r="CB653" s="628"/>
      <c r="CC653" s="628"/>
      <c r="CD653" s="628"/>
      <c r="CE653" s="628"/>
      <c r="CF653" s="628"/>
      <c r="CG653" s="628"/>
      <c r="CH653" s="629"/>
      <c r="CI653" s="627">
        <v>105000</v>
      </c>
      <c r="CJ653" s="628"/>
      <c r="CK653" s="628"/>
      <c r="CL653" s="628"/>
      <c r="CM653" s="628"/>
      <c r="CN653" s="628"/>
      <c r="CO653" s="628"/>
      <c r="CP653" s="628"/>
      <c r="CQ653" s="628"/>
      <c r="CR653" s="628"/>
      <c r="CS653" s="628"/>
      <c r="CT653" s="628"/>
      <c r="CU653" s="628"/>
      <c r="CV653" s="628"/>
      <c r="CW653" s="628"/>
      <c r="CX653" s="628"/>
      <c r="CY653" s="628"/>
      <c r="CZ653" s="629"/>
      <c r="DA653" s="243"/>
    </row>
    <row r="654" spans="1:105" ht="23.25" customHeight="1" x14ac:dyDescent="0.25">
      <c r="A654" s="630" t="s">
        <v>830</v>
      </c>
      <c r="B654" s="631"/>
      <c r="C654" s="631"/>
      <c r="D654" s="631"/>
      <c r="E654" s="631"/>
      <c r="F654" s="631"/>
      <c r="G654" s="632"/>
      <c r="H654" s="584" t="s">
        <v>816</v>
      </c>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5"/>
      <c r="AL654" s="585"/>
      <c r="AM654" s="585"/>
      <c r="AN654" s="585"/>
      <c r="AO654" s="585"/>
      <c r="AP654" s="585"/>
      <c r="AQ654" s="585"/>
      <c r="AR654" s="585"/>
      <c r="AS654" s="585"/>
      <c r="AT654" s="585"/>
      <c r="AU654" s="585"/>
      <c r="AV654" s="585"/>
      <c r="AW654" s="585"/>
      <c r="AX654" s="585"/>
      <c r="AY654" s="585"/>
      <c r="AZ654" s="585"/>
      <c r="BA654" s="585"/>
      <c r="BB654" s="586"/>
      <c r="BC654" s="544">
        <v>5</v>
      </c>
      <c r="BD654" s="545"/>
      <c r="BE654" s="545"/>
      <c r="BF654" s="545"/>
      <c r="BG654" s="545"/>
      <c r="BH654" s="545"/>
      <c r="BI654" s="545"/>
      <c r="BJ654" s="545"/>
      <c r="BK654" s="545"/>
      <c r="BL654" s="545"/>
      <c r="BM654" s="545"/>
      <c r="BN654" s="545"/>
      <c r="BO654" s="545"/>
      <c r="BP654" s="545"/>
      <c r="BQ654" s="545"/>
      <c r="BR654" s="546"/>
      <c r="BS654" s="627">
        <f t="shared" si="13"/>
        <v>20200</v>
      </c>
      <c r="BT654" s="628"/>
      <c r="BU654" s="628"/>
      <c r="BV654" s="628"/>
      <c r="BW654" s="628"/>
      <c r="BX654" s="628"/>
      <c r="BY654" s="628"/>
      <c r="BZ654" s="628"/>
      <c r="CA654" s="628"/>
      <c r="CB654" s="628"/>
      <c r="CC654" s="628"/>
      <c r="CD654" s="628"/>
      <c r="CE654" s="628"/>
      <c r="CF654" s="628"/>
      <c r="CG654" s="628"/>
      <c r="CH654" s="629"/>
      <c r="CI654" s="627">
        <v>101000</v>
      </c>
      <c r="CJ654" s="628"/>
      <c r="CK654" s="628"/>
      <c r="CL654" s="628"/>
      <c r="CM654" s="628"/>
      <c r="CN654" s="628"/>
      <c r="CO654" s="628"/>
      <c r="CP654" s="628"/>
      <c r="CQ654" s="628"/>
      <c r="CR654" s="628"/>
      <c r="CS654" s="628"/>
      <c r="CT654" s="628"/>
      <c r="CU654" s="628"/>
      <c r="CV654" s="628"/>
      <c r="CW654" s="628"/>
      <c r="CX654" s="628"/>
      <c r="CY654" s="628"/>
      <c r="CZ654" s="629"/>
      <c r="DA654" s="243"/>
    </row>
    <row r="655" spans="1:105" ht="23.25" customHeight="1" x14ac:dyDescent="0.25">
      <c r="A655" s="630" t="s">
        <v>626</v>
      </c>
      <c r="B655" s="631"/>
      <c r="C655" s="631"/>
      <c r="D655" s="631"/>
      <c r="E655" s="631"/>
      <c r="F655" s="631"/>
      <c r="G655" s="632"/>
      <c r="H655" s="584" t="s">
        <v>1042</v>
      </c>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5"/>
      <c r="AL655" s="585"/>
      <c r="AM655" s="585"/>
      <c r="AN655" s="585"/>
      <c r="AO655" s="585"/>
      <c r="AP655" s="585"/>
      <c r="AQ655" s="585"/>
      <c r="AR655" s="585"/>
      <c r="AS655" s="585"/>
      <c r="AT655" s="585"/>
      <c r="AU655" s="585"/>
      <c r="AV655" s="585"/>
      <c r="AW655" s="585"/>
      <c r="AX655" s="585"/>
      <c r="AY655" s="585"/>
      <c r="AZ655" s="585"/>
      <c r="BA655" s="585"/>
      <c r="BB655" s="586"/>
      <c r="BC655" s="544">
        <v>1</v>
      </c>
      <c r="BD655" s="545"/>
      <c r="BE655" s="545"/>
      <c r="BF655" s="545"/>
      <c r="BG655" s="545"/>
      <c r="BH655" s="545"/>
      <c r="BI655" s="545"/>
      <c r="BJ655" s="545"/>
      <c r="BK655" s="545"/>
      <c r="BL655" s="545"/>
      <c r="BM655" s="545"/>
      <c r="BN655" s="545"/>
      <c r="BO655" s="545"/>
      <c r="BP655" s="545"/>
      <c r="BQ655" s="545"/>
      <c r="BR655" s="546"/>
      <c r="BS655" s="627">
        <f t="shared" ref="BS655:BS660" si="18">CI655/BC655</f>
        <v>12200</v>
      </c>
      <c r="BT655" s="628"/>
      <c r="BU655" s="628"/>
      <c r="BV655" s="628"/>
      <c r="BW655" s="628"/>
      <c r="BX655" s="628"/>
      <c r="BY655" s="628"/>
      <c r="BZ655" s="628"/>
      <c r="CA655" s="628"/>
      <c r="CB655" s="628"/>
      <c r="CC655" s="628"/>
      <c r="CD655" s="628"/>
      <c r="CE655" s="628"/>
      <c r="CF655" s="628"/>
      <c r="CG655" s="628"/>
      <c r="CH655" s="629"/>
      <c r="CI655" s="627">
        <v>12200</v>
      </c>
      <c r="CJ655" s="628"/>
      <c r="CK655" s="628"/>
      <c r="CL655" s="628"/>
      <c r="CM655" s="628"/>
      <c r="CN655" s="628"/>
      <c r="CO655" s="628"/>
      <c r="CP655" s="628"/>
      <c r="CQ655" s="628"/>
      <c r="CR655" s="628"/>
      <c r="CS655" s="628"/>
      <c r="CT655" s="628"/>
      <c r="CU655" s="628"/>
      <c r="CV655" s="628"/>
      <c r="CW655" s="628"/>
      <c r="CX655" s="628"/>
      <c r="CY655" s="628"/>
      <c r="CZ655" s="629"/>
      <c r="DA655" s="328"/>
    </row>
    <row r="656" spans="1:105" ht="23.25" customHeight="1" x14ac:dyDescent="0.25">
      <c r="A656" s="630" t="s">
        <v>628</v>
      </c>
      <c r="B656" s="631"/>
      <c r="C656" s="631"/>
      <c r="D656" s="631"/>
      <c r="E656" s="631"/>
      <c r="F656" s="631"/>
      <c r="G656" s="632"/>
      <c r="H656" s="584" t="s">
        <v>1043</v>
      </c>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5"/>
      <c r="AL656" s="585"/>
      <c r="AM656" s="585"/>
      <c r="AN656" s="585"/>
      <c r="AO656" s="585"/>
      <c r="AP656" s="585"/>
      <c r="AQ656" s="585"/>
      <c r="AR656" s="585"/>
      <c r="AS656" s="585"/>
      <c r="AT656" s="585"/>
      <c r="AU656" s="585"/>
      <c r="AV656" s="585"/>
      <c r="AW656" s="585"/>
      <c r="AX656" s="585"/>
      <c r="AY656" s="585"/>
      <c r="AZ656" s="585"/>
      <c r="BA656" s="585"/>
      <c r="BB656" s="586"/>
      <c r="BC656" s="544">
        <v>1</v>
      </c>
      <c r="BD656" s="545"/>
      <c r="BE656" s="545"/>
      <c r="BF656" s="545"/>
      <c r="BG656" s="545"/>
      <c r="BH656" s="545"/>
      <c r="BI656" s="545"/>
      <c r="BJ656" s="545"/>
      <c r="BK656" s="545"/>
      <c r="BL656" s="545"/>
      <c r="BM656" s="545"/>
      <c r="BN656" s="545"/>
      <c r="BO656" s="545"/>
      <c r="BP656" s="545"/>
      <c r="BQ656" s="545"/>
      <c r="BR656" s="546"/>
      <c r="BS656" s="627">
        <f t="shared" si="18"/>
        <v>11800</v>
      </c>
      <c r="BT656" s="628"/>
      <c r="BU656" s="628"/>
      <c r="BV656" s="628"/>
      <c r="BW656" s="628"/>
      <c r="BX656" s="628"/>
      <c r="BY656" s="628"/>
      <c r="BZ656" s="628"/>
      <c r="CA656" s="628"/>
      <c r="CB656" s="628"/>
      <c r="CC656" s="628"/>
      <c r="CD656" s="628"/>
      <c r="CE656" s="628"/>
      <c r="CF656" s="628"/>
      <c r="CG656" s="628"/>
      <c r="CH656" s="629"/>
      <c r="CI656" s="627">
        <v>11800</v>
      </c>
      <c r="CJ656" s="628"/>
      <c r="CK656" s="628"/>
      <c r="CL656" s="628"/>
      <c r="CM656" s="628"/>
      <c r="CN656" s="628"/>
      <c r="CO656" s="628"/>
      <c r="CP656" s="628"/>
      <c r="CQ656" s="628"/>
      <c r="CR656" s="628"/>
      <c r="CS656" s="628"/>
      <c r="CT656" s="628"/>
      <c r="CU656" s="628"/>
      <c r="CV656" s="628"/>
      <c r="CW656" s="628"/>
      <c r="CX656" s="628"/>
      <c r="CY656" s="628"/>
      <c r="CZ656" s="629"/>
      <c r="DA656" s="243"/>
    </row>
    <row r="657" spans="1:105" ht="22.95" customHeight="1" x14ac:dyDescent="0.25">
      <c r="A657" s="630" t="s">
        <v>1008</v>
      </c>
      <c r="B657" s="631"/>
      <c r="C657" s="631"/>
      <c r="D657" s="631"/>
      <c r="E657" s="631"/>
      <c r="F657" s="631"/>
      <c r="G657" s="632"/>
      <c r="H657" s="584" t="s">
        <v>1044</v>
      </c>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5"/>
      <c r="AL657" s="585"/>
      <c r="AM657" s="585"/>
      <c r="AN657" s="585"/>
      <c r="AO657" s="585"/>
      <c r="AP657" s="585"/>
      <c r="AQ657" s="585"/>
      <c r="AR657" s="585"/>
      <c r="AS657" s="585"/>
      <c r="AT657" s="585"/>
      <c r="AU657" s="585"/>
      <c r="AV657" s="585"/>
      <c r="AW657" s="585"/>
      <c r="AX657" s="585"/>
      <c r="AY657" s="585"/>
      <c r="AZ657" s="585"/>
      <c r="BA657" s="585"/>
      <c r="BB657" s="586"/>
      <c r="BC657" s="544">
        <v>1</v>
      </c>
      <c r="BD657" s="545"/>
      <c r="BE657" s="545"/>
      <c r="BF657" s="545"/>
      <c r="BG657" s="545"/>
      <c r="BH657" s="545"/>
      <c r="BI657" s="545"/>
      <c r="BJ657" s="545"/>
      <c r="BK657" s="545"/>
      <c r="BL657" s="545"/>
      <c r="BM657" s="545"/>
      <c r="BN657" s="545"/>
      <c r="BO657" s="545"/>
      <c r="BP657" s="545"/>
      <c r="BQ657" s="545"/>
      <c r="BR657" s="546"/>
      <c r="BS657" s="627">
        <f t="shared" si="18"/>
        <v>5100</v>
      </c>
      <c r="BT657" s="628"/>
      <c r="BU657" s="628"/>
      <c r="BV657" s="628"/>
      <c r="BW657" s="628"/>
      <c r="BX657" s="628"/>
      <c r="BY657" s="628"/>
      <c r="BZ657" s="628"/>
      <c r="CA657" s="628"/>
      <c r="CB657" s="628"/>
      <c r="CC657" s="628"/>
      <c r="CD657" s="628"/>
      <c r="CE657" s="628"/>
      <c r="CF657" s="628"/>
      <c r="CG657" s="628"/>
      <c r="CH657" s="629"/>
      <c r="CI657" s="627">
        <v>5100</v>
      </c>
      <c r="CJ657" s="628"/>
      <c r="CK657" s="628"/>
      <c r="CL657" s="628"/>
      <c r="CM657" s="628"/>
      <c r="CN657" s="628"/>
      <c r="CO657" s="628"/>
      <c r="CP657" s="628"/>
      <c r="CQ657" s="628"/>
      <c r="CR657" s="628"/>
      <c r="CS657" s="628"/>
      <c r="CT657" s="628"/>
      <c r="CU657" s="628"/>
      <c r="CV657" s="628"/>
      <c r="CW657" s="628"/>
      <c r="CX657" s="628"/>
      <c r="CY657" s="628"/>
      <c r="CZ657" s="629"/>
      <c r="DA657" s="243"/>
    </row>
    <row r="658" spans="1:105" ht="23.25" customHeight="1" x14ac:dyDescent="0.25">
      <c r="A658" s="630" t="s">
        <v>1009</v>
      </c>
      <c r="B658" s="631"/>
      <c r="C658" s="631"/>
      <c r="D658" s="631"/>
      <c r="E658" s="631"/>
      <c r="F658" s="631"/>
      <c r="G658" s="632"/>
      <c r="H658" s="584" t="s">
        <v>1045</v>
      </c>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5"/>
      <c r="AL658" s="585"/>
      <c r="AM658" s="585"/>
      <c r="AN658" s="585"/>
      <c r="AO658" s="585"/>
      <c r="AP658" s="585"/>
      <c r="AQ658" s="585"/>
      <c r="AR658" s="585"/>
      <c r="AS658" s="585"/>
      <c r="AT658" s="585"/>
      <c r="AU658" s="585"/>
      <c r="AV658" s="585"/>
      <c r="AW658" s="585"/>
      <c r="AX658" s="585"/>
      <c r="AY658" s="585"/>
      <c r="AZ658" s="585"/>
      <c r="BA658" s="585"/>
      <c r="BB658" s="586"/>
      <c r="BC658" s="544">
        <v>1</v>
      </c>
      <c r="BD658" s="545"/>
      <c r="BE658" s="545"/>
      <c r="BF658" s="545"/>
      <c r="BG658" s="545"/>
      <c r="BH658" s="545"/>
      <c r="BI658" s="545"/>
      <c r="BJ658" s="545"/>
      <c r="BK658" s="545"/>
      <c r="BL658" s="545"/>
      <c r="BM658" s="545"/>
      <c r="BN658" s="545"/>
      <c r="BO658" s="545"/>
      <c r="BP658" s="545"/>
      <c r="BQ658" s="545"/>
      <c r="BR658" s="546"/>
      <c r="BS658" s="627">
        <f t="shared" si="18"/>
        <v>16700</v>
      </c>
      <c r="BT658" s="628"/>
      <c r="BU658" s="628"/>
      <c r="BV658" s="628"/>
      <c r="BW658" s="628"/>
      <c r="BX658" s="628"/>
      <c r="BY658" s="628"/>
      <c r="BZ658" s="628"/>
      <c r="CA658" s="628"/>
      <c r="CB658" s="628"/>
      <c r="CC658" s="628"/>
      <c r="CD658" s="628"/>
      <c r="CE658" s="628"/>
      <c r="CF658" s="628"/>
      <c r="CG658" s="628"/>
      <c r="CH658" s="629"/>
      <c r="CI658" s="627">
        <v>16700</v>
      </c>
      <c r="CJ658" s="628"/>
      <c r="CK658" s="628"/>
      <c r="CL658" s="628"/>
      <c r="CM658" s="628"/>
      <c r="CN658" s="628"/>
      <c r="CO658" s="628"/>
      <c r="CP658" s="628"/>
      <c r="CQ658" s="628"/>
      <c r="CR658" s="628"/>
      <c r="CS658" s="628"/>
      <c r="CT658" s="628"/>
      <c r="CU658" s="628"/>
      <c r="CV658" s="628"/>
      <c r="CW658" s="628"/>
      <c r="CX658" s="628"/>
      <c r="CY658" s="628"/>
      <c r="CZ658" s="629"/>
      <c r="DA658" s="243"/>
    </row>
    <row r="659" spans="1:105" ht="23.25" customHeight="1" x14ac:dyDescent="0.25">
      <c r="A659" s="630" t="s">
        <v>1010</v>
      </c>
      <c r="B659" s="631"/>
      <c r="C659" s="631"/>
      <c r="D659" s="631"/>
      <c r="E659" s="631"/>
      <c r="F659" s="631"/>
      <c r="G659" s="632"/>
      <c r="H659" s="584" t="s">
        <v>1064</v>
      </c>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5"/>
      <c r="AL659" s="585"/>
      <c r="AM659" s="585"/>
      <c r="AN659" s="585"/>
      <c r="AO659" s="585"/>
      <c r="AP659" s="585"/>
      <c r="AQ659" s="585"/>
      <c r="AR659" s="585"/>
      <c r="AS659" s="585"/>
      <c r="AT659" s="585"/>
      <c r="AU659" s="585"/>
      <c r="AV659" s="585"/>
      <c r="AW659" s="585"/>
      <c r="AX659" s="585"/>
      <c r="AY659" s="585"/>
      <c r="AZ659" s="585"/>
      <c r="BA659" s="585"/>
      <c r="BB659" s="586"/>
      <c r="BC659" s="544">
        <v>2</v>
      </c>
      <c r="BD659" s="545"/>
      <c r="BE659" s="545"/>
      <c r="BF659" s="545"/>
      <c r="BG659" s="545"/>
      <c r="BH659" s="545"/>
      <c r="BI659" s="545"/>
      <c r="BJ659" s="545"/>
      <c r="BK659" s="545"/>
      <c r="BL659" s="545"/>
      <c r="BM659" s="545"/>
      <c r="BN659" s="545"/>
      <c r="BO659" s="545"/>
      <c r="BP659" s="545"/>
      <c r="BQ659" s="545"/>
      <c r="BR659" s="546"/>
      <c r="BS659" s="627">
        <f t="shared" si="18"/>
        <v>16662</v>
      </c>
      <c r="BT659" s="628"/>
      <c r="BU659" s="628"/>
      <c r="BV659" s="628"/>
      <c r="BW659" s="628"/>
      <c r="BX659" s="628"/>
      <c r="BY659" s="628"/>
      <c r="BZ659" s="628"/>
      <c r="CA659" s="628"/>
      <c r="CB659" s="628"/>
      <c r="CC659" s="628"/>
      <c r="CD659" s="628"/>
      <c r="CE659" s="628"/>
      <c r="CF659" s="628"/>
      <c r="CG659" s="628"/>
      <c r="CH659" s="629"/>
      <c r="CI659" s="627">
        <v>33324</v>
      </c>
      <c r="CJ659" s="628"/>
      <c r="CK659" s="628"/>
      <c r="CL659" s="628"/>
      <c r="CM659" s="628"/>
      <c r="CN659" s="628"/>
      <c r="CO659" s="628"/>
      <c r="CP659" s="628"/>
      <c r="CQ659" s="628"/>
      <c r="CR659" s="628"/>
      <c r="CS659" s="628"/>
      <c r="CT659" s="628"/>
      <c r="CU659" s="628"/>
      <c r="CV659" s="628"/>
      <c r="CW659" s="628"/>
      <c r="CX659" s="628"/>
      <c r="CY659" s="628"/>
      <c r="CZ659" s="629"/>
      <c r="DA659" s="243"/>
    </row>
    <row r="660" spans="1:105" ht="43.95" customHeight="1" x14ac:dyDescent="0.25">
      <c r="A660" s="630" t="s">
        <v>1011</v>
      </c>
      <c r="B660" s="631"/>
      <c r="C660" s="631"/>
      <c r="D660" s="631"/>
      <c r="E660" s="631"/>
      <c r="F660" s="631"/>
      <c r="G660" s="632"/>
      <c r="H660" s="584" t="s">
        <v>1083</v>
      </c>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5"/>
      <c r="AL660" s="585"/>
      <c r="AM660" s="585"/>
      <c r="AN660" s="585"/>
      <c r="AO660" s="585"/>
      <c r="AP660" s="585"/>
      <c r="AQ660" s="585"/>
      <c r="AR660" s="585"/>
      <c r="AS660" s="585"/>
      <c r="AT660" s="585"/>
      <c r="AU660" s="585"/>
      <c r="AV660" s="585"/>
      <c r="AW660" s="585"/>
      <c r="AX660" s="585"/>
      <c r="AY660" s="585"/>
      <c r="AZ660" s="585"/>
      <c r="BA660" s="585"/>
      <c r="BB660" s="586"/>
      <c r="BC660" s="544">
        <v>2</v>
      </c>
      <c r="BD660" s="545"/>
      <c r="BE660" s="545"/>
      <c r="BF660" s="545"/>
      <c r="BG660" s="545"/>
      <c r="BH660" s="545"/>
      <c r="BI660" s="545"/>
      <c r="BJ660" s="545"/>
      <c r="BK660" s="545"/>
      <c r="BL660" s="545"/>
      <c r="BM660" s="545"/>
      <c r="BN660" s="545"/>
      <c r="BO660" s="545"/>
      <c r="BP660" s="545"/>
      <c r="BQ660" s="545"/>
      <c r="BR660" s="546"/>
      <c r="BS660" s="627">
        <f t="shared" si="18"/>
        <v>4600</v>
      </c>
      <c r="BT660" s="628"/>
      <c r="BU660" s="628"/>
      <c r="BV660" s="628"/>
      <c r="BW660" s="628"/>
      <c r="BX660" s="628"/>
      <c r="BY660" s="628"/>
      <c r="BZ660" s="628"/>
      <c r="CA660" s="628"/>
      <c r="CB660" s="628"/>
      <c r="CC660" s="628"/>
      <c r="CD660" s="628"/>
      <c r="CE660" s="628"/>
      <c r="CF660" s="628"/>
      <c r="CG660" s="628"/>
      <c r="CH660" s="629"/>
      <c r="CI660" s="627">
        <v>9200</v>
      </c>
      <c r="CJ660" s="628"/>
      <c r="CK660" s="628"/>
      <c r="CL660" s="628"/>
      <c r="CM660" s="628"/>
      <c r="CN660" s="628"/>
      <c r="CO660" s="628"/>
      <c r="CP660" s="628"/>
      <c r="CQ660" s="628"/>
      <c r="CR660" s="628"/>
      <c r="CS660" s="628"/>
      <c r="CT660" s="628"/>
      <c r="CU660" s="628"/>
      <c r="CV660" s="628"/>
      <c r="CW660" s="628"/>
      <c r="CX660" s="628"/>
      <c r="CY660" s="628"/>
      <c r="CZ660" s="629"/>
      <c r="DA660" s="243"/>
    </row>
    <row r="661" spans="1:105" ht="43.95" customHeight="1" x14ac:dyDescent="0.25">
      <c r="A661" s="630" t="s">
        <v>1012</v>
      </c>
      <c r="B661" s="631"/>
      <c r="C661" s="631"/>
      <c r="D661" s="631"/>
      <c r="E661" s="631"/>
      <c r="F661" s="631"/>
      <c r="G661" s="632"/>
      <c r="H661" s="584" t="s">
        <v>1084</v>
      </c>
      <c r="I661" s="585"/>
      <c r="J661" s="585"/>
      <c r="K661" s="585"/>
      <c r="L661" s="585"/>
      <c r="M661" s="585"/>
      <c r="N661" s="585"/>
      <c r="O661" s="585"/>
      <c r="P661" s="585"/>
      <c r="Q661" s="585"/>
      <c r="R661" s="585"/>
      <c r="S661" s="585"/>
      <c r="T661" s="585"/>
      <c r="U661" s="585"/>
      <c r="V661" s="585"/>
      <c r="W661" s="585"/>
      <c r="X661" s="585"/>
      <c r="Y661" s="585"/>
      <c r="Z661" s="585"/>
      <c r="AA661" s="585"/>
      <c r="AB661" s="585"/>
      <c r="AC661" s="585"/>
      <c r="AD661" s="585"/>
      <c r="AE661" s="585"/>
      <c r="AF661" s="585"/>
      <c r="AG661" s="585"/>
      <c r="AH661" s="585"/>
      <c r="AI661" s="585"/>
      <c r="AJ661" s="585"/>
      <c r="AK661" s="585"/>
      <c r="AL661" s="585"/>
      <c r="AM661" s="585"/>
      <c r="AN661" s="585"/>
      <c r="AO661" s="585"/>
      <c r="AP661" s="585"/>
      <c r="AQ661" s="585"/>
      <c r="AR661" s="585"/>
      <c r="AS661" s="585"/>
      <c r="AT661" s="585"/>
      <c r="AU661" s="585"/>
      <c r="AV661" s="585"/>
      <c r="AW661" s="585"/>
      <c r="AX661" s="585"/>
      <c r="AY661" s="585"/>
      <c r="AZ661" s="585"/>
      <c r="BA661" s="585"/>
      <c r="BB661" s="586"/>
      <c r="BC661" s="544">
        <v>1</v>
      </c>
      <c r="BD661" s="545"/>
      <c r="BE661" s="545"/>
      <c r="BF661" s="545"/>
      <c r="BG661" s="545"/>
      <c r="BH661" s="545"/>
      <c r="BI661" s="545"/>
      <c r="BJ661" s="545"/>
      <c r="BK661" s="545"/>
      <c r="BL661" s="545"/>
      <c r="BM661" s="545"/>
      <c r="BN661" s="545"/>
      <c r="BO661" s="545"/>
      <c r="BP661" s="545"/>
      <c r="BQ661" s="545"/>
      <c r="BR661" s="546"/>
      <c r="BS661" s="627">
        <f t="shared" ref="BS661" si="19">CI661/BC661</f>
        <v>39886</v>
      </c>
      <c r="BT661" s="628"/>
      <c r="BU661" s="628"/>
      <c r="BV661" s="628"/>
      <c r="BW661" s="628"/>
      <c r="BX661" s="628"/>
      <c r="BY661" s="628"/>
      <c r="BZ661" s="628"/>
      <c r="CA661" s="628"/>
      <c r="CB661" s="628"/>
      <c r="CC661" s="628"/>
      <c r="CD661" s="628"/>
      <c r="CE661" s="628"/>
      <c r="CF661" s="628"/>
      <c r="CG661" s="628"/>
      <c r="CH661" s="629"/>
      <c r="CI661" s="627">
        <v>39886</v>
      </c>
      <c r="CJ661" s="628"/>
      <c r="CK661" s="628"/>
      <c r="CL661" s="628"/>
      <c r="CM661" s="628"/>
      <c r="CN661" s="628"/>
      <c r="CO661" s="628"/>
      <c r="CP661" s="628"/>
      <c r="CQ661" s="628"/>
      <c r="CR661" s="628"/>
      <c r="CS661" s="628"/>
      <c r="CT661" s="628"/>
      <c r="CU661" s="628"/>
      <c r="CV661" s="628"/>
      <c r="CW661" s="628"/>
      <c r="CX661" s="628"/>
      <c r="CY661" s="628"/>
      <c r="CZ661" s="629"/>
      <c r="DA661" s="243"/>
    </row>
    <row r="662" spans="1:105" ht="31.95" customHeight="1" x14ac:dyDescent="0.25">
      <c r="A662" s="630" t="s">
        <v>1012</v>
      </c>
      <c r="B662" s="631"/>
      <c r="C662" s="631"/>
      <c r="D662" s="631"/>
      <c r="E662" s="631"/>
      <c r="F662" s="631"/>
      <c r="G662" s="632"/>
      <c r="H662" s="584" t="s">
        <v>1085</v>
      </c>
      <c r="I662" s="585"/>
      <c r="J662" s="585"/>
      <c r="K662" s="585"/>
      <c r="L662" s="585"/>
      <c r="M662" s="585"/>
      <c r="N662" s="585"/>
      <c r="O662" s="585"/>
      <c r="P662" s="585"/>
      <c r="Q662" s="585"/>
      <c r="R662" s="585"/>
      <c r="S662" s="585"/>
      <c r="T662" s="585"/>
      <c r="U662" s="585"/>
      <c r="V662" s="585"/>
      <c r="W662" s="585"/>
      <c r="X662" s="585"/>
      <c r="Y662" s="585"/>
      <c r="Z662" s="585"/>
      <c r="AA662" s="585"/>
      <c r="AB662" s="585"/>
      <c r="AC662" s="585"/>
      <c r="AD662" s="585"/>
      <c r="AE662" s="585"/>
      <c r="AF662" s="585"/>
      <c r="AG662" s="585"/>
      <c r="AH662" s="585"/>
      <c r="AI662" s="585"/>
      <c r="AJ662" s="585"/>
      <c r="AK662" s="585"/>
      <c r="AL662" s="585"/>
      <c r="AM662" s="585"/>
      <c r="AN662" s="585"/>
      <c r="AO662" s="585"/>
      <c r="AP662" s="585"/>
      <c r="AQ662" s="585"/>
      <c r="AR662" s="585"/>
      <c r="AS662" s="585"/>
      <c r="AT662" s="585"/>
      <c r="AU662" s="585"/>
      <c r="AV662" s="585"/>
      <c r="AW662" s="585"/>
      <c r="AX662" s="585"/>
      <c r="AY662" s="585"/>
      <c r="AZ662" s="585"/>
      <c r="BA662" s="585"/>
      <c r="BB662" s="586"/>
      <c r="BC662" s="544">
        <v>1</v>
      </c>
      <c r="BD662" s="545"/>
      <c r="BE662" s="545"/>
      <c r="BF662" s="545"/>
      <c r="BG662" s="545"/>
      <c r="BH662" s="545"/>
      <c r="BI662" s="545"/>
      <c r="BJ662" s="545"/>
      <c r="BK662" s="545"/>
      <c r="BL662" s="545"/>
      <c r="BM662" s="545"/>
      <c r="BN662" s="545"/>
      <c r="BO662" s="545"/>
      <c r="BP662" s="545"/>
      <c r="BQ662" s="545"/>
      <c r="BR662" s="546"/>
      <c r="BS662" s="627">
        <f t="shared" si="13"/>
        <v>50499</v>
      </c>
      <c r="BT662" s="628"/>
      <c r="BU662" s="628"/>
      <c r="BV662" s="628"/>
      <c r="BW662" s="628"/>
      <c r="BX662" s="628"/>
      <c r="BY662" s="628"/>
      <c r="BZ662" s="628"/>
      <c r="CA662" s="628"/>
      <c r="CB662" s="628"/>
      <c r="CC662" s="628"/>
      <c r="CD662" s="628"/>
      <c r="CE662" s="628"/>
      <c r="CF662" s="628"/>
      <c r="CG662" s="628"/>
      <c r="CH662" s="629"/>
      <c r="CI662" s="627">
        <v>50499</v>
      </c>
      <c r="CJ662" s="628"/>
      <c r="CK662" s="628"/>
      <c r="CL662" s="628"/>
      <c r="CM662" s="628"/>
      <c r="CN662" s="628"/>
      <c r="CO662" s="628"/>
      <c r="CP662" s="628"/>
      <c r="CQ662" s="628"/>
      <c r="CR662" s="628"/>
      <c r="CS662" s="628"/>
      <c r="CT662" s="628"/>
      <c r="CU662" s="628"/>
      <c r="CV662" s="628"/>
      <c r="CW662" s="628"/>
      <c r="CX662" s="628"/>
      <c r="CY662" s="628"/>
      <c r="CZ662" s="629"/>
      <c r="DA662" s="243"/>
    </row>
    <row r="663" spans="1:105" ht="31.95" customHeight="1" x14ac:dyDescent="0.25">
      <c r="A663" s="630" t="s">
        <v>1013</v>
      </c>
      <c r="B663" s="631"/>
      <c r="C663" s="631"/>
      <c r="D663" s="631"/>
      <c r="E663" s="631"/>
      <c r="F663" s="631"/>
      <c r="G663" s="632"/>
      <c r="H663" s="584" t="s">
        <v>1086</v>
      </c>
      <c r="I663" s="585"/>
      <c r="J663" s="585"/>
      <c r="K663" s="585"/>
      <c r="L663" s="585"/>
      <c r="M663" s="585"/>
      <c r="N663" s="585"/>
      <c r="O663" s="585"/>
      <c r="P663" s="585"/>
      <c r="Q663" s="585"/>
      <c r="R663" s="585"/>
      <c r="S663" s="585"/>
      <c r="T663" s="585"/>
      <c r="U663" s="585"/>
      <c r="V663" s="585"/>
      <c r="W663" s="585"/>
      <c r="X663" s="585"/>
      <c r="Y663" s="585"/>
      <c r="Z663" s="585"/>
      <c r="AA663" s="585"/>
      <c r="AB663" s="585"/>
      <c r="AC663" s="585"/>
      <c r="AD663" s="585"/>
      <c r="AE663" s="585"/>
      <c r="AF663" s="585"/>
      <c r="AG663" s="585"/>
      <c r="AH663" s="585"/>
      <c r="AI663" s="585"/>
      <c r="AJ663" s="585"/>
      <c r="AK663" s="585"/>
      <c r="AL663" s="585"/>
      <c r="AM663" s="585"/>
      <c r="AN663" s="585"/>
      <c r="AO663" s="585"/>
      <c r="AP663" s="585"/>
      <c r="AQ663" s="585"/>
      <c r="AR663" s="585"/>
      <c r="AS663" s="585"/>
      <c r="AT663" s="585"/>
      <c r="AU663" s="585"/>
      <c r="AV663" s="585"/>
      <c r="AW663" s="585"/>
      <c r="AX663" s="585"/>
      <c r="AY663" s="585"/>
      <c r="AZ663" s="585"/>
      <c r="BA663" s="585"/>
      <c r="BB663" s="586"/>
      <c r="BC663" s="544">
        <v>1</v>
      </c>
      <c r="BD663" s="545"/>
      <c r="BE663" s="545"/>
      <c r="BF663" s="545"/>
      <c r="BG663" s="545"/>
      <c r="BH663" s="545"/>
      <c r="BI663" s="545"/>
      <c r="BJ663" s="545"/>
      <c r="BK663" s="545"/>
      <c r="BL663" s="545"/>
      <c r="BM663" s="545"/>
      <c r="BN663" s="545"/>
      <c r="BO663" s="545"/>
      <c r="BP663" s="545"/>
      <c r="BQ663" s="545"/>
      <c r="BR663" s="546"/>
      <c r="BS663" s="627">
        <f t="shared" ref="BS663" si="20">CI663/BC663</f>
        <v>7499</v>
      </c>
      <c r="BT663" s="628"/>
      <c r="BU663" s="628"/>
      <c r="BV663" s="628"/>
      <c r="BW663" s="628"/>
      <c r="BX663" s="628"/>
      <c r="BY663" s="628"/>
      <c r="BZ663" s="628"/>
      <c r="CA663" s="628"/>
      <c r="CB663" s="628"/>
      <c r="CC663" s="628"/>
      <c r="CD663" s="628"/>
      <c r="CE663" s="628"/>
      <c r="CF663" s="628"/>
      <c r="CG663" s="628"/>
      <c r="CH663" s="629"/>
      <c r="CI663" s="627">
        <v>7499</v>
      </c>
      <c r="CJ663" s="628"/>
      <c r="CK663" s="628"/>
      <c r="CL663" s="628"/>
      <c r="CM663" s="628"/>
      <c r="CN663" s="628"/>
      <c r="CO663" s="628"/>
      <c r="CP663" s="628"/>
      <c r="CQ663" s="628"/>
      <c r="CR663" s="628"/>
      <c r="CS663" s="628"/>
      <c r="CT663" s="628"/>
      <c r="CU663" s="628"/>
      <c r="CV663" s="628"/>
      <c r="CW663" s="628"/>
      <c r="CX663" s="628"/>
      <c r="CY663" s="628"/>
      <c r="CZ663" s="629"/>
      <c r="DA663" s="243"/>
    </row>
    <row r="664" spans="1:105" ht="23.25" customHeight="1" x14ac:dyDescent="0.25">
      <c r="A664" s="630" t="s">
        <v>1014</v>
      </c>
      <c r="B664" s="631"/>
      <c r="C664" s="631"/>
      <c r="D664" s="631"/>
      <c r="E664" s="631"/>
      <c r="F664" s="631"/>
      <c r="G664" s="632"/>
      <c r="H664" s="584" t="s">
        <v>813</v>
      </c>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5"/>
      <c r="AL664" s="585"/>
      <c r="AM664" s="585"/>
      <c r="AN664" s="585"/>
      <c r="AO664" s="585"/>
      <c r="AP664" s="585"/>
      <c r="AQ664" s="585"/>
      <c r="AR664" s="585"/>
      <c r="AS664" s="585"/>
      <c r="AT664" s="585"/>
      <c r="AU664" s="585"/>
      <c r="AV664" s="585"/>
      <c r="AW664" s="585"/>
      <c r="AX664" s="585"/>
      <c r="AY664" s="585"/>
      <c r="AZ664" s="585"/>
      <c r="BA664" s="585"/>
      <c r="BB664" s="586"/>
      <c r="BC664" s="544">
        <v>2</v>
      </c>
      <c r="BD664" s="545"/>
      <c r="BE664" s="545"/>
      <c r="BF664" s="545"/>
      <c r="BG664" s="545"/>
      <c r="BH664" s="545"/>
      <c r="BI664" s="545"/>
      <c r="BJ664" s="545"/>
      <c r="BK664" s="545"/>
      <c r="BL664" s="545"/>
      <c r="BM664" s="545"/>
      <c r="BN664" s="545"/>
      <c r="BO664" s="545"/>
      <c r="BP664" s="545"/>
      <c r="BQ664" s="545"/>
      <c r="BR664" s="546"/>
      <c r="BS664" s="627">
        <f t="shared" si="13"/>
        <v>10199</v>
      </c>
      <c r="BT664" s="628"/>
      <c r="BU664" s="628"/>
      <c r="BV664" s="628"/>
      <c r="BW664" s="628"/>
      <c r="BX664" s="628"/>
      <c r="BY664" s="628"/>
      <c r="BZ664" s="628"/>
      <c r="CA664" s="628"/>
      <c r="CB664" s="628"/>
      <c r="CC664" s="628"/>
      <c r="CD664" s="628"/>
      <c r="CE664" s="628"/>
      <c r="CF664" s="628"/>
      <c r="CG664" s="628"/>
      <c r="CH664" s="629"/>
      <c r="CI664" s="627">
        <v>20398</v>
      </c>
      <c r="CJ664" s="628"/>
      <c r="CK664" s="628"/>
      <c r="CL664" s="628"/>
      <c r="CM664" s="628"/>
      <c r="CN664" s="628"/>
      <c r="CO664" s="628"/>
      <c r="CP664" s="628"/>
      <c r="CQ664" s="628"/>
      <c r="CR664" s="628"/>
      <c r="CS664" s="628"/>
      <c r="CT664" s="628"/>
      <c r="CU664" s="628"/>
      <c r="CV664" s="628"/>
      <c r="CW664" s="628"/>
      <c r="CX664" s="628"/>
      <c r="CY664" s="628"/>
      <c r="CZ664" s="629"/>
      <c r="DA664" s="243"/>
    </row>
    <row r="665" spans="1:105" ht="23.25" customHeight="1" x14ac:dyDescent="0.25">
      <c r="A665" s="630" t="s">
        <v>1015</v>
      </c>
      <c r="B665" s="631"/>
      <c r="C665" s="631"/>
      <c r="D665" s="631"/>
      <c r="E665" s="631"/>
      <c r="F665" s="631"/>
      <c r="G665" s="632"/>
      <c r="H665" s="584" t="s">
        <v>1046</v>
      </c>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5"/>
      <c r="AL665" s="585"/>
      <c r="AM665" s="585"/>
      <c r="AN665" s="585"/>
      <c r="AO665" s="585"/>
      <c r="AP665" s="585"/>
      <c r="AQ665" s="585"/>
      <c r="AR665" s="585"/>
      <c r="AS665" s="585"/>
      <c r="AT665" s="585"/>
      <c r="AU665" s="585"/>
      <c r="AV665" s="585"/>
      <c r="AW665" s="585"/>
      <c r="AX665" s="585"/>
      <c r="AY665" s="585"/>
      <c r="AZ665" s="585"/>
      <c r="BA665" s="585"/>
      <c r="BB665" s="586"/>
      <c r="BC665" s="544">
        <v>1</v>
      </c>
      <c r="BD665" s="545"/>
      <c r="BE665" s="545"/>
      <c r="BF665" s="545"/>
      <c r="BG665" s="545"/>
      <c r="BH665" s="545"/>
      <c r="BI665" s="545"/>
      <c r="BJ665" s="545"/>
      <c r="BK665" s="545"/>
      <c r="BL665" s="545"/>
      <c r="BM665" s="545"/>
      <c r="BN665" s="545"/>
      <c r="BO665" s="545"/>
      <c r="BP665" s="545"/>
      <c r="BQ665" s="545"/>
      <c r="BR665" s="546"/>
      <c r="BS665" s="627">
        <f t="shared" si="13"/>
        <v>21499</v>
      </c>
      <c r="BT665" s="628"/>
      <c r="BU665" s="628"/>
      <c r="BV665" s="628"/>
      <c r="BW665" s="628"/>
      <c r="BX665" s="628"/>
      <c r="BY665" s="628"/>
      <c r="BZ665" s="628"/>
      <c r="CA665" s="628"/>
      <c r="CB665" s="628"/>
      <c r="CC665" s="628"/>
      <c r="CD665" s="628"/>
      <c r="CE665" s="628"/>
      <c r="CF665" s="628"/>
      <c r="CG665" s="628"/>
      <c r="CH665" s="629"/>
      <c r="CI665" s="627">
        <v>21499</v>
      </c>
      <c r="CJ665" s="628"/>
      <c r="CK665" s="628"/>
      <c r="CL665" s="628"/>
      <c r="CM665" s="628"/>
      <c r="CN665" s="628"/>
      <c r="CO665" s="628"/>
      <c r="CP665" s="628"/>
      <c r="CQ665" s="628"/>
      <c r="CR665" s="628"/>
      <c r="CS665" s="628"/>
      <c r="CT665" s="628"/>
      <c r="CU665" s="628"/>
      <c r="CV665" s="628"/>
      <c r="CW665" s="628"/>
      <c r="CX665" s="628"/>
      <c r="CY665" s="628"/>
      <c r="CZ665" s="629"/>
      <c r="DA665" s="243"/>
    </row>
    <row r="666" spans="1:105" ht="23.25" customHeight="1" x14ac:dyDescent="0.25">
      <c r="A666" s="630" t="s">
        <v>1016</v>
      </c>
      <c r="B666" s="631"/>
      <c r="C666" s="631"/>
      <c r="D666" s="631"/>
      <c r="E666" s="631"/>
      <c r="F666" s="631"/>
      <c r="G666" s="632"/>
      <c r="H666" s="584" t="s">
        <v>806</v>
      </c>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5"/>
      <c r="AL666" s="585"/>
      <c r="AM666" s="585"/>
      <c r="AN666" s="585"/>
      <c r="AO666" s="585"/>
      <c r="AP666" s="585"/>
      <c r="AQ666" s="585"/>
      <c r="AR666" s="585"/>
      <c r="AS666" s="585"/>
      <c r="AT666" s="585"/>
      <c r="AU666" s="585"/>
      <c r="AV666" s="585"/>
      <c r="AW666" s="585"/>
      <c r="AX666" s="585"/>
      <c r="AY666" s="585"/>
      <c r="AZ666" s="585"/>
      <c r="BA666" s="585"/>
      <c r="BB666" s="586"/>
      <c r="BC666" s="544">
        <v>10</v>
      </c>
      <c r="BD666" s="545"/>
      <c r="BE666" s="545"/>
      <c r="BF666" s="545"/>
      <c r="BG666" s="545"/>
      <c r="BH666" s="545"/>
      <c r="BI666" s="545"/>
      <c r="BJ666" s="545"/>
      <c r="BK666" s="545"/>
      <c r="BL666" s="545"/>
      <c r="BM666" s="545"/>
      <c r="BN666" s="545"/>
      <c r="BO666" s="545"/>
      <c r="BP666" s="545"/>
      <c r="BQ666" s="545"/>
      <c r="BR666" s="546"/>
      <c r="BS666" s="627">
        <f t="shared" si="13"/>
        <v>33600</v>
      </c>
      <c r="BT666" s="628"/>
      <c r="BU666" s="628"/>
      <c r="BV666" s="628"/>
      <c r="BW666" s="628"/>
      <c r="BX666" s="628"/>
      <c r="BY666" s="628"/>
      <c r="BZ666" s="628"/>
      <c r="CA666" s="628"/>
      <c r="CB666" s="628"/>
      <c r="CC666" s="628"/>
      <c r="CD666" s="628"/>
      <c r="CE666" s="628"/>
      <c r="CF666" s="628"/>
      <c r="CG666" s="628"/>
      <c r="CH666" s="629"/>
      <c r="CI666" s="627">
        <v>336000</v>
      </c>
      <c r="CJ666" s="628"/>
      <c r="CK666" s="628"/>
      <c r="CL666" s="628"/>
      <c r="CM666" s="628"/>
      <c r="CN666" s="628"/>
      <c r="CO666" s="628"/>
      <c r="CP666" s="628"/>
      <c r="CQ666" s="628"/>
      <c r="CR666" s="628"/>
      <c r="CS666" s="628"/>
      <c r="CT666" s="628"/>
      <c r="CU666" s="628"/>
      <c r="CV666" s="628"/>
      <c r="CW666" s="628"/>
      <c r="CX666" s="628"/>
      <c r="CY666" s="628"/>
      <c r="CZ666" s="629"/>
      <c r="DA666" s="243"/>
    </row>
    <row r="667" spans="1:105" ht="22.95" customHeight="1" x14ac:dyDescent="0.25">
      <c r="A667" s="630" t="s">
        <v>1017</v>
      </c>
      <c r="B667" s="631"/>
      <c r="C667" s="631"/>
      <c r="D667" s="631"/>
      <c r="E667" s="631"/>
      <c r="F667" s="631"/>
      <c r="G667" s="632"/>
      <c r="H667" s="584" t="s">
        <v>1019</v>
      </c>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5"/>
      <c r="AL667" s="585"/>
      <c r="AM667" s="585"/>
      <c r="AN667" s="585"/>
      <c r="AO667" s="585"/>
      <c r="AP667" s="585"/>
      <c r="AQ667" s="585"/>
      <c r="AR667" s="585"/>
      <c r="AS667" s="585"/>
      <c r="AT667" s="585"/>
      <c r="AU667" s="585"/>
      <c r="AV667" s="585"/>
      <c r="AW667" s="585"/>
      <c r="AX667" s="585"/>
      <c r="AY667" s="585"/>
      <c r="AZ667" s="585"/>
      <c r="BA667" s="585"/>
      <c r="BB667" s="586"/>
      <c r="BC667" s="544">
        <v>5</v>
      </c>
      <c r="BD667" s="545"/>
      <c r="BE667" s="545"/>
      <c r="BF667" s="545"/>
      <c r="BG667" s="545"/>
      <c r="BH667" s="545"/>
      <c r="BI667" s="545"/>
      <c r="BJ667" s="545"/>
      <c r="BK667" s="545"/>
      <c r="BL667" s="545"/>
      <c r="BM667" s="545"/>
      <c r="BN667" s="545"/>
      <c r="BO667" s="545"/>
      <c r="BP667" s="545"/>
      <c r="BQ667" s="545"/>
      <c r="BR667" s="546"/>
      <c r="BS667" s="627">
        <f t="shared" si="13"/>
        <v>51757</v>
      </c>
      <c r="BT667" s="628"/>
      <c r="BU667" s="628"/>
      <c r="BV667" s="628"/>
      <c r="BW667" s="628"/>
      <c r="BX667" s="628"/>
      <c r="BY667" s="628"/>
      <c r="BZ667" s="628"/>
      <c r="CA667" s="628"/>
      <c r="CB667" s="628"/>
      <c r="CC667" s="628"/>
      <c r="CD667" s="628"/>
      <c r="CE667" s="628"/>
      <c r="CF667" s="628"/>
      <c r="CG667" s="628"/>
      <c r="CH667" s="629"/>
      <c r="CI667" s="627">
        <f>246500+12285</f>
        <v>258785</v>
      </c>
      <c r="CJ667" s="628"/>
      <c r="CK667" s="628"/>
      <c r="CL667" s="628"/>
      <c r="CM667" s="628"/>
      <c r="CN667" s="628"/>
      <c r="CO667" s="628"/>
      <c r="CP667" s="628"/>
      <c r="CQ667" s="628"/>
      <c r="CR667" s="628"/>
      <c r="CS667" s="628"/>
      <c r="CT667" s="628"/>
      <c r="CU667" s="628"/>
      <c r="CV667" s="628"/>
      <c r="CW667" s="628"/>
      <c r="CX667" s="628"/>
      <c r="CY667" s="628"/>
      <c r="CZ667" s="629"/>
      <c r="DA667" s="243"/>
    </row>
    <row r="668" spans="1:105" ht="22.95" customHeight="1" x14ac:dyDescent="0.25">
      <c r="A668" s="630" t="s">
        <v>1018</v>
      </c>
      <c r="B668" s="631"/>
      <c r="C668" s="631"/>
      <c r="D668" s="631"/>
      <c r="E668" s="631"/>
      <c r="F668" s="631"/>
      <c r="G668" s="632"/>
      <c r="H668" s="584" t="s">
        <v>1020</v>
      </c>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5"/>
      <c r="AL668" s="585"/>
      <c r="AM668" s="585"/>
      <c r="AN668" s="585"/>
      <c r="AO668" s="585"/>
      <c r="AP668" s="585"/>
      <c r="AQ668" s="585"/>
      <c r="AR668" s="585"/>
      <c r="AS668" s="585"/>
      <c r="AT668" s="585"/>
      <c r="AU668" s="585"/>
      <c r="AV668" s="585"/>
      <c r="AW668" s="585"/>
      <c r="AX668" s="585"/>
      <c r="AY668" s="585"/>
      <c r="AZ668" s="585"/>
      <c r="BA668" s="585"/>
      <c r="BB668" s="586"/>
      <c r="BC668" s="544">
        <v>5</v>
      </c>
      <c r="BD668" s="545"/>
      <c r="BE668" s="545"/>
      <c r="BF668" s="545"/>
      <c r="BG668" s="545"/>
      <c r="BH668" s="545"/>
      <c r="BI668" s="545"/>
      <c r="BJ668" s="545"/>
      <c r="BK668" s="545"/>
      <c r="BL668" s="545"/>
      <c r="BM668" s="545"/>
      <c r="BN668" s="545"/>
      <c r="BO668" s="545"/>
      <c r="BP668" s="545"/>
      <c r="BQ668" s="545"/>
      <c r="BR668" s="546"/>
      <c r="BS668" s="627">
        <f t="shared" si="13"/>
        <v>6500</v>
      </c>
      <c r="BT668" s="628"/>
      <c r="BU668" s="628"/>
      <c r="BV668" s="628"/>
      <c r="BW668" s="628"/>
      <c r="BX668" s="628"/>
      <c r="BY668" s="628"/>
      <c r="BZ668" s="628"/>
      <c r="CA668" s="628"/>
      <c r="CB668" s="628"/>
      <c r="CC668" s="628"/>
      <c r="CD668" s="628"/>
      <c r="CE668" s="628"/>
      <c r="CF668" s="628"/>
      <c r="CG668" s="628"/>
      <c r="CH668" s="629"/>
      <c r="CI668" s="627">
        <v>32500</v>
      </c>
      <c r="CJ668" s="628"/>
      <c r="CK668" s="628"/>
      <c r="CL668" s="628"/>
      <c r="CM668" s="628"/>
      <c r="CN668" s="628"/>
      <c r="CO668" s="628"/>
      <c r="CP668" s="628"/>
      <c r="CQ668" s="628"/>
      <c r="CR668" s="628"/>
      <c r="CS668" s="628"/>
      <c r="CT668" s="628"/>
      <c r="CU668" s="628"/>
      <c r="CV668" s="628"/>
      <c r="CW668" s="628"/>
      <c r="CX668" s="628"/>
      <c r="CY668" s="628"/>
      <c r="CZ668" s="629"/>
      <c r="DA668" s="243"/>
    </row>
    <row r="669" spans="1:105" ht="23.25" customHeight="1" x14ac:dyDescent="0.25">
      <c r="A669" s="630" t="s">
        <v>1056</v>
      </c>
      <c r="B669" s="631"/>
      <c r="C669" s="631"/>
      <c r="D669" s="631"/>
      <c r="E669" s="631"/>
      <c r="F669" s="631"/>
      <c r="G669" s="632"/>
      <c r="H669" s="584" t="s">
        <v>1006</v>
      </c>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5"/>
      <c r="AL669" s="585"/>
      <c r="AM669" s="585"/>
      <c r="AN669" s="585"/>
      <c r="AO669" s="585"/>
      <c r="AP669" s="585"/>
      <c r="AQ669" s="585"/>
      <c r="AR669" s="585"/>
      <c r="AS669" s="585"/>
      <c r="AT669" s="585"/>
      <c r="AU669" s="585"/>
      <c r="AV669" s="585"/>
      <c r="AW669" s="585"/>
      <c r="AX669" s="585"/>
      <c r="AY669" s="585"/>
      <c r="AZ669" s="585"/>
      <c r="BA669" s="585"/>
      <c r="BB669" s="586"/>
      <c r="BC669" s="544">
        <v>2</v>
      </c>
      <c r="BD669" s="545"/>
      <c r="BE669" s="545"/>
      <c r="BF669" s="545"/>
      <c r="BG669" s="545"/>
      <c r="BH669" s="545"/>
      <c r="BI669" s="545"/>
      <c r="BJ669" s="545"/>
      <c r="BK669" s="545"/>
      <c r="BL669" s="545"/>
      <c r="BM669" s="545"/>
      <c r="BN669" s="545"/>
      <c r="BO669" s="545"/>
      <c r="BP669" s="545"/>
      <c r="BQ669" s="545"/>
      <c r="BR669" s="546"/>
      <c r="BS669" s="627">
        <f t="shared" si="13"/>
        <v>407059.47499999998</v>
      </c>
      <c r="BT669" s="628"/>
      <c r="BU669" s="628"/>
      <c r="BV669" s="628"/>
      <c r="BW669" s="628"/>
      <c r="BX669" s="628"/>
      <c r="BY669" s="628"/>
      <c r="BZ669" s="628"/>
      <c r="CA669" s="628"/>
      <c r="CB669" s="628"/>
      <c r="CC669" s="628"/>
      <c r="CD669" s="628"/>
      <c r="CE669" s="628"/>
      <c r="CF669" s="628"/>
      <c r="CG669" s="628"/>
      <c r="CH669" s="629"/>
      <c r="CI669" s="627">
        <f>1869000-1039736-15145.05</f>
        <v>814118.95</v>
      </c>
      <c r="CJ669" s="628"/>
      <c r="CK669" s="628"/>
      <c r="CL669" s="628"/>
      <c r="CM669" s="628"/>
      <c r="CN669" s="628"/>
      <c r="CO669" s="628"/>
      <c r="CP669" s="628"/>
      <c r="CQ669" s="628"/>
      <c r="CR669" s="628"/>
      <c r="CS669" s="628"/>
      <c r="CT669" s="628"/>
      <c r="CU669" s="628"/>
      <c r="CV669" s="628"/>
      <c r="CW669" s="628"/>
      <c r="CX669" s="628"/>
      <c r="CY669" s="628"/>
      <c r="CZ669" s="629"/>
      <c r="DA669" s="243"/>
    </row>
    <row r="670" spans="1:105" ht="23.25" customHeight="1" x14ac:dyDescent="0.25">
      <c r="A670" s="630" t="s">
        <v>1057</v>
      </c>
      <c r="B670" s="631"/>
      <c r="C670" s="631"/>
      <c r="D670" s="631"/>
      <c r="E670" s="631"/>
      <c r="F670" s="631"/>
      <c r="G670" s="632"/>
      <c r="H670" s="584" t="s">
        <v>688</v>
      </c>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5"/>
      <c r="AL670" s="585"/>
      <c r="AM670" s="585"/>
      <c r="AN670" s="585"/>
      <c r="AO670" s="585"/>
      <c r="AP670" s="585"/>
      <c r="AQ670" s="585"/>
      <c r="AR670" s="585"/>
      <c r="AS670" s="585"/>
      <c r="AT670" s="585"/>
      <c r="AU670" s="585"/>
      <c r="AV670" s="585"/>
      <c r="AW670" s="585"/>
      <c r="AX670" s="585"/>
      <c r="AY670" s="585"/>
      <c r="AZ670" s="585"/>
      <c r="BA670" s="585"/>
      <c r="BB670" s="586"/>
      <c r="BC670" s="544">
        <v>1</v>
      </c>
      <c r="BD670" s="545"/>
      <c r="BE670" s="545"/>
      <c r="BF670" s="545"/>
      <c r="BG670" s="545"/>
      <c r="BH670" s="545"/>
      <c r="BI670" s="545"/>
      <c r="BJ670" s="545"/>
      <c r="BK670" s="545"/>
      <c r="BL670" s="545"/>
      <c r="BM670" s="545"/>
      <c r="BN670" s="545"/>
      <c r="BO670" s="545"/>
      <c r="BP670" s="545"/>
      <c r="BQ670" s="545"/>
      <c r="BR670" s="546"/>
      <c r="BS670" s="627">
        <f t="shared" ref="BS670" si="21">CI670/BC670</f>
        <v>347583</v>
      </c>
      <c r="BT670" s="628"/>
      <c r="BU670" s="628"/>
      <c r="BV670" s="628"/>
      <c r="BW670" s="628"/>
      <c r="BX670" s="628"/>
      <c r="BY670" s="628"/>
      <c r="BZ670" s="628"/>
      <c r="CA670" s="628"/>
      <c r="CB670" s="628"/>
      <c r="CC670" s="628"/>
      <c r="CD670" s="628"/>
      <c r="CE670" s="628"/>
      <c r="CF670" s="628"/>
      <c r="CG670" s="628"/>
      <c r="CH670" s="629"/>
      <c r="CI670" s="627">
        <v>347583</v>
      </c>
      <c r="CJ670" s="628"/>
      <c r="CK670" s="628"/>
      <c r="CL670" s="628"/>
      <c r="CM670" s="628"/>
      <c r="CN670" s="628"/>
      <c r="CO670" s="628"/>
      <c r="CP670" s="628"/>
      <c r="CQ670" s="628"/>
      <c r="CR670" s="628"/>
      <c r="CS670" s="628"/>
      <c r="CT670" s="628"/>
      <c r="CU670" s="628"/>
      <c r="CV670" s="628"/>
      <c r="CW670" s="628"/>
      <c r="CX670" s="628"/>
      <c r="CY670" s="628"/>
      <c r="CZ670" s="629"/>
      <c r="DA670" s="243"/>
    </row>
    <row r="671" spans="1:105" ht="23.25" customHeight="1" x14ac:dyDescent="0.25">
      <c r="A671" s="630" t="s">
        <v>1058</v>
      </c>
      <c r="B671" s="631"/>
      <c r="C671" s="631"/>
      <c r="D671" s="631"/>
      <c r="E671" s="631"/>
      <c r="F671" s="631"/>
      <c r="G671" s="632"/>
      <c r="H671" s="584" t="s">
        <v>1059</v>
      </c>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5"/>
      <c r="AL671" s="585"/>
      <c r="AM671" s="585"/>
      <c r="AN671" s="585"/>
      <c r="AO671" s="585"/>
      <c r="AP671" s="585"/>
      <c r="AQ671" s="585"/>
      <c r="AR671" s="585"/>
      <c r="AS671" s="585"/>
      <c r="AT671" s="585"/>
      <c r="AU671" s="585"/>
      <c r="AV671" s="585"/>
      <c r="AW671" s="585"/>
      <c r="AX671" s="585"/>
      <c r="AY671" s="585"/>
      <c r="AZ671" s="585"/>
      <c r="BA671" s="585"/>
      <c r="BB671" s="586"/>
      <c r="BC671" s="544">
        <v>1</v>
      </c>
      <c r="BD671" s="545"/>
      <c r="BE671" s="545"/>
      <c r="BF671" s="545"/>
      <c r="BG671" s="545"/>
      <c r="BH671" s="545"/>
      <c r="BI671" s="545"/>
      <c r="BJ671" s="545"/>
      <c r="BK671" s="545"/>
      <c r="BL671" s="545"/>
      <c r="BM671" s="545"/>
      <c r="BN671" s="545"/>
      <c r="BO671" s="545"/>
      <c r="BP671" s="545"/>
      <c r="BQ671" s="545"/>
      <c r="BR671" s="546"/>
      <c r="BS671" s="627">
        <f t="shared" si="13"/>
        <v>12445926.810000001</v>
      </c>
      <c r="BT671" s="628"/>
      <c r="BU671" s="628"/>
      <c r="BV671" s="628"/>
      <c r="BW671" s="628"/>
      <c r="BX671" s="628"/>
      <c r="BY671" s="628"/>
      <c r="BZ671" s="628"/>
      <c r="CA671" s="628"/>
      <c r="CB671" s="628"/>
      <c r="CC671" s="628"/>
      <c r="CD671" s="628"/>
      <c r="CE671" s="628"/>
      <c r="CF671" s="628"/>
      <c r="CG671" s="628"/>
      <c r="CH671" s="629"/>
      <c r="CI671" s="627">
        <v>12445926.810000001</v>
      </c>
      <c r="CJ671" s="628"/>
      <c r="CK671" s="628"/>
      <c r="CL671" s="628"/>
      <c r="CM671" s="628"/>
      <c r="CN671" s="628"/>
      <c r="CO671" s="628"/>
      <c r="CP671" s="628"/>
      <c r="CQ671" s="628"/>
      <c r="CR671" s="628"/>
      <c r="CS671" s="628"/>
      <c r="CT671" s="628"/>
      <c r="CU671" s="628"/>
      <c r="CV671" s="628"/>
      <c r="CW671" s="628"/>
      <c r="CX671" s="628"/>
      <c r="CY671" s="628"/>
      <c r="CZ671" s="629"/>
      <c r="DA671" s="243"/>
    </row>
    <row r="672" spans="1:105" ht="23.25" customHeight="1" x14ac:dyDescent="0.25">
      <c r="A672" s="630" t="s">
        <v>1060</v>
      </c>
      <c r="B672" s="631"/>
      <c r="C672" s="631"/>
      <c r="D672" s="631"/>
      <c r="E672" s="631"/>
      <c r="F672" s="631"/>
      <c r="G672" s="632"/>
      <c r="H672" s="584" t="s">
        <v>1061</v>
      </c>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5"/>
      <c r="AL672" s="585"/>
      <c r="AM672" s="585"/>
      <c r="AN672" s="585"/>
      <c r="AO672" s="585"/>
      <c r="AP672" s="585"/>
      <c r="AQ672" s="585"/>
      <c r="AR672" s="585"/>
      <c r="AS672" s="585"/>
      <c r="AT672" s="585"/>
      <c r="AU672" s="585"/>
      <c r="AV672" s="585"/>
      <c r="AW672" s="585"/>
      <c r="AX672" s="585"/>
      <c r="AY672" s="585"/>
      <c r="AZ672" s="585"/>
      <c r="BA672" s="585"/>
      <c r="BB672" s="586"/>
      <c r="BC672" s="544">
        <v>1</v>
      </c>
      <c r="BD672" s="545"/>
      <c r="BE672" s="545"/>
      <c r="BF672" s="545"/>
      <c r="BG672" s="545"/>
      <c r="BH672" s="545"/>
      <c r="BI672" s="545"/>
      <c r="BJ672" s="545"/>
      <c r="BK672" s="545"/>
      <c r="BL672" s="545"/>
      <c r="BM672" s="545"/>
      <c r="BN672" s="545"/>
      <c r="BO672" s="545"/>
      <c r="BP672" s="545"/>
      <c r="BQ672" s="545"/>
      <c r="BR672" s="546"/>
      <c r="BS672" s="627">
        <f t="shared" si="13"/>
        <v>126000</v>
      </c>
      <c r="BT672" s="628"/>
      <c r="BU672" s="628"/>
      <c r="BV672" s="628"/>
      <c r="BW672" s="628"/>
      <c r="BX672" s="628"/>
      <c r="BY672" s="628"/>
      <c r="BZ672" s="628"/>
      <c r="CA672" s="628"/>
      <c r="CB672" s="628"/>
      <c r="CC672" s="628"/>
      <c r="CD672" s="628"/>
      <c r="CE672" s="628"/>
      <c r="CF672" s="628"/>
      <c r="CG672" s="628"/>
      <c r="CH672" s="629"/>
      <c r="CI672" s="627">
        <v>126000</v>
      </c>
      <c r="CJ672" s="628"/>
      <c r="CK672" s="628"/>
      <c r="CL672" s="628"/>
      <c r="CM672" s="628"/>
      <c r="CN672" s="628"/>
      <c r="CO672" s="628"/>
      <c r="CP672" s="628"/>
      <c r="CQ672" s="628"/>
      <c r="CR672" s="628"/>
      <c r="CS672" s="628"/>
      <c r="CT672" s="628"/>
      <c r="CU672" s="628"/>
      <c r="CV672" s="628"/>
      <c r="CW672" s="628"/>
      <c r="CX672" s="628"/>
      <c r="CY672" s="628"/>
      <c r="CZ672" s="629"/>
      <c r="DA672" s="243"/>
    </row>
    <row r="673" spans="1:105" ht="28.2" customHeight="1" x14ac:dyDescent="0.25">
      <c r="A673" s="630" t="s">
        <v>1065</v>
      </c>
      <c r="B673" s="631"/>
      <c r="C673" s="631"/>
      <c r="D673" s="631"/>
      <c r="E673" s="631"/>
      <c r="F673" s="631"/>
      <c r="G673" s="632"/>
      <c r="H673" s="584" t="s">
        <v>1050</v>
      </c>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5"/>
      <c r="AL673" s="585"/>
      <c r="AM673" s="585"/>
      <c r="AN673" s="585"/>
      <c r="AO673" s="585"/>
      <c r="AP673" s="585"/>
      <c r="AQ673" s="585"/>
      <c r="AR673" s="585"/>
      <c r="AS673" s="585"/>
      <c r="AT673" s="585"/>
      <c r="AU673" s="585"/>
      <c r="AV673" s="585"/>
      <c r="AW673" s="585"/>
      <c r="AX673" s="585"/>
      <c r="AY673" s="585"/>
      <c r="AZ673" s="585"/>
      <c r="BA673" s="585"/>
      <c r="BB673" s="586"/>
      <c r="BC673" s="544">
        <v>1</v>
      </c>
      <c r="BD673" s="545"/>
      <c r="BE673" s="545"/>
      <c r="BF673" s="545"/>
      <c r="BG673" s="545"/>
      <c r="BH673" s="545"/>
      <c r="BI673" s="545"/>
      <c r="BJ673" s="545"/>
      <c r="BK673" s="545"/>
      <c r="BL673" s="545"/>
      <c r="BM673" s="545"/>
      <c r="BN673" s="545"/>
      <c r="BO673" s="545"/>
      <c r="BP673" s="545"/>
      <c r="BQ673" s="545"/>
      <c r="BR673" s="546"/>
      <c r="BS673" s="627">
        <f t="shared" ref="BS673" si="22">CI673/BC673</f>
        <v>159000</v>
      </c>
      <c r="BT673" s="628"/>
      <c r="BU673" s="628"/>
      <c r="BV673" s="628"/>
      <c r="BW673" s="628"/>
      <c r="BX673" s="628"/>
      <c r="BY673" s="628"/>
      <c r="BZ673" s="628"/>
      <c r="CA673" s="628"/>
      <c r="CB673" s="628"/>
      <c r="CC673" s="628"/>
      <c r="CD673" s="628"/>
      <c r="CE673" s="628"/>
      <c r="CF673" s="628"/>
      <c r="CG673" s="628"/>
      <c r="CH673" s="629"/>
      <c r="CI673" s="627">
        <f>285000-126000</f>
        <v>159000</v>
      </c>
      <c r="CJ673" s="628"/>
      <c r="CK673" s="628"/>
      <c r="CL673" s="628"/>
      <c r="CM673" s="628"/>
      <c r="CN673" s="628"/>
      <c r="CO673" s="628"/>
      <c r="CP673" s="628"/>
      <c r="CQ673" s="628"/>
      <c r="CR673" s="628"/>
      <c r="CS673" s="628"/>
      <c r="CT673" s="628"/>
      <c r="CU673" s="628"/>
      <c r="CV673" s="628"/>
      <c r="CW673" s="628"/>
      <c r="CX673" s="628"/>
      <c r="CY673" s="628"/>
      <c r="CZ673" s="629"/>
      <c r="DA673" s="243"/>
    </row>
    <row r="674" spans="1:105" ht="23.25" customHeight="1" x14ac:dyDescent="0.25">
      <c r="A674" s="633" t="s">
        <v>292</v>
      </c>
      <c r="B674" s="634"/>
      <c r="C674" s="634"/>
      <c r="D674" s="634"/>
      <c r="E674" s="634"/>
      <c r="F674" s="634"/>
      <c r="G674" s="634"/>
      <c r="H674" s="634"/>
      <c r="I674" s="634"/>
      <c r="J674" s="634"/>
      <c r="K674" s="634"/>
      <c r="L674" s="634"/>
      <c r="M674" s="634"/>
      <c r="N674" s="634"/>
      <c r="O674" s="634"/>
      <c r="P674" s="634"/>
      <c r="Q674" s="634"/>
      <c r="R674" s="634"/>
      <c r="S674" s="634"/>
      <c r="T674" s="634"/>
      <c r="U674" s="634"/>
      <c r="V674" s="634"/>
      <c r="W674" s="634"/>
      <c r="X674" s="634"/>
      <c r="Y674" s="634"/>
      <c r="Z674" s="634"/>
      <c r="AA674" s="634"/>
      <c r="AB674" s="634"/>
      <c r="AC674" s="634"/>
      <c r="AD674" s="634"/>
      <c r="AE674" s="634"/>
      <c r="AF674" s="634"/>
      <c r="AG674" s="634"/>
      <c r="AH674" s="634"/>
      <c r="AI674" s="634"/>
      <c r="AJ674" s="634"/>
      <c r="AK674" s="634"/>
      <c r="AL674" s="634"/>
      <c r="AM674" s="634"/>
      <c r="AN674" s="634"/>
      <c r="AO674" s="634"/>
      <c r="AP674" s="634"/>
      <c r="AQ674" s="634"/>
      <c r="AR674" s="634"/>
      <c r="AS674" s="634"/>
      <c r="AT674" s="634"/>
      <c r="AU674" s="634"/>
      <c r="AV674" s="634"/>
      <c r="AW674" s="634"/>
      <c r="AX674" s="634"/>
      <c r="AY674" s="634"/>
      <c r="AZ674" s="634"/>
      <c r="BA674" s="634"/>
      <c r="BB674" s="635"/>
      <c r="BC674" s="582" t="s">
        <v>4</v>
      </c>
      <c r="BD674" s="582"/>
      <c r="BE674" s="582"/>
      <c r="BF674" s="582"/>
      <c r="BG674" s="582"/>
      <c r="BH674" s="582"/>
      <c r="BI674" s="582"/>
      <c r="BJ674" s="582"/>
      <c r="BK674" s="582"/>
      <c r="BL674" s="582"/>
      <c r="BM674" s="582"/>
      <c r="BN674" s="582"/>
      <c r="BO674" s="582"/>
      <c r="BP674" s="582"/>
      <c r="BQ674" s="582"/>
      <c r="BR674" s="582"/>
      <c r="BS674" s="582" t="s">
        <v>4</v>
      </c>
      <c r="BT674" s="582"/>
      <c r="BU674" s="582"/>
      <c r="BV674" s="582"/>
      <c r="BW674" s="582"/>
      <c r="BX674" s="582"/>
      <c r="BY674" s="582"/>
      <c r="BZ674" s="582"/>
      <c r="CA674" s="582"/>
      <c r="CB674" s="582"/>
      <c r="CC674" s="582"/>
      <c r="CD674" s="582"/>
      <c r="CE674" s="582"/>
      <c r="CF674" s="582"/>
      <c r="CG674" s="582"/>
      <c r="CH674" s="582"/>
      <c r="CI674" s="636">
        <f>SUM(CI620:CZ673)</f>
        <v>16040813.760000002</v>
      </c>
      <c r="CJ674" s="637"/>
      <c r="CK674" s="637"/>
      <c r="CL674" s="637"/>
      <c r="CM674" s="637"/>
      <c r="CN674" s="637"/>
      <c r="CO674" s="637"/>
      <c r="CP674" s="637"/>
      <c r="CQ674" s="637"/>
      <c r="CR674" s="637"/>
      <c r="CS674" s="637"/>
      <c r="CT674" s="637"/>
      <c r="CU674" s="637"/>
      <c r="CV674" s="637"/>
      <c r="CW674" s="637"/>
      <c r="CX674" s="637"/>
      <c r="CY674" s="637"/>
      <c r="CZ674" s="638"/>
      <c r="DA674" s="243"/>
    </row>
    <row r="675" spans="1:105" s="16" customFormat="1" ht="15" hidden="1" customHeight="1" x14ac:dyDescent="0.3">
      <c r="A675" s="630"/>
      <c r="B675" s="631"/>
      <c r="C675" s="631"/>
      <c r="D675" s="631"/>
      <c r="E675" s="631"/>
      <c r="F675" s="631"/>
      <c r="G675" s="632"/>
      <c r="H675" s="584"/>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5"/>
      <c r="AL675" s="585"/>
      <c r="AM675" s="585"/>
      <c r="AN675" s="585"/>
      <c r="AO675" s="585"/>
      <c r="AP675" s="585"/>
      <c r="AQ675" s="585"/>
      <c r="AR675" s="585"/>
      <c r="AS675" s="585"/>
      <c r="AT675" s="585"/>
      <c r="AU675" s="585"/>
      <c r="AV675" s="585"/>
      <c r="AW675" s="585"/>
      <c r="AX675" s="585"/>
      <c r="AY675" s="585"/>
      <c r="AZ675" s="585"/>
      <c r="BA675" s="585"/>
      <c r="BB675" s="586"/>
      <c r="BC675" s="544"/>
      <c r="BD675" s="545"/>
      <c r="BE675" s="545"/>
      <c r="BF675" s="545"/>
      <c r="BG675" s="545"/>
      <c r="BH675" s="545"/>
      <c r="BI675" s="545"/>
      <c r="BJ675" s="545"/>
      <c r="BK675" s="545"/>
      <c r="BL675" s="545"/>
      <c r="BM675" s="545"/>
      <c r="BN675" s="545"/>
      <c r="BO675" s="545"/>
      <c r="BP675" s="545"/>
      <c r="BQ675" s="545"/>
      <c r="BR675" s="546"/>
      <c r="BS675" s="544"/>
      <c r="BT675" s="545"/>
      <c r="BU675" s="545"/>
      <c r="BV675" s="545"/>
      <c r="BW675" s="545"/>
      <c r="BX675" s="545"/>
      <c r="BY675" s="545"/>
      <c r="BZ675" s="545"/>
      <c r="CA675" s="545"/>
      <c r="CB675" s="545"/>
      <c r="CC675" s="545"/>
      <c r="CD675" s="545"/>
      <c r="CE675" s="545"/>
      <c r="CF675" s="545"/>
      <c r="CG675" s="545"/>
      <c r="CH675" s="546"/>
      <c r="CI675" s="544"/>
      <c r="CJ675" s="545"/>
      <c r="CK675" s="545"/>
      <c r="CL675" s="545"/>
      <c r="CM675" s="545"/>
      <c r="CN675" s="545"/>
      <c r="CO675" s="545"/>
      <c r="CP675" s="545"/>
      <c r="CQ675" s="545"/>
      <c r="CR675" s="545"/>
      <c r="CS675" s="545"/>
      <c r="CT675" s="545"/>
      <c r="CU675" s="545"/>
      <c r="CV675" s="545"/>
      <c r="CW675" s="545"/>
      <c r="CX675" s="545"/>
      <c r="CY675" s="545"/>
      <c r="CZ675" s="546"/>
      <c r="DA675" s="214"/>
    </row>
    <row r="676" spans="1:105" s="16" customFormat="1" ht="15" hidden="1" customHeight="1" x14ac:dyDescent="0.3">
      <c r="A676" s="633" t="s">
        <v>292</v>
      </c>
      <c r="B676" s="634"/>
      <c r="C676" s="634"/>
      <c r="D676" s="634"/>
      <c r="E676" s="634"/>
      <c r="F676" s="634"/>
      <c r="G676" s="634"/>
      <c r="H676" s="634"/>
      <c r="I676" s="634"/>
      <c r="J676" s="634"/>
      <c r="K676" s="634"/>
      <c r="L676" s="634"/>
      <c r="M676" s="634"/>
      <c r="N676" s="634"/>
      <c r="O676" s="634"/>
      <c r="P676" s="634"/>
      <c r="Q676" s="634"/>
      <c r="R676" s="634"/>
      <c r="S676" s="634"/>
      <c r="T676" s="634"/>
      <c r="U676" s="634"/>
      <c r="V676" s="634"/>
      <c r="W676" s="634"/>
      <c r="X676" s="634"/>
      <c r="Y676" s="634"/>
      <c r="Z676" s="634"/>
      <c r="AA676" s="634"/>
      <c r="AB676" s="634"/>
      <c r="AC676" s="634"/>
      <c r="AD676" s="634"/>
      <c r="AE676" s="634"/>
      <c r="AF676" s="634"/>
      <c r="AG676" s="634"/>
      <c r="AH676" s="634"/>
      <c r="AI676" s="634"/>
      <c r="AJ676" s="634"/>
      <c r="AK676" s="634"/>
      <c r="AL676" s="634"/>
      <c r="AM676" s="634"/>
      <c r="AN676" s="634"/>
      <c r="AO676" s="634"/>
      <c r="AP676" s="634"/>
      <c r="AQ676" s="634"/>
      <c r="AR676" s="634"/>
      <c r="AS676" s="634"/>
      <c r="AT676" s="634"/>
      <c r="AU676" s="634"/>
      <c r="AV676" s="634"/>
      <c r="AW676" s="634"/>
      <c r="AX676" s="634"/>
      <c r="AY676" s="634"/>
      <c r="AZ676" s="634"/>
      <c r="BA676" s="634"/>
      <c r="BB676" s="635"/>
      <c r="BC676" s="544" t="s">
        <v>4</v>
      </c>
      <c r="BD676" s="545"/>
      <c r="BE676" s="545"/>
      <c r="BF676" s="545"/>
      <c r="BG676" s="545"/>
      <c r="BH676" s="545"/>
      <c r="BI676" s="545"/>
      <c r="BJ676" s="545"/>
      <c r="BK676" s="545"/>
      <c r="BL676" s="545"/>
      <c r="BM676" s="545"/>
      <c r="BN676" s="545"/>
      <c r="BO676" s="545"/>
      <c r="BP676" s="545"/>
      <c r="BQ676" s="545"/>
      <c r="BR676" s="546"/>
      <c r="BS676" s="544" t="s">
        <v>4</v>
      </c>
      <c r="BT676" s="545"/>
      <c r="BU676" s="545"/>
      <c r="BV676" s="545"/>
      <c r="BW676" s="545"/>
      <c r="BX676" s="545"/>
      <c r="BY676" s="545"/>
      <c r="BZ676" s="545"/>
      <c r="CA676" s="545"/>
      <c r="CB676" s="545"/>
      <c r="CC676" s="545"/>
      <c r="CD676" s="545"/>
      <c r="CE676" s="545"/>
      <c r="CF676" s="545"/>
      <c r="CG676" s="545"/>
      <c r="CH676" s="546"/>
      <c r="CI676" s="544"/>
      <c r="CJ676" s="545"/>
      <c r="CK676" s="545"/>
      <c r="CL676" s="545"/>
      <c r="CM676" s="545"/>
      <c r="CN676" s="545"/>
      <c r="CO676" s="545"/>
      <c r="CP676" s="545"/>
      <c r="CQ676" s="545"/>
      <c r="CR676" s="545"/>
      <c r="CS676" s="545"/>
      <c r="CT676" s="545"/>
      <c r="CU676" s="545"/>
      <c r="CV676" s="545"/>
      <c r="CW676" s="545"/>
      <c r="CX676" s="545"/>
      <c r="CY676" s="545"/>
      <c r="CZ676" s="546"/>
      <c r="DA676" s="214"/>
    </row>
    <row r="677" spans="1:105" s="16" customFormat="1" ht="15" hidden="1" customHeight="1" x14ac:dyDescent="0.3">
      <c r="A677" s="648" t="s">
        <v>258</v>
      </c>
      <c r="B677" s="649"/>
      <c r="C677" s="649"/>
      <c r="D677" s="64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49"/>
      <c r="AE677" s="649"/>
      <c r="AF677" s="649"/>
      <c r="AG677" s="649"/>
      <c r="AH677" s="649"/>
      <c r="AI677" s="649"/>
      <c r="AJ677" s="649"/>
      <c r="AK677" s="649"/>
      <c r="AL677" s="649"/>
      <c r="AM677" s="649"/>
      <c r="AN677" s="649"/>
      <c r="AO677" s="649"/>
      <c r="AP677" s="649"/>
      <c r="AQ677" s="649"/>
      <c r="AR677" s="649"/>
      <c r="AS677" s="649"/>
      <c r="AT677" s="649"/>
      <c r="AU677" s="649"/>
      <c r="AV677" s="649"/>
      <c r="AW677" s="649"/>
      <c r="AX677" s="649"/>
      <c r="AY677" s="649"/>
      <c r="AZ677" s="649"/>
      <c r="BA677" s="649"/>
      <c r="BB677" s="649"/>
      <c r="BC677" s="649"/>
      <c r="BD677" s="649"/>
      <c r="BE677" s="649"/>
      <c r="BF677" s="649"/>
      <c r="BG677" s="649"/>
      <c r="BH677" s="649"/>
      <c r="BI677" s="649"/>
      <c r="BJ677" s="649"/>
      <c r="BK677" s="649"/>
      <c r="BL677" s="649"/>
      <c r="BM677" s="649"/>
      <c r="BN677" s="649"/>
      <c r="BO677" s="649"/>
      <c r="BP677" s="649"/>
      <c r="BQ677" s="649"/>
      <c r="BR677" s="649"/>
      <c r="BS677" s="649"/>
      <c r="BT677" s="649"/>
      <c r="BU677" s="649"/>
      <c r="BV677" s="649"/>
      <c r="BW677" s="649"/>
      <c r="BX677" s="649"/>
      <c r="BY677" s="649"/>
      <c r="BZ677" s="649"/>
      <c r="CA677" s="649"/>
      <c r="CB677" s="649"/>
      <c r="CC677" s="649"/>
      <c r="CD677" s="649"/>
      <c r="CE677" s="649"/>
      <c r="CF677" s="649"/>
      <c r="CG677" s="649"/>
      <c r="CH677" s="649"/>
      <c r="CI677" s="649"/>
      <c r="CJ677" s="649"/>
      <c r="CK677" s="649"/>
      <c r="CL677" s="649"/>
      <c r="CM677" s="649"/>
      <c r="CN677" s="649"/>
      <c r="CO677" s="649"/>
      <c r="CP677" s="649"/>
      <c r="CQ677" s="649"/>
      <c r="CR677" s="649"/>
      <c r="CS677" s="649"/>
      <c r="CT677" s="649"/>
      <c r="CU677" s="649"/>
      <c r="CV677" s="649"/>
      <c r="CW677" s="649"/>
      <c r="CX677" s="649"/>
      <c r="CY677" s="649"/>
      <c r="CZ677" s="649"/>
      <c r="DA677" s="214"/>
    </row>
    <row r="678" spans="1:105" s="16" customFormat="1" ht="15" hidden="1" customHeight="1" x14ac:dyDescent="0.3">
      <c r="A678" s="630"/>
      <c r="B678" s="631"/>
      <c r="C678" s="631"/>
      <c r="D678" s="631"/>
      <c r="E678" s="631"/>
      <c r="F678" s="631"/>
      <c r="G678" s="632"/>
      <c r="H678" s="584"/>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5"/>
      <c r="AL678" s="585"/>
      <c r="AM678" s="585"/>
      <c r="AN678" s="585"/>
      <c r="AO678" s="585"/>
      <c r="AP678" s="585"/>
      <c r="AQ678" s="585"/>
      <c r="AR678" s="585"/>
      <c r="AS678" s="585"/>
      <c r="AT678" s="585"/>
      <c r="AU678" s="585"/>
      <c r="AV678" s="585"/>
      <c r="AW678" s="585"/>
      <c r="AX678" s="585"/>
      <c r="AY678" s="585"/>
      <c r="AZ678" s="585"/>
      <c r="BA678" s="585"/>
      <c r="BB678" s="586"/>
      <c r="BC678" s="544"/>
      <c r="BD678" s="545"/>
      <c r="BE678" s="545"/>
      <c r="BF678" s="545"/>
      <c r="BG678" s="545"/>
      <c r="BH678" s="545"/>
      <c r="BI678" s="545"/>
      <c r="BJ678" s="545"/>
      <c r="BK678" s="545"/>
      <c r="BL678" s="545"/>
      <c r="BM678" s="545"/>
      <c r="BN678" s="545"/>
      <c r="BO678" s="545"/>
      <c r="BP678" s="545"/>
      <c r="BQ678" s="545"/>
      <c r="BR678" s="546"/>
      <c r="BS678" s="544"/>
      <c r="BT678" s="545"/>
      <c r="BU678" s="545"/>
      <c r="BV678" s="545"/>
      <c r="BW678" s="545"/>
      <c r="BX678" s="545"/>
      <c r="BY678" s="545"/>
      <c r="BZ678" s="545"/>
      <c r="CA678" s="545"/>
      <c r="CB678" s="545"/>
      <c r="CC678" s="545"/>
      <c r="CD678" s="545"/>
      <c r="CE678" s="545"/>
      <c r="CF678" s="545"/>
      <c r="CG678" s="545"/>
      <c r="CH678" s="546"/>
      <c r="CI678" s="544"/>
      <c r="CJ678" s="545"/>
      <c r="CK678" s="545"/>
      <c r="CL678" s="545"/>
      <c r="CM678" s="545"/>
      <c r="CN678" s="545"/>
      <c r="CO678" s="545"/>
      <c r="CP678" s="545"/>
      <c r="CQ678" s="545"/>
      <c r="CR678" s="545"/>
      <c r="CS678" s="545"/>
      <c r="CT678" s="545"/>
      <c r="CU678" s="545"/>
      <c r="CV678" s="545"/>
      <c r="CW678" s="545"/>
      <c r="CX678" s="545"/>
      <c r="CY678" s="545"/>
      <c r="CZ678" s="546"/>
      <c r="DA678" s="214"/>
    </row>
    <row r="679" spans="1:105" s="16" customFormat="1" ht="15" hidden="1" customHeight="1" x14ac:dyDescent="0.3">
      <c r="A679" s="633" t="s">
        <v>292</v>
      </c>
      <c r="B679" s="634"/>
      <c r="C679" s="634"/>
      <c r="D679" s="634"/>
      <c r="E679" s="634"/>
      <c r="F679" s="634"/>
      <c r="G679" s="634"/>
      <c r="H679" s="634"/>
      <c r="I679" s="634"/>
      <c r="J679" s="634"/>
      <c r="K679" s="634"/>
      <c r="L679" s="634"/>
      <c r="M679" s="634"/>
      <c r="N679" s="634"/>
      <c r="O679" s="634"/>
      <c r="P679" s="634"/>
      <c r="Q679" s="634"/>
      <c r="R679" s="634"/>
      <c r="S679" s="634"/>
      <c r="T679" s="634"/>
      <c r="U679" s="634"/>
      <c r="V679" s="634"/>
      <c r="W679" s="634"/>
      <c r="X679" s="634"/>
      <c r="Y679" s="634"/>
      <c r="Z679" s="634"/>
      <c r="AA679" s="634"/>
      <c r="AB679" s="634"/>
      <c r="AC679" s="634"/>
      <c r="AD679" s="634"/>
      <c r="AE679" s="634"/>
      <c r="AF679" s="634"/>
      <c r="AG679" s="634"/>
      <c r="AH679" s="634"/>
      <c r="AI679" s="634"/>
      <c r="AJ679" s="634"/>
      <c r="AK679" s="634"/>
      <c r="AL679" s="634"/>
      <c r="AM679" s="634"/>
      <c r="AN679" s="634"/>
      <c r="AO679" s="634"/>
      <c r="AP679" s="634"/>
      <c r="AQ679" s="634"/>
      <c r="AR679" s="634"/>
      <c r="AS679" s="634"/>
      <c r="AT679" s="634"/>
      <c r="AU679" s="634"/>
      <c r="AV679" s="634"/>
      <c r="AW679" s="634"/>
      <c r="AX679" s="634"/>
      <c r="AY679" s="634"/>
      <c r="AZ679" s="634"/>
      <c r="BA679" s="634"/>
      <c r="BB679" s="635"/>
      <c r="BC679" s="544" t="s">
        <v>4</v>
      </c>
      <c r="BD679" s="545"/>
      <c r="BE679" s="545"/>
      <c r="BF679" s="545"/>
      <c r="BG679" s="545"/>
      <c r="BH679" s="545"/>
      <c r="BI679" s="545"/>
      <c r="BJ679" s="545"/>
      <c r="BK679" s="545"/>
      <c r="BL679" s="545"/>
      <c r="BM679" s="545"/>
      <c r="BN679" s="545"/>
      <c r="BO679" s="545"/>
      <c r="BP679" s="545"/>
      <c r="BQ679" s="545"/>
      <c r="BR679" s="546"/>
      <c r="BS679" s="544" t="s">
        <v>4</v>
      </c>
      <c r="BT679" s="545"/>
      <c r="BU679" s="545"/>
      <c r="BV679" s="545"/>
      <c r="BW679" s="545"/>
      <c r="BX679" s="545"/>
      <c r="BY679" s="545"/>
      <c r="BZ679" s="545"/>
      <c r="CA679" s="545"/>
      <c r="CB679" s="545"/>
      <c r="CC679" s="545"/>
      <c r="CD679" s="545"/>
      <c r="CE679" s="545"/>
      <c r="CF679" s="545"/>
      <c r="CG679" s="545"/>
      <c r="CH679" s="546"/>
      <c r="CI679" s="544"/>
      <c r="CJ679" s="545"/>
      <c r="CK679" s="545"/>
      <c r="CL679" s="545"/>
      <c r="CM679" s="545"/>
      <c r="CN679" s="545"/>
      <c r="CO679" s="545"/>
      <c r="CP679" s="545"/>
      <c r="CQ679" s="545"/>
      <c r="CR679" s="545"/>
      <c r="CS679" s="545"/>
      <c r="CT679" s="545"/>
      <c r="CU679" s="545"/>
      <c r="CV679" s="545"/>
      <c r="CW679" s="545"/>
      <c r="CX679" s="545"/>
      <c r="CY679" s="545"/>
      <c r="CZ679" s="546"/>
      <c r="DA679" s="214"/>
    </row>
    <row r="680" spans="1:105" s="16" customFormat="1" ht="15" hidden="1" customHeight="1" x14ac:dyDescent="0.3">
      <c r="A680" s="553" t="s">
        <v>56</v>
      </c>
      <c r="B680" s="554"/>
      <c r="C680" s="554"/>
      <c r="D680" s="554"/>
      <c r="E680" s="554"/>
      <c r="F680" s="554"/>
      <c r="G680" s="554"/>
      <c r="H680" s="554"/>
      <c r="I680" s="554"/>
      <c r="J680" s="554"/>
      <c r="K680" s="554"/>
      <c r="L680" s="554"/>
      <c r="M680" s="554"/>
      <c r="N680" s="554"/>
      <c r="O680" s="554"/>
      <c r="P680" s="554"/>
      <c r="Q680" s="554"/>
      <c r="R680" s="554"/>
      <c r="S680" s="554"/>
      <c r="T680" s="554"/>
      <c r="U680" s="554"/>
      <c r="V680" s="554"/>
      <c r="W680" s="554"/>
      <c r="X680" s="554"/>
      <c r="Y680" s="554"/>
      <c r="Z680" s="554"/>
      <c r="AA680" s="554"/>
      <c r="AB680" s="554"/>
      <c r="AC680" s="554"/>
      <c r="AD680" s="554"/>
      <c r="AE680" s="554"/>
      <c r="AF680" s="554"/>
      <c r="AG680" s="554"/>
      <c r="AH680" s="554"/>
      <c r="AI680" s="554"/>
      <c r="AJ680" s="554"/>
      <c r="AK680" s="554"/>
      <c r="AL680" s="554"/>
      <c r="AM680" s="554"/>
      <c r="AN680" s="554"/>
      <c r="AO680" s="554"/>
      <c r="AP680" s="554"/>
      <c r="AQ680" s="554"/>
      <c r="AR680" s="554"/>
      <c r="AS680" s="554"/>
      <c r="AT680" s="554"/>
      <c r="AU680" s="554"/>
      <c r="AV680" s="554"/>
      <c r="AW680" s="554"/>
      <c r="AX680" s="554"/>
      <c r="AY680" s="554"/>
      <c r="AZ680" s="554"/>
      <c r="BA680" s="554"/>
      <c r="BB680" s="555"/>
      <c r="BC680" s="544" t="s">
        <v>4</v>
      </c>
      <c r="BD680" s="545"/>
      <c r="BE680" s="545"/>
      <c r="BF680" s="545"/>
      <c r="BG680" s="545"/>
      <c r="BH680" s="545"/>
      <c r="BI680" s="545"/>
      <c r="BJ680" s="545"/>
      <c r="BK680" s="545"/>
      <c r="BL680" s="545"/>
      <c r="BM680" s="545"/>
      <c r="BN680" s="545"/>
      <c r="BO680" s="545"/>
      <c r="BP680" s="545"/>
      <c r="BQ680" s="545"/>
      <c r="BR680" s="546"/>
      <c r="BS680" s="544" t="s">
        <v>4</v>
      </c>
      <c r="BT680" s="545"/>
      <c r="BU680" s="545"/>
      <c r="BV680" s="545"/>
      <c r="BW680" s="545"/>
      <c r="BX680" s="545"/>
      <c r="BY680" s="545"/>
      <c r="BZ680" s="545"/>
      <c r="CA680" s="545"/>
      <c r="CB680" s="545"/>
      <c r="CC680" s="545"/>
      <c r="CD680" s="545"/>
      <c r="CE680" s="545"/>
      <c r="CF680" s="545"/>
      <c r="CG680" s="545"/>
      <c r="CH680" s="546"/>
      <c r="CI680" s="544"/>
      <c r="CJ680" s="545"/>
      <c r="CK680" s="545"/>
      <c r="CL680" s="545"/>
      <c r="CM680" s="545"/>
      <c r="CN680" s="545"/>
      <c r="CO680" s="545"/>
      <c r="CP680" s="545"/>
      <c r="CQ680" s="545"/>
      <c r="CR680" s="545"/>
      <c r="CS680" s="545"/>
      <c r="CT680" s="545"/>
      <c r="CU680" s="545"/>
      <c r="CV680" s="545"/>
      <c r="CW680" s="545"/>
      <c r="CX680" s="545"/>
      <c r="CY680" s="545"/>
      <c r="CZ680" s="546"/>
      <c r="DA680" s="214"/>
    </row>
    <row r="681" spans="1:105" ht="10.5" hidden="1" customHeight="1" x14ac:dyDescent="0.25"/>
    <row r="682" spans="1:105" ht="17.399999999999999" customHeight="1" x14ac:dyDescent="0.25">
      <c r="A682" s="553" t="s">
        <v>56</v>
      </c>
      <c r="B682" s="554"/>
      <c r="C682" s="554"/>
      <c r="D682" s="554"/>
      <c r="E682" s="554"/>
      <c r="F682" s="554"/>
      <c r="G682" s="554"/>
      <c r="H682" s="554"/>
      <c r="I682" s="554"/>
      <c r="J682" s="554"/>
      <c r="K682" s="554"/>
      <c r="L682" s="554"/>
      <c r="M682" s="554"/>
      <c r="N682" s="554"/>
      <c r="O682" s="554"/>
      <c r="P682" s="554"/>
      <c r="Q682" s="554"/>
      <c r="R682" s="554"/>
      <c r="S682" s="554"/>
      <c r="T682" s="554"/>
      <c r="U682" s="554"/>
      <c r="V682" s="554"/>
      <c r="W682" s="554"/>
      <c r="X682" s="554"/>
      <c r="Y682" s="554"/>
      <c r="Z682" s="554"/>
      <c r="AA682" s="554"/>
      <c r="AB682" s="554"/>
      <c r="AC682" s="554"/>
      <c r="AD682" s="554"/>
      <c r="AE682" s="554"/>
      <c r="AF682" s="554"/>
      <c r="AG682" s="554"/>
      <c r="AH682" s="554"/>
      <c r="AI682" s="554"/>
      <c r="AJ682" s="554"/>
      <c r="AK682" s="554"/>
      <c r="AL682" s="554"/>
      <c r="AM682" s="554"/>
      <c r="AN682" s="554"/>
      <c r="AO682" s="554"/>
      <c r="AP682" s="554"/>
      <c r="AQ682" s="554"/>
      <c r="AR682" s="554"/>
      <c r="AS682" s="554"/>
      <c r="AT682" s="554"/>
      <c r="AU682" s="554"/>
      <c r="AV682" s="554"/>
      <c r="AW682" s="554"/>
      <c r="AX682" s="554"/>
      <c r="AY682" s="554"/>
      <c r="AZ682" s="554"/>
      <c r="BA682" s="554"/>
      <c r="BB682" s="555"/>
      <c r="BC682" s="582" t="s">
        <v>4</v>
      </c>
      <c r="BD682" s="582"/>
      <c r="BE682" s="582"/>
      <c r="BF682" s="582"/>
      <c r="BG682" s="582"/>
      <c r="BH682" s="582"/>
      <c r="BI682" s="582"/>
      <c r="BJ682" s="582"/>
      <c r="BK682" s="582"/>
      <c r="BL682" s="582"/>
      <c r="BM682" s="582"/>
      <c r="BN682" s="582"/>
      <c r="BO682" s="582"/>
      <c r="BP682" s="582"/>
      <c r="BQ682" s="582"/>
      <c r="BR682" s="582"/>
      <c r="BS682" s="582" t="s">
        <v>4</v>
      </c>
      <c r="BT682" s="582"/>
      <c r="BU682" s="582"/>
      <c r="BV682" s="582"/>
      <c r="BW682" s="582"/>
      <c r="BX682" s="582"/>
      <c r="BY682" s="582"/>
      <c r="BZ682" s="582"/>
      <c r="CA682" s="582"/>
      <c r="CB682" s="582"/>
      <c r="CC682" s="582"/>
      <c r="CD682" s="582"/>
      <c r="CE682" s="582"/>
      <c r="CF682" s="582"/>
      <c r="CG682" s="582"/>
      <c r="CH682" s="582"/>
      <c r="CI682" s="611">
        <f>CI593+CI674+CI618</f>
        <v>16571542.760000002</v>
      </c>
      <c r="CJ682" s="560"/>
      <c r="CK682" s="560"/>
      <c r="CL682" s="560"/>
      <c r="CM682" s="560"/>
      <c r="CN682" s="560"/>
      <c r="CO682" s="560"/>
      <c r="CP682" s="560"/>
      <c r="CQ682" s="560"/>
      <c r="CR682" s="560"/>
      <c r="CS682" s="560"/>
      <c r="CT682" s="560"/>
      <c r="CU682" s="560"/>
      <c r="CV682" s="560"/>
      <c r="CW682" s="560"/>
      <c r="CX682" s="560"/>
      <c r="CY682" s="560"/>
      <c r="CZ682" s="560"/>
      <c r="DA682" s="243"/>
    </row>
    <row r="683" spans="1:105" s="20" customFormat="1" ht="21" customHeight="1" x14ac:dyDescent="0.25">
      <c r="A683" s="524" t="s">
        <v>362</v>
      </c>
      <c r="B683" s="524"/>
      <c r="C683" s="524"/>
      <c r="D683" s="524"/>
      <c r="E683" s="524"/>
      <c r="F683" s="524"/>
      <c r="G683" s="524"/>
      <c r="H683" s="524"/>
      <c r="I683" s="524"/>
      <c r="J683" s="524"/>
      <c r="K683" s="524"/>
      <c r="L683" s="524"/>
      <c r="M683" s="524"/>
      <c r="N683" s="524"/>
      <c r="O683" s="524"/>
      <c r="P683" s="524"/>
      <c r="Q683" s="524"/>
      <c r="R683" s="524"/>
      <c r="S683" s="524"/>
      <c r="T683" s="524"/>
      <c r="U683" s="524"/>
      <c r="V683" s="524"/>
      <c r="W683" s="524"/>
      <c r="X683" s="524"/>
      <c r="Y683" s="524"/>
      <c r="Z683" s="524"/>
      <c r="AA683" s="524"/>
      <c r="AB683" s="524"/>
      <c r="AC683" s="524"/>
      <c r="AD683" s="524"/>
      <c r="AE683" s="524"/>
      <c r="AF683" s="524"/>
      <c r="AG683" s="524"/>
      <c r="AH683" s="524"/>
      <c r="AI683" s="524"/>
      <c r="AJ683" s="524"/>
      <c r="AK683" s="524"/>
      <c r="AL683" s="524"/>
      <c r="AM683" s="524"/>
      <c r="AN683" s="524"/>
      <c r="AO683" s="524"/>
      <c r="AP683" s="524"/>
      <c r="AQ683" s="524"/>
      <c r="AR683" s="524"/>
      <c r="AS683" s="524"/>
      <c r="AT683" s="524"/>
      <c r="AU683" s="524"/>
      <c r="AV683" s="524"/>
      <c r="AW683" s="524"/>
      <c r="AX683" s="524"/>
      <c r="AY683" s="524"/>
      <c r="AZ683" s="524"/>
      <c r="BA683" s="524"/>
      <c r="BB683" s="524"/>
      <c r="BC683" s="524"/>
      <c r="BD683" s="524"/>
      <c r="BE683" s="524"/>
      <c r="BF683" s="524"/>
      <c r="BG683" s="524"/>
      <c r="BH683" s="524"/>
      <c r="BI683" s="524"/>
      <c r="BJ683" s="524"/>
      <c r="BK683" s="524"/>
      <c r="BL683" s="524"/>
      <c r="BM683" s="524"/>
      <c r="BN683" s="524"/>
      <c r="BO683" s="524"/>
      <c r="BP683" s="524"/>
      <c r="BQ683" s="524"/>
      <c r="BR683" s="524"/>
      <c r="BS683" s="524"/>
      <c r="BT683" s="524"/>
      <c r="BU683" s="524"/>
      <c r="BV683" s="524"/>
      <c r="BW683" s="524"/>
      <c r="BX683" s="524"/>
      <c r="BY683" s="524"/>
      <c r="BZ683" s="524"/>
      <c r="CA683" s="524"/>
      <c r="CB683" s="524"/>
      <c r="CC683" s="524"/>
      <c r="CD683" s="524"/>
      <c r="CE683" s="524"/>
      <c r="CF683" s="524"/>
      <c r="CG683" s="524"/>
      <c r="CH683" s="524"/>
      <c r="CI683" s="524"/>
      <c r="CJ683" s="524"/>
      <c r="CK683" s="524"/>
      <c r="CL683" s="524"/>
      <c r="CM683" s="524"/>
      <c r="CN683" s="524"/>
      <c r="CO683" s="524"/>
      <c r="CP683" s="524"/>
      <c r="CQ683" s="524"/>
      <c r="CR683" s="524"/>
      <c r="CS683" s="524"/>
      <c r="CT683" s="524"/>
      <c r="CU683" s="524"/>
      <c r="CV683" s="524"/>
      <c r="CW683" s="524"/>
      <c r="CX683" s="524"/>
      <c r="CY683" s="524"/>
      <c r="CZ683" s="524"/>
    </row>
    <row r="684" spans="1:105" s="20" customFormat="1" ht="13.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43"/>
      <c r="BT684" s="43"/>
      <c r="BU684" s="43"/>
      <c r="BV684" s="43"/>
      <c r="BW684" s="43"/>
      <c r="BX684" s="43"/>
      <c r="BY684" s="43"/>
      <c r="BZ684" s="43"/>
      <c r="CA684" s="43"/>
      <c r="CB684" s="43"/>
      <c r="CC684" s="43"/>
      <c r="CD684" s="43"/>
      <c r="CE684" s="43"/>
      <c r="CF684" s="43"/>
      <c r="CG684" s="43"/>
      <c r="CH684" s="43"/>
      <c r="CI684" s="43"/>
      <c r="CJ684" s="43"/>
      <c r="CK684" s="43"/>
      <c r="CL684" s="43"/>
      <c r="CM684" s="43"/>
      <c r="CN684" s="43"/>
      <c r="CO684" s="43"/>
      <c r="CP684" s="43"/>
      <c r="CQ684" s="43"/>
      <c r="CR684" s="43"/>
      <c r="CS684" s="43"/>
      <c r="CT684" s="43"/>
      <c r="CU684" s="43"/>
      <c r="CV684" s="43"/>
      <c r="CW684" s="43"/>
      <c r="CX684" s="43"/>
      <c r="CY684" s="43"/>
      <c r="CZ684" s="43"/>
    </row>
    <row r="685" spans="1:105" s="20" customFormat="1" ht="14.25" customHeight="1" x14ac:dyDescent="0.25">
      <c r="A685" s="20" t="s">
        <v>47</v>
      </c>
      <c r="W685" s="595" t="s">
        <v>587</v>
      </c>
      <c r="X685" s="595"/>
      <c r="Y685" s="595"/>
      <c r="Z685" s="595"/>
      <c r="AA685" s="595"/>
      <c r="AB685" s="595"/>
      <c r="AC685" s="595"/>
      <c r="AD685" s="595"/>
      <c r="AE685" s="595"/>
      <c r="AF685" s="595"/>
      <c r="AG685" s="595"/>
      <c r="AH685" s="595"/>
      <c r="AI685" s="595"/>
      <c r="AJ685" s="595"/>
      <c r="AK685" s="595"/>
      <c r="AL685" s="595"/>
      <c r="AM685" s="595"/>
      <c r="AN685" s="595"/>
      <c r="AO685" s="595"/>
      <c r="AP685" s="595"/>
      <c r="AQ685" s="595"/>
      <c r="AR685" s="595"/>
      <c r="AS685" s="595"/>
      <c r="AT685" s="595"/>
      <c r="AU685" s="595"/>
      <c r="AV685" s="595"/>
      <c r="AW685" s="595"/>
      <c r="AX685" s="595"/>
      <c r="AY685" s="595"/>
      <c r="AZ685" s="595"/>
      <c r="BA685" s="595"/>
      <c r="BB685" s="595"/>
      <c r="BC685" s="595"/>
      <c r="BD685" s="595"/>
      <c r="BE685" s="595"/>
      <c r="BF685" s="595"/>
      <c r="BG685" s="595"/>
      <c r="BH685" s="595"/>
      <c r="BI685" s="595"/>
      <c r="BJ685" s="595"/>
      <c r="BK685" s="595"/>
      <c r="BL685" s="595"/>
      <c r="BM685" s="595"/>
      <c r="BN685" s="595"/>
      <c r="BO685" s="595"/>
      <c r="BP685" s="595"/>
      <c r="BQ685" s="595"/>
      <c r="BR685" s="595"/>
      <c r="BS685" s="595"/>
      <c r="BT685" s="595"/>
      <c r="BU685" s="595"/>
      <c r="BV685" s="595"/>
      <c r="BW685" s="595"/>
      <c r="BX685" s="595"/>
      <c r="BY685" s="595"/>
      <c r="BZ685" s="595"/>
      <c r="CA685" s="595"/>
      <c r="CB685" s="595"/>
      <c r="CC685" s="595"/>
      <c r="CD685" s="595"/>
      <c r="CE685" s="595"/>
      <c r="CF685" s="595"/>
      <c r="CG685" s="595"/>
      <c r="CH685" s="595"/>
      <c r="CI685" s="595"/>
      <c r="CJ685" s="595"/>
      <c r="CK685" s="595"/>
      <c r="CL685" s="595"/>
      <c r="CM685" s="595"/>
      <c r="CN685" s="595"/>
      <c r="CO685" s="595"/>
      <c r="CP685" s="595"/>
      <c r="CQ685" s="595"/>
      <c r="CR685" s="595"/>
      <c r="CS685" s="595"/>
      <c r="CT685" s="595"/>
      <c r="CU685" s="595"/>
      <c r="CV685" s="595"/>
      <c r="CW685" s="595"/>
      <c r="CX685" s="595"/>
      <c r="CY685" s="595"/>
      <c r="CZ685" s="595"/>
      <c r="DA685" s="230" t="s">
        <v>917</v>
      </c>
    </row>
    <row r="686" spans="1:105" s="20" customFormat="1" ht="13.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c r="BI686" s="43"/>
      <c r="BJ686" s="43"/>
      <c r="BK686" s="43"/>
      <c r="BL686" s="43"/>
      <c r="BM686" s="43"/>
      <c r="BN686" s="43"/>
      <c r="BO686" s="43"/>
      <c r="BP686" s="43"/>
      <c r="BQ686" s="43"/>
      <c r="BR686" s="43"/>
      <c r="BS686" s="43"/>
      <c r="BT686" s="43"/>
      <c r="BU686" s="43"/>
      <c r="BV686" s="43"/>
      <c r="BW686" s="43"/>
      <c r="BX686" s="43"/>
      <c r="BY686" s="43"/>
      <c r="BZ686" s="43"/>
      <c r="CA686" s="43"/>
      <c r="CB686" s="43"/>
      <c r="CC686" s="43"/>
      <c r="CD686" s="43"/>
      <c r="CE686" s="43"/>
      <c r="CF686" s="43"/>
      <c r="CG686" s="43"/>
      <c r="CH686" s="43"/>
      <c r="CI686" s="43"/>
      <c r="CJ686" s="43"/>
      <c r="CK686" s="43"/>
      <c r="CL686" s="43"/>
      <c r="CM686" s="43"/>
      <c r="CN686" s="43"/>
      <c r="CO686" s="43"/>
      <c r="CP686" s="43"/>
      <c r="CQ686" s="43"/>
      <c r="CR686" s="43"/>
      <c r="CS686" s="43"/>
      <c r="CT686" s="43"/>
      <c r="CU686" s="43"/>
      <c r="CV686" s="43"/>
      <c r="CW686" s="43"/>
      <c r="CX686" s="43"/>
      <c r="CY686" s="43"/>
      <c r="CZ686" s="43"/>
    </row>
    <row r="687" spans="1:105" s="18" customFormat="1" ht="45" customHeight="1" x14ac:dyDescent="0.3">
      <c r="A687" s="475" t="s">
        <v>49</v>
      </c>
      <c r="B687" s="476"/>
      <c r="C687" s="476"/>
      <c r="D687" s="476"/>
      <c r="E687" s="476"/>
      <c r="F687" s="476"/>
      <c r="G687" s="477"/>
      <c r="H687" s="475" t="s">
        <v>0</v>
      </c>
      <c r="I687" s="476"/>
      <c r="J687" s="476"/>
      <c r="K687" s="476"/>
      <c r="L687" s="476"/>
      <c r="M687" s="476"/>
      <c r="N687" s="476"/>
      <c r="O687" s="476"/>
      <c r="P687" s="476"/>
      <c r="Q687" s="476"/>
      <c r="R687" s="476"/>
      <c r="S687" s="476"/>
      <c r="T687" s="476"/>
      <c r="U687" s="476"/>
      <c r="V687" s="476"/>
      <c r="W687" s="476"/>
      <c r="X687" s="476"/>
      <c r="Y687" s="476"/>
      <c r="Z687" s="476"/>
      <c r="AA687" s="476"/>
      <c r="AB687" s="476"/>
      <c r="AC687" s="476"/>
      <c r="AD687" s="476"/>
      <c r="AE687" s="476"/>
      <c r="AF687" s="476"/>
      <c r="AG687" s="476"/>
      <c r="AH687" s="476"/>
      <c r="AI687" s="476"/>
      <c r="AJ687" s="476"/>
      <c r="AK687" s="476"/>
      <c r="AL687" s="476"/>
      <c r="AM687" s="476"/>
      <c r="AN687" s="476"/>
      <c r="AO687" s="476"/>
      <c r="AP687" s="476"/>
      <c r="AQ687" s="476"/>
      <c r="AR687" s="476"/>
      <c r="AS687" s="476"/>
      <c r="AT687" s="477"/>
      <c r="AU687" s="475" t="s">
        <v>196</v>
      </c>
      <c r="AV687" s="476"/>
      <c r="AW687" s="476"/>
      <c r="AX687" s="476"/>
      <c r="AY687" s="476"/>
      <c r="AZ687" s="476"/>
      <c r="BA687" s="476"/>
      <c r="BB687" s="477"/>
      <c r="BC687" s="475" t="s">
        <v>91</v>
      </c>
      <c r="BD687" s="476"/>
      <c r="BE687" s="476"/>
      <c r="BF687" s="476"/>
      <c r="BG687" s="476"/>
      <c r="BH687" s="476"/>
      <c r="BI687" s="476"/>
      <c r="BJ687" s="476"/>
      <c r="BK687" s="476"/>
      <c r="BL687" s="476"/>
      <c r="BM687" s="476"/>
      <c r="BN687" s="476"/>
      <c r="BO687" s="476"/>
      <c r="BP687" s="476"/>
      <c r="BQ687" s="476"/>
      <c r="BR687" s="477"/>
      <c r="BS687" s="475" t="s">
        <v>96</v>
      </c>
      <c r="BT687" s="476"/>
      <c r="BU687" s="476"/>
      <c r="BV687" s="476"/>
      <c r="BW687" s="476"/>
      <c r="BX687" s="476"/>
      <c r="BY687" s="476"/>
      <c r="BZ687" s="476"/>
      <c r="CA687" s="476"/>
      <c r="CB687" s="476"/>
      <c r="CC687" s="476"/>
      <c r="CD687" s="476"/>
      <c r="CE687" s="476"/>
      <c r="CF687" s="476"/>
      <c r="CG687" s="476"/>
      <c r="CH687" s="477"/>
      <c r="CI687" s="475" t="s">
        <v>97</v>
      </c>
      <c r="CJ687" s="476"/>
      <c r="CK687" s="476"/>
      <c r="CL687" s="476"/>
      <c r="CM687" s="476"/>
      <c r="CN687" s="476"/>
      <c r="CO687" s="476"/>
      <c r="CP687" s="476"/>
      <c r="CQ687" s="476"/>
      <c r="CR687" s="476"/>
      <c r="CS687" s="476"/>
      <c r="CT687" s="476"/>
      <c r="CU687" s="476"/>
      <c r="CV687" s="476"/>
      <c r="CW687" s="476"/>
      <c r="CX687" s="476"/>
      <c r="CY687" s="476"/>
      <c r="CZ687" s="477"/>
      <c r="DA687" s="218"/>
    </row>
    <row r="688" spans="1:105" s="15" customFormat="1" ht="12.75" customHeight="1" x14ac:dyDescent="0.3">
      <c r="A688" s="661">
        <v>1</v>
      </c>
      <c r="B688" s="662"/>
      <c r="C688" s="662"/>
      <c r="D688" s="662"/>
      <c r="E688" s="662"/>
      <c r="F688" s="662"/>
      <c r="G688" s="663"/>
      <c r="H688" s="661">
        <v>2</v>
      </c>
      <c r="I688" s="662"/>
      <c r="J688" s="662"/>
      <c r="K688" s="662"/>
      <c r="L688" s="662"/>
      <c r="M688" s="662"/>
      <c r="N688" s="662"/>
      <c r="O688" s="662"/>
      <c r="P688" s="662"/>
      <c r="Q688" s="662"/>
      <c r="R688" s="662"/>
      <c r="S688" s="662"/>
      <c r="T688" s="662"/>
      <c r="U688" s="662"/>
      <c r="V688" s="662"/>
      <c r="W688" s="662"/>
      <c r="X688" s="662"/>
      <c r="Y688" s="662"/>
      <c r="Z688" s="662"/>
      <c r="AA688" s="662"/>
      <c r="AB688" s="662"/>
      <c r="AC688" s="662"/>
      <c r="AD688" s="662"/>
      <c r="AE688" s="662"/>
      <c r="AF688" s="662"/>
      <c r="AG688" s="662"/>
      <c r="AH688" s="662"/>
      <c r="AI688" s="662"/>
      <c r="AJ688" s="662"/>
      <c r="AK688" s="662"/>
      <c r="AL688" s="662"/>
      <c r="AM688" s="662"/>
      <c r="AN688" s="662"/>
      <c r="AO688" s="662"/>
      <c r="AP688" s="662"/>
      <c r="AQ688" s="662"/>
      <c r="AR688" s="662"/>
      <c r="AS688" s="662"/>
      <c r="AT688" s="663"/>
      <c r="AU688" s="661">
        <v>3</v>
      </c>
      <c r="AV688" s="662"/>
      <c r="AW688" s="662"/>
      <c r="AX688" s="662"/>
      <c r="AY688" s="662"/>
      <c r="AZ688" s="662"/>
      <c r="BA688" s="662"/>
      <c r="BB688" s="663"/>
      <c r="BC688" s="661">
        <v>4</v>
      </c>
      <c r="BD688" s="662"/>
      <c r="BE688" s="662"/>
      <c r="BF688" s="662"/>
      <c r="BG688" s="662"/>
      <c r="BH688" s="662"/>
      <c r="BI688" s="662"/>
      <c r="BJ688" s="662"/>
      <c r="BK688" s="662"/>
      <c r="BL688" s="662"/>
      <c r="BM688" s="662"/>
      <c r="BN688" s="662"/>
      <c r="BO688" s="662"/>
      <c r="BP688" s="662"/>
      <c r="BQ688" s="662"/>
      <c r="BR688" s="663"/>
      <c r="BS688" s="661">
        <v>5</v>
      </c>
      <c r="BT688" s="662"/>
      <c r="BU688" s="662"/>
      <c r="BV688" s="662"/>
      <c r="BW688" s="662"/>
      <c r="BX688" s="662"/>
      <c r="BY688" s="662"/>
      <c r="BZ688" s="662"/>
      <c r="CA688" s="662"/>
      <c r="CB688" s="662"/>
      <c r="CC688" s="662"/>
      <c r="CD688" s="662"/>
      <c r="CE688" s="662"/>
      <c r="CF688" s="662"/>
      <c r="CG688" s="662"/>
      <c r="CH688" s="663"/>
      <c r="CI688" s="661">
        <v>6</v>
      </c>
      <c r="CJ688" s="662"/>
      <c r="CK688" s="662"/>
      <c r="CL688" s="662"/>
      <c r="CM688" s="662"/>
      <c r="CN688" s="662"/>
      <c r="CO688" s="662"/>
      <c r="CP688" s="662"/>
      <c r="CQ688" s="662"/>
      <c r="CR688" s="662"/>
      <c r="CS688" s="662"/>
      <c r="CT688" s="662"/>
      <c r="CU688" s="662"/>
      <c r="CV688" s="662"/>
      <c r="CW688" s="662"/>
      <c r="CX688" s="662"/>
      <c r="CY688" s="662"/>
      <c r="CZ688" s="663"/>
      <c r="DA688" s="219"/>
    </row>
    <row r="689" spans="1:105" s="16" customFormat="1" ht="15" customHeight="1" x14ac:dyDescent="0.3">
      <c r="A689" s="648" t="s">
        <v>569</v>
      </c>
      <c r="B689" s="649"/>
      <c r="C689" s="649"/>
      <c r="D689" s="649"/>
      <c r="E689" s="649"/>
      <c r="F689" s="649"/>
      <c r="G689" s="649"/>
      <c r="H689" s="649"/>
      <c r="I689" s="649"/>
      <c r="J689" s="649"/>
      <c r="K689" s="649"/>
      <c r="L689" s="649"/>
      <c r="M689" s="649"/>
      <c r="N689" s="649"/>
      <c r="O689" s="649"/>
      <c r="P689" s="649"/>
      <c r="Q689" s="649"/>
      <c r="R689" s="649"/>
      <c r="S689" s="649"/>
      <c r="T689" s="649"/>
      <c r="U689" s="649"/>
      <c r="V689" s="649"/>
      <c r="W689" s="649"/>
      <c r="X689" s="649"/>
      <c r="Y689" s="649"/>
      <c r="Z689" s="649"/>
      <c r="AA689" s="649"/>
      <c r="AB689" s="649"/>
      <c r="AC689" s="649"/>
      <c r="AD689" s="649"/>
      <c r="AE689" s="649"/>
      <c r="AF689" s="649"/>
      <c r="AG689" s="649"/>
      <c r="AH689" s="649"/>
      <c r="AI689" s="649"/>
      <c r="AJ689" s="649"/>
      <c r="AK689" s="649"/>
      <c r="AL689" s="649"/>
      <c r="AM689" s="649"/>
      <c r="AN689" s="649"/>
      <c r="AO689" s="649"/>
      <c r="AP689" s="649"/>
      <c r="AQ689" s="649"/>
      <c r="AR689" s="649"/>
      <c r="AS689" s="649"/>
      <c r="AT689" s="649"/>
      <c r="AU689" s="649"/>
      <c r="AV689" s="649"/>
      <c r="AW689" s="649"/>
      <c r="AX689" s="649"/>
      <c r="AY689" s="649"/>
      <c r="AZ689" s="649"/>
      <c r="BA689" s="649"/>
      <c r="BB689" s="649"/>
      <c r="BC689" s="649"/>
      <c r="BD689" s="649"/>
      <c r="BE689" s="649"/>
      <c r="BF689" s="649"/>
      <c r="BG689" s="649"/>
      <c r="BH689" s="649"/>
      <c r="BI689" s="649"/>
      <c r="BJ689" s="649"/>
      <c r="BK689" s="649"/>
      <c r="BL689" s="649"/>
      <c r="BM689" s="649"/>
      <c r="BN689" s="649"/>
      <c r="BO689" s="649"/>
      <c r="BP689" s="649"/>
      <c r="BQ689" s="649"/>
      <c r="BR689" s="649"/>
      <c r="BS689" s="649"/>
      <c r="BT689" s="649"/>
      <c r="BU689" s="649"/>
      <c r="BV689" s="649"/>
      <c r="BW689" s="649"/>
      <c r="BX689" s="649"/>
      <c r="BY689" s="649"/>
      <c r="BZ689" s="649"/>
      <c r="CA689" s="649"/>
      <c r="CB689" s="649"/>
      <c r="CC689" s="649"/>
      <c r="CD689" s="649"/>
      <c r="CE689" s="649"/>
      <c r="CF689" s="649"/>
      <c r="CG689" s="649"/>
      <c r="CH689" s="649"/>
      <c r="CI689" s="649"/>
      <c r="CJ689" s="649"/>
      <c r="CK689" s="649"/>
      <c r="CL689" s="649"/>
      <c r="CM689" s="649"/>
      <c r="CN689" s="649"/>
      <c r="CO689" s="649"/>
      <c r="CP689" s="649"/>
      <c r="CQ689" s="649"/>
      <c r="CR689" s="649"/>
      <c r="CS689" s="649"/>
      <c r="CT689" s="649"/>
      <c r="CU689" s="649"/>
      <c r="CV689" s="649"/>
      <c r="CW689" s="649"/>
      <c r="CX689" s="649"/>
      <c r="CY689" s="649"/>
      <c r="CZ689" s="650"/>
      <c r="DA689" s="214"/>
    </row>
    <row r="690" spans="1:105" s="16" customFormat="1" ht="15" hidden="1" customHeight="1" x14ac:dyDescent="0.3">
      <c r="A690" s="630"/>
      <c r="B690" s="631"/>
      <c r="C690" s="631"/>
      <c r="D690" s="631"/>
      <c r="E690" s="631"/>
      <c r="F690" s="631"/>
      <c r="G690" s="632"/>
      <c r="H690" s="651"/>
      <c r="I690" s="652"/>
      <c r="J690" s="652"/>
      <c r="K690" s="652"/>
      <c r="L690" s="652"/>
      <c r="M690" s="652"/>
      <c r="N690" s="652"/>
      <c r="O690" s="652"/>
      <c r="P690" s="652"/>
      <c r="Q690" s="652"/>
      <c r="R690" s="652"/>
      <c r="S690" s="652"/>
      <c r="T690" s="652"/>
      <c r="U690" s="652"/>
      <c r="V690" s="652"/>
      <c r="W690" s="652"/>
      <c r="X690" s="652"/>
      <c r="Y690" s="652"/>
      <c r="Z690" s="652"/>
      <c r="AA690" s="652"/>
      <c r="AB690" s="652"/>
      <c r="AC690" s="652"/>
      <c r="AD690" s="652"/>
      <c r="AE690" s="652"/>
      <c r="AF690" s="652"/>
      <c r="AG690" s="652"/>
      <c r="AH690" s="652"/>
      <c r="AI690" s="652"/>
      <c r="AJ690" s="652"/>
      <c r="AK690" s="652"/>
      <c r="AL690" s="652"/>
      <c r="AM690" s="652"/>
      <c r="AN690" s="652"/>
      <c r="AO690" s="652"/>
      <c r="AP690" s="652"/>
      <c r="AQ690" s="652"/>
      <c r="AR690" s="652"/>
      <c r="AS690" s="652"/>
      <c r="AT690" s="653"/>
      <c r="AU690" s="475"/>
      <c r="AV690" s="476"/>
      <c r="AW690" s="476"/>
      <c r="AX690" s="476"/>
      <c r="AY690" s="476"/>
      <c r="AZ690" s="476"/>
      <c r="BA690" s="476"/>
      <c r="BB690" s="477"/>
      <c r="BC690" s="544"/>
      <c r="BD690" s="545"/>
      <c r="BE690" s="545"/>
      <c r="BF690" s="545"/>
      <c r="BG690" s="545"/>
      <c r="BH690" s="545"/>
      <c r="BI690" s="545"/>
      <c r="BJ690" s="545"/>
      <c r="BK690" s="545"/>
      <c r="BL690" s="545"/>
      <c r="BM690" s="545"/>
      <c r="BN690" s="545"/>
      <c r="BO690" s="545"/>
      <c r="BP690" s="545"/>
      <c r="BQ690" s="545"/>
      <c r="BR690" s="546"/>
      <c r="BS690" s="639"/>
      <c r="BT690" s="640"/>
      <c r="BU690" s="640"/>
      <c r="BV690" s="640"/>
      <c r="BW690" s="640"/>
      <c r="BX690" s="640"/>
      <c r="BY690" s="640"/>
      <c r="BZ690" s="640"/>
      <c r="CA690" s="640"/>
      <c r="CB690" s="640"/>
      <c r="CC690" s="640"/>
      <c r="CD690" s="640"/>
      <c r="CE690" s="640"/>
      <c r="CF690" s="640"/>
      <c r="CG690" s="640"/>
      <c r="CH690" s="641"/>
      <c r="CI690" s="627"/>
      <c r="CJ690" s="628"/>
      <c r="CK690" s="628"/>
      <c r="CL690" s="628"/>
      <c r="CM690" s="628"/>
      <c r="CN690" s="628"/>
      <c r="CO690" s="628"/>
      <c r="CP690" s="628"/>
      <c r="CQ690" s="628"/>
      <c r="CR690" s="628"/>
      <c r="CS690" s="628"/>
      <c r="CT690" s="628"/>
      <c r="CU690" s="628"/>
      <c r="CV690" s="628"/>
      <c r="CW690" s="628"/>
      <c r="CX690" s="628"/>
      <c r="CY690" s="628"/>
      <c r="CZ690" s="629"/>
      <c r="DA690" s="214"/>
    </row>
    <row r="691" spans="1:105" s="16" customFormat="1" ht="15" hidden="1" customHeight="1" x14ac:dyDescent="0.3">
      <c r="A691" s="630"/>
      <c r="B691" s="631"/>
      <c r="C691" s="631"/>
      <c r="D691" s="631"/>
      <c r="E691" s="631"/>
      <c r="F691" s="631"/>
      <c r="G691" s="632"/>
      <c r="H691" s="651" t="s">
        <v>689</v>
      </c>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c r="AI691" s="652"/>
      <c r="AJ691" s="652"/>
      <c r="AK691" s="652"/>
      <c r="AL691" s="652"/>
      <c r="AM691" s="652"/>
      <c r="AN691" s="652"/>
      <c r="AO691" s="652"/>
      <c r="AP691" s="652"/>
      <c r="AQ691" s="652"/>
      <c r="AR691" s="652"/>
      <c r="AS691" s="652"/>
      <c r="AT691" s="653"/>
      <c r="AU691" s="541" t="s">
        <v>690</v>
      </c>
      <c r="AV691" s="542"/>
      <c r="AW691" s="542"/>
      <c r="AX691" s="542"/>
      <c r="AY691" s="542"/>
      <c r="AZ691" s="542"/>
      <c r="BA691" s="542"/>
      <c r="BB691" s="543"/>
      <c r="BC691" s="647">
        <v>0</v>
      </c>
      <c r="BD691" s="637"/>
      <c r="BE691" s="637"/>
      <c r="BF691" s="637"/>
      <c r="BG691" s="637"/>
      <c r="BH691" s="637"/>
      <c r="BI691" s="637"/>
      <c r="BJ691" s="637"/>
      <c r="BK691" s="637"/>
      <c r="BL691" s="637"/>
      <c r="BM691" s="637"/>
      <c r="BN691" s="637"/>
      <c r="BO691" s="637"/>
      <c r="BP691" s="637"/>
      <c r="BQ691" s="637"/>
      <c r="BR691" s="638"/>
      <c r="BS691" s="644">
        <v>0</v>
      </c>
      <c r="BT691" s="645"/>
      <c r="BU691" s="645"/>
      <c r="BV691" s="645"/>
      <c r="BW691" s="645"/>
      <c r="BX691" s="645"/>
      <c r="BY691" s="645"/>
      <c r="BZ691" s="645"/>
      <c r="CA691" s="645"/>
      <c r="CB691" s="645"/>
      <c r="CC691" s="645"/>
      <c r="CD691" s="645"/>
      <c r="CE691" s="645"/>
      <c r="CF691" s="645"/>
      <c r="CG691" s="645"/>
      <c r="CH691" s="646"/>
      <c r="CI691" s="636">
        <f>BC691*BS691</f>
        <v>0</v>
      </c>
      <c r="CJ691" s="654"/>
      <c r="CK691" s="654"/>
      <c r="CL691" s="654"/>
      <c r="CM691" s="654"/>
      <c r="CN691" s="654"/>
      <c r="CO691" s="654"/>
      <c r="CP691" s="654"/>
      <c r="CQ691" s="654"/>
      <c r="CR691" s="654"/>
      <c r="CS691" s="654"/>
      <c r="CT691" s="654"/>
      <c r="CU691" s="654"/>
      <c r="CV691" s="654"/>
      <c r="CW691" s="654"/>
      <c r="CX691" s="654"/>
      <c r="CY691" s="654"/>
      <c r="CZ691" s="655"/>
      <c r="DA691" s="214"/>
    </row>
    <row r="692" spans="1:105" s="16" customFormat="1" ht="15" hidden="1" customHeight="1" x14ac:dyDescent="0.3">
      <c r="A692" s="630"/>
      <c r="B692" s="631"/>
      <c r="C692" s="631"/>
      <c r="D692" s="631"/>
      <c r="E692" s="631"/>
      <c r="F692" s="631"/>
      <c r="G692" s="632"/>
      <c r="H692" s="651"/>
      <c r="I692" s="652"/>
      <c r="J692" s="652"/>
      <c r="K692" s="652"/>
      <c r="L692" s="652"/>
      <c r="M692" s="652"/>
      <c r="N692" s="652"/>
      <c r="O692" s="652"/>
      <c r="P692" s="652"/>
      <c r="Q692" s="652"/>
      <c r="R692" s="652"/>
      <c r="S692" s="652"/>
      <c r="T692" s="652"/>
      <c r="U692" s="652"/>
      <c r="V692" s="652"/>
      <c r="W692" s="652"/>
      <c r="X692" s="652"/>
      <c r="Y692" s="652"/>
      <c r="Z692" s="652"/>
      <c r="AA692" s="652"/>
      <c r="AB692" s="652"/>
      <c r="AC692" s="652"/>
      <c r="AD692" s="652"/>
      <c r="AE692" s="652"/>
      <c r="AF692" s="652"/>
      <c r="AG692" s="652"/>
      <c r="AH692" s="652"/>
      <c r="AI692" s="652"/>
      <c r="AJ692" s="652"/>
      <c r="AK692" s="652"/>
      <c r="AL692" s="652"/>
      <c r="AM692" s="652"/>
      <c r="AN692" s="652"/>
      <c r="AO692" s="652"/>
      <c r="AP692" s="652"/>
      <c r="AQ692" s="652"/>
      <c r="AR692" s="652"/>
      <c r="AS692" s="652"/>
      <c r="AT692" s="653"/>
      <c r="AU692" s="475"/>
      <c r="AV692" s="476"/>
      <c r="AW692" s="476"/>
      <c r="AX692" s="476"/>
      <c r="AY692" s="476"/>
      <c r="AZ692" s="476"/>
      <c r="BA692" s="476"/>
      <c r="BB692" s="477"/>
      <c r="BC692" s="544"/>
      <c r="BD692" s="545"/>
      <c r="BE692" s="545"/>
      <c r="BF692" s="545"/>
      <c r="BG692" s="545"/>
      <c r="BH692" s="545"/>
      <c r="BI692" s="545"/>
      <c r="BJ692" s="545"/>
      <c r="BK692" s="545"/>
      <c r="BL692" s="545"/>
      <c r="BM692" s="545"/>
      <c r="BN692" s="545"/>
      <c r="BO692" s="545"/>
      <c r="BP692" s="545"/>
      <c r="BQ692" s="545"/>
      <c r="BR692" s="546"/>
      <c r="BS692" s="639"/>
      <c r="BT692" s="640"/>
      <c r="BU692" s="640"/>
      <c r="BV692" s="640"/>
      <c r="BW692" s="640"/>
      <c r="BX692" s="640"/>
      <c r="BY692" s="640"/>
      <c r="BZ692" s="640"/>
      <c r="CA692" s="640"/>
      <c r="CB692" s="640"/>
      <c r="CC692" s="640"/>
      <c r="CD692" s="640"/>
      <c r="CE692" s="640"/>
      <c r="CF692" s="640"/>
      <c r="CG692" s="640"/>
      <c r="CH692" s="641"/>
      <c r="CI692" s="627"/>
      <c r="CJ692" s="628"/>
      <c r="CK692" s="628"/>
      <c r="CL692" s="628"/>
      <c r="CM692" s="628"/>
      <c r="CN692" s="628"/>
      <c r="CO692" s="628"/>
      <c r="CP692" s="628"/>
      <c r="CQ692" s="628"/>
      <c r="CR692" s="628"/>
      <c r="CS692" s="628"/>
      <c r="CT692" s="628"/>
      <c r="CU692" s="628"/>
      <c r="CV692" s="628"/>
      <c r="CW692" s="628"/>
      <c r="CX692" s="628"/>
      <c r="CY692" s="628"/>
      <c r="CZ692" s="629"/>
      <c r="DA692" s="214"/>
    </row>
    <row r="693" spans="1:105" s="16" customFormat="1" ht="15" hidden="1" customHeight="1" x14ac:dyDescent="0.3">
      <c r="A693" s="630"/>
      <c r="B693" s="631"/>
      <c r="C693" s="631"/>
      <c r="D693" s="631"/>
      <c r="E693" s="631"/>
      <c r="F693" s="631"/>
      <c r="G693" s="632"/>
      <c r="H693" s="651" t="s">
        <v>691</v>
      </c>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52"/>
      <c r="AL693" s="652"/>
      <c r="AM693" s="652"/>
      <c r="AN693" s="652"/>
      <c r="AO693" s="652"/>
      <c r="AP693" s="652"/>
      <c r="AQ693" s="652"/>
      <c r="AR693" s="652"/>
      <c r="AS693" s="652"/>
      <c r="AT693" s="653"/>
      <c r="AU693" s="475"/>
      <c r="AV693" s="476"/>
      <c r="AW693" s="476"/>
      <c r="AX693" s="476"/>
      <c r="AY693" s="476"/>
      <c r="AZ693" s="476"/>
      <c r="BA693" s="476"/>
      <c r="BB693" s="477"/>
      <c r="BC693" s="647">
        <f>BC694+BC695+BC696+BC697+BC698+BC699+BC700+BC701+BC702+BC703+BC704+BC705+BC706+BC707+BC708+BC709+BC710</f>
        <v>0</v>
      </c>
      <c r="BD693" s="637"/>
      <c r="BE693" s="637"/>
      <c r="BF693" s="637"/>
      <c r="BG693" s="637"/>
      <c r="BH693" s="637"/>
      <c r="BI693" s="637"/>
      <c r="BJ693" s="637"/>
      <c r="BK693" s="637"/>
      <c r="BL693" s="637"/>
      <c r="BM693" s="637"/>
      <c r="BN693" s="637"/>
      <c r="BO693" s="637"/>
      <c r="BP693" s="637"/>
      <c r="BQ693" s="637"/>
      <c r="BR693" s="638"/>
      <c r="BS693" s="644">
        <v>0</v>
      </c>
      <c r="BT693" s="645"/>
      <c r="BU693" s="645"/>
      <c r="BV693" s="645"/>
      <c r="BW693" s="645"/>
      <c r="BX693" s="645"/>
      <c r="BY693" s="645"/>
      <c r="BZ693" s="645"/>
      <c r="CA693" s="645"/>
      <c r="CB693" s="645"/>
      <c r="CC693" s="645"/>
      <c r="CD693" s="645"/>
      <c r="CE693" s="645"/>
      <c r="CF693" s="645"/>
      <c r="CG693" s="645"/>
      <c r="CH693" s="646"/>
      <c r="CI693" s="636">
        <f>CI694+CI695+CI696+CI697+CI698+CI699+CI700+CI701+CI702+CI703+CI704+CI705+CI706+CI707+CI708+CI709+CI710</f>
        <v>0</v>
      </c>
      <c r="CJ693" s="654"/>
      <c r="CK693" s="654"/>
      <c r="CL693" s="654"/>
      <c r="CM693" s="654"/>
      <c r="CN693" s="654"/>
      <c r="CO693" s="654"/>
      <c r="CP693" s="654"/>
      <c r="CQ693" s="654"/>
      <c r="CR693" s="654"/>
      <c r="CS693" s="654"/>
      <c r="CT693" s="654"/>
      <c r="CU693" s="654"/>
      <c r="CV693" s="654"/>
      <c r="CW693" s="654"/>
      <c r="CX693" s="654"/>
      <c r="CY693" s="654"/>
      <c r="CZ693" s="655"/>
      <c r="DA693" s="214"/>
    </row>
    <row r="694" spans="1:105" s="16" customFormat="1" ht="15" hidden="1" customHeight="1" x14ac:dyDescent="0.3">
      <c r="A694" s="630" t="s">
        <v>441</v>
      </c>
      <c r="B694" s="631"/>
      <c r="C694" s="631"/>
      <c r="D694" s="631"/>
      <c r="E694" s="631"/>
      <c r="F694" s="631"/>
      <c r="G694" s="632"/>
      <c r="H694" s="584" t="s">
        <v>692</v>
      </c>
      <c r="I694" s="585"/>
      <c r="J694" s="585"/>
      <c r="K694" s="585"/>
      <c r="L694" s="585"/>
      <c r="M694" s="585"/>
      <c r="N694" s="585"/>
      <c r="O694" s="585"/>
      <c r="P694" s="585"/>
      <c r="Q694" s="585"/>
      <c r="R694" s="585"/>
      <c r="S694" s="585"/>
      <c r="T694" s="585"/>
      <c r="U694" s="585"/>
      <c r="V694" s="585"/>
      <c r="W694" s="585"/>
      <c r="X694" s="585"/>
      <c r="Y694" s="585"/>
      <c r="Z694" s="585"/>
      <c r="AA694" s="585"/>
      <c r="AB694" s="585"/>
      <c r="AC694" s="585"/>
      <c r="AD694" s="585"/>
      <c r="AE694" s="585"/>
      <c r="AF694" s="585"/>
      <c r="AG694" s="585"/>
      <c r="AH694" s="585"/>
      <c r="AI694" s="585"/>
      <c r="AJ694" s="585"/>
      <c r="AK694" s="585"/>
      <c r="AL694" s="585"/>
      <c r="AM694" s="585"/>
      <c r="AN694" s="585"/>
      <c r="AO694" s="585"/>
      <c r="AP694" s="585"/>
      <c r="AQ694" s="585"/>
      <c r="AR694" s="585"/>
      <c r="AS694" s="585"/>
      <c r="AT694" s="586"/>
      <c r="AU694" s="475" t="s">
        <v>459</v>
      </c>
      <c r="AV694" s="476"/>
      <c r="AW694" s="476"/>
      <c r="AX694" s="476"/>
      <c r="AY694" s="476"/>
      <c r="AZ694" s="476"/>
      <c r="BA694" s="476"/>
      <c r="BB694" s="477"/>
      <c r="BC694" s="544"/>
      <c r="BD694" s="545"/>
      <c r="BE694" s="545"/>
      <c r="BF694" s="545"/>
      <c r="BG694" s="545"/>
      <c r="BH694" s="545"/>
      <c r="BI694" s="545"/>
      <c r="BJ694" s="545"/>
      <c r="BK694" s="545"/>
      <c r="BL694" s="545"/>
      <c r="BM694" s="545"/>
      <c r="BN694" s="545"/>
      <c r="BO694" s="545"/>
      <c r="BP694" s="545"/>
      <c r="BQ694" s="545"/>
      <c r="BR694" s="546"/>
      <c r="BS694" s="639"/>
      <c r="BT694" s="640"/>
      <c r="BU694" s="640"/>
      <c r="BV694" s="640"/>
      <c r="BW694" s="640"/>
      <c r="BX694" s="640"/>
      <c r="BY694" s="640"/>
      <c r="BZ694" s="640"/>
      <c r="CA694" s="640"/>
      <c r="CB694" s="640"/>
      <c r="CC694" s="640"/>
      <c r="CD694" s="640"/>
      <c r="CE694" s="640"/>
      <c r="CF694" s="640"/>
      <c r="CG694" s="640"/>
      <c r="CH694" s="641"/>
      <c r="CI694" s="627"/>
      <c r="CJ694" s="628"/>
      <c r="CK694" s="628"/>
      <c r="CL694" s="628"/>
      <c r="CM694" s="628"/>
      <c r="CN694" s="628"/>
      <c r="CO694" s="628"/>
      <c r="CP694" s="628"/>
      <c r="CQ694" s="628"/>
      <c r="CR694" s="628"/>
      <c r="CS694" s="628"/>
      <c r="CT694" s="628"/>
      <c r="CU694" s="628"/>
      <c r="CV694" s="628"/>
      <c r="CW694" s="628"/>
      <c r="CX694" s="628"/>
      <c r="CY694" s="628"/>
      <c r="CZ694" s="629"/>
      <c r="DA694" s="214"/>
    </row>
    <row r="695" spans="1:105" s="16" customFormat="1" ht="15" hidden="1" customHeight="1" x14ac:dyDescent="0.3">
      <c r="A695" s="630" t="s">
        <v>444</v>
      </c>
      <c r="B695" s="631"/>
      <c r="C695" s="631"/>
      <c r="D695" s="631"/>
      <c r="E695" s="631"/>
      <c r="F695" s="631"/>
      <c r="G695" s="632"/>
      <c r="H695" s="584" t="s">
        <v>693</v>
      </c>
      <c r="I695" s="585"/>
      <c r="J695" s="585"/>
      <c r="K695" s="585"/>
      <c r="L695" s="585"/>
      <c r="M695" s="585"/>
      <c r="N695" s="585"/>
      <c r="O695" s="585"/>
      <c r="P695" s="585"/>
      <c r="Q695" s="585"/>
      <c r="R695" s="585"/>
      <c r="S695" s="585"/>
      <c r="T695" s="585"/>
      <c r="U695" s="585"/>
      <c r="V695" s="585"/>
      <c r="W695" s="585"/>
      <c r="X695" s="585"/>
      <c r="Y695" s="585"/>
      <c r="Z695" s="585"/>
      <c r="AA695" s="585"/>
      <c r="AB695" s="585"/>
      <c r="AC695" s="585"/>
      <c r="AD695" s="585"/>
      <c r="AE695" s="585"/>
      <c r="AF695" s="585"/>
      <c r="AG695" s="585"/>
      <c r="AH695" s="585"/>
      <c r="AI695" s="585"/>
      <c r="AJ695" s="585"/>
      <c r="AK695" s="585"/>
      <c r="AL695" s="585"/>
      <c r="AM695" s="585"/>
      <c r="AN695" s="585"/>
      <c r="AO695" s="585"/>
      <c r="AP695" s="585"/>
      <c r="AQ695" s="585"/>
      <c r="AR695" s="585"/>
      <c r="AS695" s="585"/>
      <c r="AT695" s="586"/>
      <c r="AU695" s="475" t="s">
        <v>459</v>
      </c>
      <c r="AV695" s="476"/>
      <c r="AW695" s="476"/>
      <c r="AX695" s="476"/>
      <c r="AY695" s="476"/>
      <c r="AZ695" s="476"/>
      <c r="BA695" s="476"/>
      <c r="BB695" s="477"/>
      <c r="BC695" s="544"/>
      <c r="BD695" s="545"/>
      <c r="BE695" s="545"/>
      <c r="BF695" s="545"/>
      <c r="BG695" s="545"/>
      <c r="BH695" s="545"/>
      <c r="BI695" s="545"/>
      <c r="BJ695" s="545"/>
      <c r="BK695" s="545"/>
      <c r="BL695" s="545"/>
      <c r="BM695" s="545"/>
      <c r="BN695" s="545"/>
      <c r="BO695" s="545"/>
      <c r="BP695" s="545"/>
      <c r="BQ695" s="545"/>
      <c r="BR695" s="546"/>
      <c r="BS695" s="639"/>
      <c r="BT695" s="640"/>
      <c r="BU695" s="640"/>
      <c r="BV695" s="640"/>
      <c r="BW695" s="640"/>
      <c r="BX695" s="640"/>
      <c r="BY695" s="640"/>
      <c r="BZ695" s="640"/>
      <c r="CA695" s="640"/>
      <c r="CB695" s="640"/>
      <c r="CC695" s="640"/>
      <c r="CD695" s="640"/>
      <c r="CE695" s="640"/>
      <c r="CF695" s="640"/>
      <c r="CG695" s="640"/>
      <c r="CH695" s="641"/>
      <c r="CI695" s="627"/>
      <c r="CJ695" s="628"/>
      <c r="CK695" s="628"/>
      <c r="CL695" s="628"/>
      <c r="CM695" s="628"/>
      <c r="CN695" s="628"/>
      <c r="CO695" s="628"/>
      <c r="CP695" s="628"/>
      <c r="CQ695" s="628"/>
      <c r="CR695" s="628"/>
      <c r="CS695" s="628"/>
      <c r="CT695" s="628"/>
      <c r="CU695" s="628"/>
      <c r="CV695" s="628"/>
      <c r="CW695" s="628"/>
      <c r="CX695" s="628"/>
      <c r="CY695" s="628"/>
      <c r="CZ695" s="629"/>
      <c r="DA695" s="214"/>
    </row>
    <row r="696" spans="1:105" s="16" customFormat="1" ht="15" hidden="1" customHeight="1" x14ac:dyDescent="0.3">
      <c r="A696" s="630" t="s">
        <v>446</v>
      </c>
      <c r="B696" s="631"/>
      <c r="C696" s="631"/>
      <c r="D696" s="631"/>
      <c r="E696" s="631"/>
      <c r="F696" s="631"/>
      <c r="G696" s="632"/>
      <c r="H696" s="584" t="s">
        <v>694</v>
      </c>
      <c r="I696" s="585"/>
      <c r="J696" s="585"/>
      <c r="K696" s="585"/>
      <c r="L696" s="585"/>
      <c r="M696" s="585"/>
      <c r="N696" s="585"/>
      <c r="O696" s="585"/>
      <c r="P696" s="585"/>
      <c r="Q696" s="585"/>
      <c r="R696" s="585"/>
      <c r="S696" s="585"/>
      <c r="T696" s="585"/>
      <c r="U696" s="585"/>
      <c r="V696" s="585"/>
      <c r="W696" s="585"/>
      <c r="X696" s="585"/>
      <c r="Y696" s="585"/>
      <c r="Z696" s="585"/>
      <c r="AA696" s="585"/>
      <c r="AB696" s="585"/>
      <c r="AC696" s="585"/>
      <c r="AD696" s="585"/>
      <c r="AE696" s="585"/>
      <c r="AF696" s="585"/>
      <c r="AG696" s="585"/>
      <c r="AH696" s="585"/>
      <c r="AI696" s="585"/>
      <c r="AJ696" s="585"/>
      <c r="AK696" s="585"/>
      <c r="AL696" s="585"/>
      <c r="AM696" s="585"/>
      <c r="AN696" s="585"/>
      <c r="AO696" s="585"/>
      <c r="AP696" s="585"/>
      <c r="AQ696" s="585"/>
      <c r="AR696" s="585"/>
      <c r="AS696" s="585"/>
      <c r="AT696" s="586"/>
      <c r="AU696" s="475" t="s">
        <v>459</v>
      </c>
      <c r="AV696" s="476"/>
      <c r="AW696" s="476"/>
      <c r="AX696" s="476"/>
      <c r="AY696" s="476"/>
      <c r="AZ696" s="476"/>
      <c r="BA696" s="476"/>
      <c r="BB696" s="477"/>
      <c r="BC696" s="544"/>
      <c r="BD696" s="545"/>
      <c r="BE696" s="545"/>
      <c r="BF696" s="545"/>
      <c r="BG696" s="545"/>
      <c r="BH696" s="545"/>
      <c r="BI696" s="545"/>
      <c r="BJ696" s="545"/>
      <c r="BK696" s="545"/>
      <c r="BL696" s="545"/>
      <c r="BM696" s="545"/>
      <c r="BN696" s="545"/>
      <c r="BO696" s="545"/>
      <c r="BP696" s="545"/>
      <c r="BQ696" s="545"/>
      <c r="BR696" s="546"/>
      <c r="BS696" s="639"/>
      <c r="BT696" s="640"/>
      <c r="BU696" s="640"/>
      <c r="BV696" s="640"/>
      <c r="BW696" s="640"/>
      <c r="BX696" s="640"/>
      <c r="BY696" s="640"/>
      <c r="BZ696" s="640"/>
      <c r="CA696" s="640"/>
      <c r="CB696" s="640"/>
      <c r="CC696" s="640"/>
      <c r="CD696" s="640"/>
      <c r="CE696" s="640"/>
      <c r="CF696" s="640"/>
      <c r="CG696" s="640"/>
      <c r="CH696" s="641"/>
      <c r="CI696" s="627"/>
      <c r="CJ696" s="628"/>
      <c r="CK696" s="628"/>
      <c r="CL696" s="628"/>
      <c r="CM696" s="628"/>
      <c r="CN696" s="628"/>
      <c r="CO696" s="628"/>
      <c r="CP696" s="628"/>
      <c r="CQ696" s="628"/>
      <c r="CR696" s="628"/>
      <c r="CS696" s="628"/>
      <c r="CT696" s="628"/>
      <c r="CU696" s="628"/>
      <c r="CV696" s="628"/>
      <c r="CW696" s="628"/>
      <c r="CX696" s="628"/>
      <c r="CY696" s="628"/>
      <c r="CZ696" s="629"/>
      <c r="DA696" s="214"/>
    </row>
    <row r="697" spans="1:105" s="16" customFormat="1" ht="15" hidden="1" customHeight="1" x14ac:dyDescent="0.3">
      <c r="A697" s="630" t="s">
        <v>551</v>
      </c>
      <c r="B697" s="631"/>
      <c r="C697" s="631"/>
      <c r="D697" s="631"/>
      <c r="E697" s="631"/>
      <c r="F697" s="631"/>
      <c r="G697" s="632"/>
      <c r="H697" s="584" t="s">
        <v>695</v>
      </c>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5"/>
      <c r="AL697" s="585"/>
      <c r="AM697" s="585"/>
      <c r="AN697" s="585"/>
      <c r="AO697" s="585"/>
      <c r="AP697" s="585"/>
      <c r="AQ697" s="585"/>
      <c r="AR697" s="585"/>
      <c r="AS697" s="585"/>
      <c r="AT697" s="586"/>
      <c r="AU697" s="475" t="s">
        <v>459</v>
      </c>
      <c r="AV697" s="476"/>
      <c r="AW697" s="476"/>
      <c r="AX697" s="476"/>
      <c r="AY697" s="476"/>
      <c r="AZ697" s="476"/>
      <c r="BA697" s="476"/>
      <c r="BB697" s="477"/>
      <c r="BC697" s="544"/>
      <c r="BD697" s="545"/>
      <c r="BE697" s="545"/>
      <c r="BF697" s="545"/>
      <c r="BG697" s="545"/>
      <c r="BH697" s="545"/>
      <c r="BI697" s="545"/>
      <c r="BJ697" s="545"/>
      <c r="BK697" s="545"/>
      <c r="BL697" s="545"/>
      <c r="BM697" s="545"/>
      <c r="BN697" s="545"/>
      <c r="BO697" s="545"/>
      <c r="BP697" s="545"/>
      <c r="BQ697" s="545"/>
      <c r="BR697" s="546"/>
      <c r="BS697" s="639"/>
      <c r="BT697" s="640"/>
      <c r="BU697" s="640"/>
      <c r="BV697" s="640"/>
      <c r="BW697" s="640"/>
      <c r="BX697" s="640"/>
      <c r="BY697" s="640"/>
      <c r="BZ697" s="640"/>
      <c r="CA697" s="640"/>
      <c r="CB697" s="640"/>
      <c r="CC697" s="640"/>
      <c r="CD697" s="640"/>
      <c r="CE697" s="640"/>
      <c r="CF697" s="640"/>
      <c r="CG697" s="640"/>
      <c r="CH697" s="641"/>
      <c r="CI697" s="627"/>
      <c r="CJ697" s="628"/>
      <c r="CK697" s="628"/>
      <c r="CL697" s="628"/>
      <c r="CM697" s="628"/>
      <c r="CN697" s="628"/>
      <c r="CO697" s="628"/>
      <c r="CP697" s="628"/>
      <c r="CQ697" s="628"/>
      <c r="CR697" s="628"/>
      <c r="CS697" s="628"/>
      <c r="CT697" s="628"/>
      <c r="CU697" s="628"/>
      <c r="CV697" s="628"/>
      <c r="CW697" s="628"/>
      <c r="CX697" s="628"/>
      <c r="CY697" s="628"/>
      <c r="CZ697" s="629"/>
      <c r="DA697" s="214"/>
    </row>
    <row r="698" spans="1:105" s="16" customFormat="1" ht="15" hidden="1" customHeight="1" x14ac:dyDescent="0.3">
      <c r="A698" s="630" t="s">
        <v>599</v>
      </c>
      <c r="B698" s="631"/>
      <c r="C698" s="631"/>
      <c r="D698" s="631"/>
      <c r="E698" s="631"/>
      <c r="F698" s="631"/>
      <c r="G698" s="632"/>
      <c r="H698" s="584" t="s">
        <v>696</v>
      </c>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5"/>
      <c r="AL698" s="585"/>
      <c r="AM698" s="585"/>
      <c r="AN698" s="585"/>
      <c r="AO698" s="585"/>
      <c r="AP698" s="585"/>
      <c r="AQ698" s="585"/>
      <c r="AR698" s="585"/>
      <c r="AS698" s="585"/>
      <c r="AT698" s="586"/>
      <c r="AU698" s="475" t="s">
        <v>697</v>
      </c>
      <c r="AV698" s="476"/>
      <c r="AW698" s="476"/>
      <c r="AX698" s="476"/>
      <c r="AY698" s="476"/>
      <c r="AZ698" s="476"/>
      <c r="BA698" s="476"/>
      <c r="BB698" s="477"/>
      <c r="BC698" s="544"/>
      <c r="BD698" s="545"/>
      <c r="BE698" s="545"/>
      <c r="BF698" s="545"/>
      <c r="BG698" s="545"/>
      <c r="BH698" s="545"/>
      <c r="BI698" s="545"/>
      <c r="BJ698" s="545"/>
      <c r="BK698" s="545"/>
      <c r="BL698" s="545"/>
      <c r="BM698" s="545"/>
      <c r="BN698" s="545"/>
      <c r="BO698" s="545"/>
      <c r="BP698" s="545"/>
      <c r="BQ698" s="545"/>
      <c r="BR698" s="546"/>
      <c r="BS698" s="639"/>
      <c r="BT698" s="640"/>
      <c r="BU698" s="640"/>
      <c r="BV698" s="640"/>
      <c r="BW698" s="640"/>
      <c r="BX698" s="640"/>
      <c r="BY698" s="640"/>
      <c r="BZ698" s="640"/>
      <c r="CA698" s="640"/>
      <c r="CB698" s="640"/>
      <c r="CC698" s="640"/>
      <c r="CD698" s="640"/>
      <c r="CE698" s="640"/>
      <c r="CF698" s="640"/>
      <c r="CG698" s="640"/>
      <c r="CH698" s="641"/>
      <c r="CI698" s="627"/>
      <c r="CJ698" s="628"/>
      <c r="CK698" s="628"/>
      <c r="CL698" s="628"/>
      <c r="CM698" s="628"/>
      <c r="CN698" s="628"/>
      <c r="CO698" s="628"/>
      <c r="CP698" s="628"/>
      <c r="CQ698" s="628"/>
      <c r="CR698" s="628"/>
      <c r="CS698" s="628"/>
      <c r="CT698" s="628"/>
      <c r="CU698" s="628"/>
      <c r="CV698" s="628"/>
      <c r="CW698" s="628"/>
      <c r="CX698" s="628"/>
      <c r="CY698" s="628"/>
      <c r="CZ698" s="629"/>
      <c r="DA698" s="214"/>
    </row>
    <row r="699" spans="1:105" s="16" customFormat="1" ht="15" hidden="1" customHeight="1" x14ac:dyDescent="0.3">
      <c r="A699" s="630" t="s">
        <v>642</v>
      </c>
      <c r="B699" s="631"/>
      <c r="C699" s="631"/>
      <c r="D699" s="631"/>
      <c r="E699" s="631"/>
      <c r="F699" s="631"/>
      <c r="G699" s="632"/>
      <c r="H699" s="584" t="s">
        <v>698</v>
      </c>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5"/>
      <c r="AL699" s="585"/>
      <c r="AM699" s="585"/>
      <c r="AN699" s="585"/>
      <c r="AO699" s="585"/>
      <c r="AP699" s="585"/>
      <c r="AQ699" s="585"/>
      <c r="AR699" s="585"/>
      <c r="AS699" s="585"/>
      <c r="AT699" s="586"/>
      <c r="AU699" s="475" t="s">
        <v>459</v>
      </c>
      <c r="AV699" s="476"/>
      <c r="AW699" s="476"/>
      <c r="AX699" s="476"/>
      <c r="AY699" s="476"/>
      <c r="AZ699" s="476"/>
      <c r="BA699" s="476"/>
      <c r="BB699" s="477"/>
      <c r="BC699" s="544"/>
      <c r="BD699" s="545"/>
      <c r="BE699" s="545"/>
      <c r="BF699" s="545"/>
      <c r="BG699" s="545"/>
      <c r="BH699" s="545"/>
      <c r="BI699" s="545"/>
      <c r="BJ699" s="545"/>
      <c r="BK699" s="545"/>
      <c r="BL699" s="545"/>
      <c r="BM699" s="545"/>
      <c r="BN699" s="545"/>
      <c r="BO699" s="545"/>
      <c r="BP699" s="545"/>
      <c r="BQ699" s="545"/>
      <c r="BR699" s="546"/>
      <c r="BS699" s="639"/>
      <c r="BT699" s="640"/>
      <c r="BU699" s="640"/>
      <c r="BV699" s="640"/>
      <c r="BW699" s="640"/>
      <c r="BX699" s="640"/>
      <c r="BY699" s="640"/>
      <c r="BZ699" s="640"/>
      <c r="CA699" s="640"/>
      <c r="CB699" s="640"/>
      <c r="CC699" s="640"/>
      <c r="CD699" s="640"/>
      <c r="CE699" s="640"/>
      <c r="CF699" s="640"/>
      <c r="CG699" s="640"/>
      <c r="CH699" s="641"/>
      <c r="CI699" s="627"/>
      <c r="CJ699" s="628"/>
      <c r="CK699" s="628"/>
      <c r="CL699" s="628"/>
      <c r="CM699" s="628"/>
      <c r="CN699" s="628"/>
      <c r="CO699" s="628"/>
      <c r="CP699" s="628"/>
      <c r="CQ699" s="628"/>
      <c r="CR699" s="628"/>
      <c r="CS699" s="628"/>
      <c r="CT699" s="628"/>
      <c r="CU699" s="628"/>
      <c r="CV699" s="628"/>
      <c r="CW699" s="628"/>
      <c r="CX699" s="628"/>
      <c r="CY699" s="628"/>
      <c r="CZ699" s="629"/>
      <c r="DA699" s="214"/>
    </row>
    <row r="700" spans="1:105" s="16" customFormat="1" ht="15" hidden="1" customHeight="1" x14ac:dyDescent="0.3">
      <c r="A700" s="630" t="s">
        <v>648</v>
      </c>
      <c r="B700" s="631"/>
      <c r="C700" s="631"/>
      <c r="D700" s="631"/>
      <c r="E700" s="631"/>
      <c r="F700" s="631"/>
      <c r="G700" s="632"/>
      <c r="H700" s="584" t="s">
        <v>699</v>
      </c>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5"/>
      <c r="AL700" s="585"/>
      <c r="AM700" s="585"/>
      <c r="AN700" s="585"/>
      <c r="AO700" s="585"/>
      <c r="AP700" s="585"/>
      <c r="AQ700" s="585"/>
      <c r="AR700" s="585"/>
      <c r="AS700" s="585"/>
      <c r="AT700" s="586"/>
      <c r="AU700" s="475" t="s">
        <v>459</v>
      </c>
      <c r="AV700" s="476"/>
      <c r="AW700" s="476"/>
      <c r="AX700" s="476"/>
      <c r="AY700" s="476"/>
      <c r="AZ700" s="476"/>
      <c r="BA700" s="476"/>
      <c r="BB700" s="477"/>
      <c r="BC700" s="544"/>
      <c r="BD700" s="545"/>
      <c r="BE700" s="545"/>
      <c r="BF700" s="545"/>
      <c r="BG700" s="545"/>
      <c r="BH700" s="545"/>
      <c r="BI700" s="545"/>
      <c r="BJ700" s="545"/>
      <c r="BK700" s="545"/>
      <c r="BL700" s="545"/>
      <c r="BM700" s="545"/>
      <c r="BN700" s="545"/>
      <c r="BO700" s="545"/>
      <c r="BP700" s="545"/>
      <c r="BQ700" s="545"/>
      <c r="BR700" s="546"/>
      <c r="BS700" s="639"/>
      <c r="BT700" s="640"/>
      <c r="BU700" s="640"/>
      <c r="BV700" s="640"/>
      <c r="BW700" s="640"/>
      <c r="BX700" s="640"/>
      <c r="BY700" s="640"/>
      <c r="BZ700" s="640"/>
      <c r="CA700" s="640"/>
      <c r="CB700" s="640"/>
      <c r="CC700" s="640"/>
      <c r="CD700" s="640"/>
      <c r="CE700" s="640"/>
      <c r="CF700" s="640"/>
      <c r="CG700" s="640"/>
      <c r="CH700" s="641"/>
      <c r="CI700" s="627"/>
      <c r="CJ700" s="628"/>
      <c r="CK700" s="628"/>
      <c r="CL700" s="628"/>
      <c r="CM700" s="628"/>
      <c r="CN700" s="628"/>
      <c r="CO700" s="628"/>
      <c r="CP700" s="628"/>
      <c r="CQ700" s="628"/>
      <c r="CR700" s="628"/>
      <c r="CS700" s="628"/>
      <c r="CT700" s="628"/>
      <c r="CU700" s="628"/>
      <c r="CV700" s="628"/>
      <c r="CW700" s="628"/>
      <c r="CX700" s="628"/>
      <c r="CY700" s="628"/>
      <c r="CZ700" s="629"/>
      <c r="DA700" s="214"/>
    </row>
    <row r="701" spans="1:105" s="16" customFormat="1" ht="15" hidden="1" customHeight="1" x14ac:dyDescent="0.3">
      <c r="A701" s="630" t="s">
        <v>650</v>
      </c>
      <c r="B701" s="631"/>
      <c r="C701" s="631"/>
      <c r="D701" s="631"/>
      <c r="E701" s="631"/>
      <c r="F701" s="631"/>
      <c r="G701" s="632"/>
      <c r="H701" s="584" t="s">
        <v>700</v>
      </c>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5"/>
      <c r="AL701" s="585"/>
      <c r="AM701" s="585"/>
      <c r="AN701" s="585"/>
      <c r="AO701" s="585"/>
      <c r="AP701" s="585"/>
      <c r="AQ701" s="585"/>
      <c r="AR701" s="585"/>
      <c r="AS701" s="585"/>
      <c r="AT701" s="586"/>
      <c r="AU701" s="475" t="s">
        <v>459</v>
      </c>
      <c r="AV701" s="476"/>
      <c r="AW701" s="476"/>
      <c r="AX701" s="476"/>
      <c r="AY701" s="476"/>
      <c r="AZ701" s="476"/>
      <c r="BA701" s="476"/>
      <c r="BB701" s="477"/>
      <c r="BC701" s="544"/>
      <c r="BD701" s="545"/>
      <c r="BE701" s="545"/>
      <c r="BF701" s="545"/>
      <c r="BG701" s="545"/>
      <c r="BH701" s="545"/>
      <c r="BI701" s="545"/>
      <c r="BJ701" s="545"/>
      <c r="BK701" s="545"/>
      <c r="BL701" s="545"/>
      <c r="BM701" s="545"/>
      <c r="BN701" s="545"/>
      <c r="BO701" s="545"/>
      <c r="BP701" s="545"/>
      <c r="BQ701" s="545"/>
      <c r="BR701" s="546"/>
      <c r="BS701" s="639"/>
      <c r="BT701" s="640"/>
      <c r="BU701" s="640"/>
      <c r="BV701" s="640"/>
      <c r="BW701" s="640"/>
      <c r="BX701" s="640"/>
      <c r="BY701" s="640"/>
      <c r="BZ701" s="640"/>
      <c r="CA701" s="640"/>
      <c r="CB701" s="640"/>
      <c r="CC701" s="640"/>
      <c r="CD701" s="640"/>
      <c r="CE701" s="640"/>
      <c r="CF701" s="640"/>
      <c r="CG701" s="640"/>
      <c r="CH701" s="641"/>
      <c r="CI701" s="627"/>
      <c r="CJ701" s="628"/>
      <c r="CK701" s="628"/>
      <c r="CL701" s="628"/>
      <c r="CM701" s="628"/>
      <c r="CN701" s="628"/>
      <c r="CO701" s="628"/>
      <c r="CP701" s="628"/>
      <c r="CQ701" s="628"/>
      <c r="CR701" s="628"/>
      <c r="CS701" s="628"/>
      <c r="CT701" s="628"/>
      <c r="CU701" s="628"/>
      <c r="CV701" s="628"/>
      <c r="CW701" s="628"/>
      <c r="CX701" s="628"/>
      <c r="CY701" s="628"/>
      <c r="CZ701" s="629"/>
      <c r="DA701" s="214"/>
    </row>
    <row r="702" spans="1:105" s="16" customFormat="1" ht="15" hidden="1" customHeight="1" x14ac:dyDescent="0.3">
      <c r="A702" s="630" t="s">
        <v>651</v>
      </c>
      <c r="B702" s="631"/>
      <c r="C702" s="631"/>
      <c r="D702" s="631"/>
      <c r="E702" s="631"/>
      <c r="F702" s="631"/>
      <c r="G702" s="632"/>
      <c r="H702" s="584" t="s">
        <v>701</v>
      </c>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5"/>
      <c r="AL702" s="585"/>
      <c r="AM702" s="585"/>
      <c r="AN702" s="585"/>
      <c r="AO702" s="585"/>
      <c r="AP702" s="585"/>
      <c r="AQ702" s="585"/>
      <c r="AR702" s="585"/>
      <c r="AS702" s="585"/>
      <c r="AT702" s="586"/>
      <c r="AU702" s="475" t="s">
        <v>459</v>
      </c>
      <c r="AV702" s="476"/>
      <c r="AW702" s="476"/>
      <c r="AX702" s="476"/>
      <c r="AY702" s="476"/>
      <c r="AZ702" s="476"/>
      <c r="BA702" s="476"/>
      <c r="BB702" s="477"/>
      <c r="BC702" s="544"/>
      <c r="BD702" s="545"/>
      <c r="BE702" s="545"/>
      <c r="BF702" s="545"/>
      <c r="BG702" s="545"/>
      <c r="BH702" s="545"/>
      <c r="BI702" s="545"/>
      <c r="BJ702" s="545"/>
      <c r="BK702" s="545"/>
      <c r="BL702" s="545"/>
      <c r="BM702" s="545"/>
      <c r="BN702" s="545"/>
      <c r="BO702" s="545"/>
      <c r="BP702" s="545"/>
      <c r="BQ702" s="545"/>
      <c r="BR702" s="546"/>
      <c r="BS702" s="639"/>
      <c r="BT702" s="640"/>
      <c r="BU702" s="640"/>
      <c r="BV702" s="640"/>
      <c r="BW702" s="640"/>
      <c r="BX702" s="640"/>
      <c r="BY702" s="640"/>
      <c r="BZ702" s="640"/>
      <c r="CA702" s="640"/>
      <c r="CB702" s="640"/>
      <c r="CC702" s="640"/>
      <c r="CD702" s="640"/>
      <c r="CE702" s="640"/>
      <c r="CF702" s="640"/>
      <c r="CG702" s="640"/>
      <c r="CH702" s="641"/>
      <c r="CI702" s="627"/>
      <c r="CJ702" s="628"/>
      <c r="CK702" s="628"/>
      <c r="CL702" s="628"/>
      <c r="CM702" s="628"/>
      <c r="CN702" s="628"/>
      <c r="CO702" s="628"/>
      <c r="CP702" s="628"/>
      <c r="CQ702" s="628"/>
      <c r="CR702" s="628"/>
      <c r="CS702" s="628"/>
      <c r="CT702" s="628"/>
      <c r="CU702" s="628"/>
      <c r="CV702" s="628"/>
      <c r="CW702" s="628"/>
      <c r="CX702" s="628"/>
      <c r="CY702" s="628"/>
      <c r="CZ702" s="629"/>
      <c r="DA702" s="214"/>
    </row>
    <row r="703" spans="1:105" s="16" customFormat="1" ht="15" hidden="1" customHeight="1" x14ac:dyDescent="0.3">
      <c r="A703" s="630" t="s">
        <v>653</v>
      </c>
      <c r="B703" s="631"/>
      <c r="C703" s="631"/>
      <c r="D703" s="631"/>
      <c r="E703" s="631"/>
      <c r="F703" s="631"/>
      <c r="G703" s="632"/>
      <c r="H703" s="584" t="s">
        <v>702</v>
      </c>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5"/>
      <c r="AL703" s="585"/>
      <c r="AM703" s="585"/>
      <c r="AN703" s="585"/>
      <c r="AO703" s="585"/>
      <c r="AP703" s="585"/>
      <c r="AQ703" s="585"/>
      <c r="AR703" s="585"/>
      <c r="AS703" s="585"/>
      <c r="AT703" s="586"/>
      <c r="AU703" s="475" t="s">
        <v>459</v>
      </c>
      <c r="AV703" s="476"/>
      <c r="AW703" s="476"/>
      <c r="AX703" s="476"/>
      <c r="AY703" s="476"/>
      <c r="AZ703" s="476"/>
      <c r="BA703" s="476"/>
      <c r="BB703" s="477"/>
      <c r="BC703" s="544"/>
      <c r="BD703" s="545"/>
      <c r="BE703" s="545"/>
      <c r="BF703" s="545"/>
      <c r="BG703" s="545"/>
      <c r="BH703" s="545"/>
      <c r="BI703" s="545"/>
      <c r="BJ703" s="545"/>
      <c r="BK703" s="545"/>
      <c r="BL703" s="545"/>
      <c r="BM703" s="545"/>
      <c r="BN703" s="545"/>
      <c r="BO703" s="545"/>
      <c r="BP703" s="545"/>
      <c r="BQ703" s="545"/>
      <c r="BR703" s="546"/>
      <c r="BS703" s="639"/>
      <c r="BT703" s="640"/>
      <c r="BU703" s="640"/>
      <c r="BV703" s="640"/>
      <c r="BW703" s="640"/>
      <c r="BX703" s="640"/>
      <c r="BY703" s="640"/>
      <c r="BZ703" s="640"/>
      <c r="CA703" s="640"/>
      <c r="CB703" s="640"/>
      <c r="CC703" s="640"/>
      <c r="CD703" s="640"/>
      <c r="CE703" s="640"/>
      <c r="CF703" s="640"/>
      <c r="CG703" s="640"/>
      <c r="CH703" s="641"/>
      <c r="CI703" s="627"/>
      <c r="CJ703" s="628"/>
      <c r="CK703" s="628"/>
      <c r="CL703" s="628"/>
      <c r="CM703" s="628"/>
      <c r="CN703" s="628"/>
      <c r="CO703" s="628"/>
      <c r="CP703" s="628"/>
      <c r="CQ703" s="628"/>
      <c r="CR703" s="628"/>
      <c r="CS703" s="628"/>
      <c r="CT703" s="628"/>
      <c r="CU703" s="628"/>
      <c r="CV703" s="628"/>
      <c r="CW703" s="628"/>
      <c r="CX703" s="628"/>
      <c r="CY703" s="628"/>
      <c r="CZ703" s="629"/>
      <c r="DA703" s="214"/>
    </row>
    <row r="704" spans="1:105" s="16" customFormat="1" ht="15" hidden="1" customHeight="1" x14ac:dyDescent="0.3">
      <c r="A704" s="630" t="s">
        <v>654</v>
      </c>
      <c r="B704" s="631"/>
      <c r="C704" s="631"/>
      <c r="D704" s="631"/>
      <c r="E704" s="631"/>
      <c r="F704" s="631"/>
      <c r="G704" s="632"/>
      <c r="H704" s="584" t="s">
        <v>703</v>
      </c>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5"/>
      <c r="AL704" s="585"/>
      <c r="AM704" s="585"/>
      <c r="AN704" s="585"/>
      <c r="AO704" s="585"/>
      <c r="AP704" s="585"/>
      <c r="AQ704" s="585"/>
      <c r="AR704" s="585"/>
      <c r="AS704" s="585"/>
      <c r="AT704" s="586"/>
      <c r="AU704" s="475" t="s">
        <v>697</v>
      </c>
      <c r="AV704" s="476"/>
      <c r="AW704" s="476"/>
      <c r="AX704" s="476"/>
      <c r="AY704" s="476"/>
      <c r="AZ704" s="476"/>
      <c r="BA704" s="476"/>
      <c r="BB704" s="477"/>
      <c r="BC704" s="544"/>
      <c r="BD704" s="545"/>
      <c r="BE704" s="545"/>
      <c r="BF704" s="545"/>
      <c r="BG704" s="545"/>
      <c r="BH704" s="545"/>
      <c r="BI704" s="545"/>
      <c r="BJ704" s="545"/>
      <c r="BK704" s="545"/>
      <c r="BL704" s="545"/>
      <c r="BM704" s="545"/>
      <c r="BN704" s="545"/>
      <c r="BO704" s="545"/>
      <c r="BP704" s="545"/>
      <c r="BQ704" s="545"/>
      <c r="BR704" s="546"/>
      <c r="BS704" s="639"/>
      <c r="BT704" s="640"/>
      <c r="BU704" s="640"/>
      <c r="BV704" s="640"/>
      <c r="BW704" s="640"/>
      <c r="BX704" s="640"/>
      <c r="BY704" s="640"/>
      <c r="BZ704" s="640"/>
      <c r="CA704" s="640"/>
      <c r="CB704" s="640"/>
      <c r="CC704" s="640"/>
      <c r="CD704" s="640"/>
      <c r="CE704" s="640"/>
      <c r="CF704" s="640"/>
      <c r="CG704" s="640"/>
      <c r="CH704" s="641"/>
      <c r="CI704" s="627"/>
      <c r="CJ704" s="628"/>
      <c r="CK704" s="628"/>
      <c r="CL704" s="628"/>
      <c r="CM704" s="628"/>
      <c r="CN704" s="628"/>
      <c r="CO704" s="628"/>
      <c r="CP704" s="628"/>
      <c r="CQ704" s="628"/>
      <c r="CR704" s="628"/>
      <c r="CS704" s="628"/>
      <c r="CT704" s="628"/>
      <c r="CU704" s="628"/>
      <c r="CV704" s="628"/>
      <c r="CW704" s="628"/>
      <c r="CX704" s="628"/>
      <c r="CY704" s="628"/>
      <c r="CZ704" s="629"/>
      <c r="DA704" s="214"/>
    </row>
    <row r="705" spans="1:105" s="16" customFormat="1" ht="15" hidden="1" customHeight="1" x14ac:dyDescent="0.3">
      <c r="A705" s="630" t="s">
        <v>655</v>
      </c>
      <c r="B705" s="631"/>
      <c r="C705" s="631"/>
      <c r="D705" s="631"/>
      <c r="E705" s="631"/>
      <c r="F705" s="631"/>
      <c r="G705" s="632"/>
      <c r="H705" s="584" t="s">
        <v>704</v>
      </c>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5"/>
      <c r="AL705" s="585"/>
      <c r="AM705" s="585"/>
      <c r="AN705" s="585"/>
      <c r="AO705" s="585"/>
      <c r="AP705" s="585"/>
      <c r="AQ705" s="585"/>
      <c r="AR705" s="585"/>
      <c r="AS705" s="585"/>
      <c r="AT705" s="586"/>
      <c r="AU705" s="475" t="s">
        <v>459</v>
      </c>
      <c r="AV705" s="476"/>
      <c r="AW705" s="476"/>
      <c r="AX705" s="476"/>
      <c r="AY705" s="476"/>
      <c r="AZ705" s="476"/>
      <c r="BA705" s="476"/>
      <c r="BB705" s="477"/>
      <c r="BC705" s="544"/>
      <c r="BD705" s="545"/>
      <c r="BE705" s="545"/>
      <c r="BF705" s="545"/>
      <c r="BG705" s="545"/>
      <c r="BH705" s="545"/>
      <c r="BI705" s="545"/>
      <c r="BJ705" s="545"/>
      <c r="BK705" s="545"/>
      <c r="BL705" s="545"/>
      <c r="BM705" s="545"/>
      <c r="BN705" s="545"/>
      <c r="BO705" s="545"/>
      <c r="BP705" s="545"/>
      <c r="BQ705" s="545"/>
      <c r="BR705" s="546"/>
      <c r="BS705" s="681"/>
      <c r="BT705" s="681"/>
      <c r="BU705" s="681"/>
      <c r="BV705" s="681"/>
      <c r="BW705" s="681"/>
      <c r="BX705" s="681"/>
      <c r="BY705" s="681"/>
      <c r="BZ705" s="681"/>
      <c r="CA705" s="681"/>
      <c r="CB705" s="681"/>
      <c r="CC705" s="681"/>
      <c r="CD705" s="681"/>
      <c r="CE705" s="681"/>
      <c r="CF705" s="681"/>
      <c r="CG705" s="681"/>
      <c r="CH705" s="681"/>
      <c r="CI705" s="627"/>
      <c r="CJ705" s="628"/>
      <c r="CK705" s="628"/>
      <c r="CL705" s="628"/>
      <c r="CM705" s="628"/>
      <c r="CN705" s="628"/>
      <c r="CO705" s="628"/>
      <c r="CP705" s="628"/>
      <c r="CQ705" s="628"/>
      <c r="CR705" s="628"/>
      <c r="CS705" s="628"/>
      <c r="CT705" s="628"/>
      <c r="CU705" s="628"/>
      <c r="CV705" s="628"/>
      <c r="CW705" s="628"/>
      <c r="CX705" s="628"/>
      <c r="CY705" s="628"/>
      <c r="CZ705" s="629"/>
      <c r="DA705" s="214"/>
    </row>
    <row r="706" spans="1:105" s="16" customFormat="1" ht="15" hidden="1" customHeight="1" x14ac:dyDescent="0.3">
      <c r="A706" s="630" t="s">
        <v>656</v>
      </c>
      <c r="B706" s="631"/>
      <c r="C706" s="631"/>
      <c r="D706" s="631"/>
      <c r="E706" s="631"/>
      <c r="F706" s="631"/>
      <c r="G706" s="632"/>
      <c r="H706" s="584" t="s">
        <v>705</v>
      </c>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5"/>
      <c r="AL706" s="585"/>
      <c r="AM706" s="585"/>
      <c r="AN706" s="585"/>
      <c r="AO706" s="585"/>
      <c r="AP706" s="585"/>
      <c r="AQ706" s="585"/>
      <c r="AR706" s="585"/>
      <c r="AS706" s="585"/>
      <c r="AT706" s="586"/>
      <c r="AU706" s="475" t="s">
        <v>459</v>
      </c>
      <c r="AV706" s="476"/>
      <c r="AW706" s="476"/>
      <c r="AX706" s="476"/>
      <c r="AY706" s="476"/>
      <c r="AZ706" s="476"/>
      <c r="BA706" s="476"/>
      <c r="BB706" s="477"/>
      <c r="BC706" s="544"/>
      <c r="BD706" s="545"/>
      <c r="BE706" s="545"/>
      <c r="BF706" s="545"/>
      <c r="BG706" s="545"/>
      <c r="BH706" s="545"/>
      <c r="BI706" s="545"/>
      <c r="BJ706" s="545"/>
      <c r="BK706" s="545"/>
      <c r="BL706" s="545"/>
      <c r="BM706" s="545"/>
      <c r="BN706" s="545"/>
      <c r="BO706" s="545"/>
      <c r="BP706" s="545"/>
      <c r="BQ706" s="545"/>
      <c r="BR706" s="546"/>
      <c r="BS706" s="681"/>
      <c r="BT706" s="681"/>
      <c r="BU706" s="681"/>
      <c r="BV706" s="681"/>
      <c r="BW706" s="681"/>
      <c r="BX706" s="681"/>
      <c r="BY706" s="681"/>
      <c r="BZ706" s="681"/>
      <c r="CA706" s="681"/>
      <c r="CB706" s="681"/>
      <c r="CC706" s="681"/>
      <c r="CD706" s="681"/>
      <c r="CE706" s="681"/>
      <c r="CF706" s="681"/>
      <c r="CG706" s="681"/>
      <c r="CH706" s="681"/>
      <c r="CI706" s="627"/>
      <c r="CJ706" s="628"/>
      <c r="CK706" s="628"/>
      <c r="CL706" s="628"/>
      <c r="CM706" s="628"/>
      <c r="CN706" s="628"/>
      <c r="CO706" s="628"/>
      <c r="CP706" s="628"/>
      <c r="CQ706" s="628"/>
      <c r="CR706" s="628"/>
      <c r="CS706" s="628"/>
      <c r="CT706" s="628"/>
      <c r="CU706" s="628"/>
      <c r="CV706" s="628"/>
      <c r="CW706" s="628"/>
      <c r="CX706" s="628"/>
      <c r="CY706" s="628"/>
      <c r="CZ706" s="629"/>
      <c r="DA706" s="214"/>
    </row>
    <row r="707" spans="1:105" s="16" customFormat="1" ht="22.5" hidden="1" customHeight="1" x14ac:dyDescent="0.3">
      <c r="A707" s="630" t="s">
        <v>657</v>
      </c>
      <c r="B707" s="631"/>
      <c r="C707" s="631"/>
      <c r="D707" s="631"/>
      <c r="E707" s="631"/>
      <c r="F707" s="631"/>
      <c r="G707" s="632"/>
      <c r="H707" s="584" t="s">
        <v>706</v>
      </c>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5"/>
      <c r="AL707" s="585"/>
      <c r="AM707" s="585"/>
      <c r="AN707" s="585"/>
      <c r="AO707" s="585"/>
      <c r="AP707" s="585"/>
      <c r="AQ707" s="585"/>
      <c r="AR707" s="585"/>
      <c r="AS707" s="585"/>
      <c r="AT707" s="586"/>
      <c r="AU707" s="475" t="s">
        <v>459</v>
      </c>
      <c r="AV707" s="476"/>
      <c r="AW707" s="476"/>
      <c r="AX707" s="476"/>
      <c r="AY707" s="476"/>
      <c r="AZ707" s="476"/>
      <c r="BA707" s="476"/>
      <c r="BB707" s="477"/>
      <c r="BC707" s="544"/>
      <c r="BD707" s="545"/>
      <c r="BE707" s="545"/>
      <c r="BF707" s="545"/>
      <c r="BG707" s="545"/>
      <c r="BH707" s="545"/>
      <c r="BI707" s="545"/>
      <c r="BJ707" s="545"/>
      <c r="BK707" s="545"/>
      <c r="BL707" s="545"/>
      <c r="BM707" s="545"/>
      <c r="BN707" s="545"/>
      <c r="BO707" s="545"/>
      <c r="BP707" s="545"/>
      <c r="BQ707" s="545"/>
      <c r="BR707" s="546"/>
      <c r="BS707" s="681"/>
      <c r="BT707" s="681"/>
      <c r="BU707" s="681"/>
      <c r="BV707" s="681"/>
      <c r="BW707" s="681"/>
      <c r="BX707" s="681"/>
      <c r="BY707" s="681"/>
      <c r="BZ707" s="681"/>
      <c r="CA707" s="681"/>
      <c r="CB707" s="681"/>
      <c r="CC707" s="681"/>
      <c r="CD707" s="681"/>
      <c r="CE707" s="681"/>
      <c r="CF707" s="681"/>
      <c r="CG707" s="681"/>
      <c r="CH707" s="681"/>
      <c r="CI707" s="627"/>
      <c r="CJ707" s="628"/>
      <c r="CK707" s="628"/>
      <c r="CL707" s="628"/>
      <c r="CM707" s="628"/>
      <c r="CN707" s="628"/>
      <c r="CO707" s="628"/>
      <c r="CP707" s="628"/>
      <c r="CQ707" s="628"/>
      <c r="CR707" s="628"/>
      <c r="CS707" s="628"/>
      <c r="CT707" s="628"/>
      <c r="CU707" s="628"/>
      <c r="CV707" s="628"/>
      <c r="CW707" s="628"/>
      <c r="CX707" s="628"/>
      <c r="CY707" s="628"/>
      <c r="CZ707" s="629"/>
      <c r="DA707" s="214"/>
    </row>
    <row r="708" spans="1:105" s="16" customFormat="1" ht="15" hidden="1" customHeight="1" x14ac:dyDescent="0.3">
      <c r="A708" s="630" t="s">
        <v>659</v>
      </c>
      <c r="B708" s="631"/>
      <c r="C708" s="631"/>
      <c r="D708" s="631"/>
      <c r="E708" s="631"/>
      <c r="F708" s="631"/>
      <c r="G708" s="632"/>
      <c r="H708" s="584" t="s">
        <v>707</v>
      </c>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5"/>
      <c r="AL708" s="585"/>
      <c r="AM708" s="585"/>
      <c r="AN708" s="585"/>
      <c r="AO708" s="585"/>
      <c r="AP708" s="585"/>
      <c r="AQ708" s="585"/>
      <c r="AR708" s="585"/>
      <c r="AS708" s="585"/>
      <c r="AT708" s="586"/>
      <c r="AU708" s="475" t="s">
        <v>690</v>
      </c>
      <c r="AV708" s="476"/>
      <c r="AW708" s="476"/>
      <c r="AX708" s="476"/>
      <c r="AY708" s="476"/>
      <c r="AZ708" s="476"/>
      <c r="BA708" s="476"/>
      <c r="BB708" s="477"/>
      <c r="BC708" s="544"/>
      <c r="BD708" s="545"/>
      <c r="BE708" s="545"/>
      <c r="BF708" s="545"/>
      <c r="BG708" s="545"/>
      <c r="BH708" s="545"/>
      <c r="BI708" s="545"/>
      <c r="BJ708" s="545"/>
      <c r="BK708" s="545"/>
      <c r="BL708" s="545"/>
      <c r="BM708" s="545"/>
      <c r="BN708" s="545"/>
      <c r="BO708" s="545"/>
      <c r="BP708" s="545"/>
      <c r="BQ708" s="545"/>
      <c r="BR708" s="546"/>
      <c r="BS708" s="681"/>
      <c r="BT708" s="681"/>
      <c r="BU708" s="681"/>
      <c r="BV708" s="681"/>
      <c r="BW708" s="681"/>
      <c r="BX708" s="681"/>
      <c r="BY708" s="681"/>
      <c r="BZ708" s="681"/>
      <c r="CA708" s="681"/>
      <c r="CB708" s="681"/>
      <c r="CC708" s="681"/>
      <c r="CD708" s="681"/>
      <c r="CE708" s="681"/>
      <c r="CF708" s="681"/>
      <c r="CG708" s="681"/>
      <c r="CH708" s="681"/>
      <c r="CI708" s="627"/>
      <c r="CJ708" s="628"/>
      <c r="CK708" s="628"/>
      <c r="CL708" s="628"/>
      <c r="CM708" s="628"/>
      <c r="CN708" s="628"/>
      <c r="CO708" s="628"/>
      <c r="CP708" s="628"/>
      <c r="CQ708" s="628"/>
      <c r="CR708" s="628"/>
      <c r="CS708" s="628"/>
      <c r="CT708" s="628"/>
      <c r="CU708" s="628"/>
      <c r="CV708" s="628"/>
      <c r="CW708" s="628"/>
      <c r="CX708" s="628"/>
      <c r="CY708" s="628"/>
      <c r="CZ708" s="629"/>
      <c r="DA708" s="214"/>
    </row>
    <row r="709" spans="1:105" s="16" customFormat="1" ht="15" hidden="1" customHeight="1" x14ac:dyDescent="0.3">
      <c r="A709" s="630" t="s">
        <v>664</v>
      </c>
      <c r="B709" s="631"/>
      <c r="C709" s="631"/>
      <c r="D709" s="631"/>
      <c r="E709" s="631"/>
      <c r="F709" s="631"/>
      <c r="G709" s="632"/>
      <c r="H709" s="584" t="s">
        <v>708</v>
      </c>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5"/>
      <c r="AL709" s="585"/>
      <c r="AM709" s="585"/>
      <c r="AN709" s="585"/>
      <c r="AO709" s="585"/>
      <c r="AP709" s="585"/>
      <c r="AQ709" s="585"/>
      <c r="AR709" s="585"/>
      <c r="AS709" s="585"/>
      <c r="AT709" s="586"/>
      <c r="AU709" s="475" t="s">
        <v>459</v>
      </c>
      <c r="AV709" s="476"/>
      <c r="AW709" s="476"/>
      <c r="AX709" s="476"/>
      <c r="AY709" s="476"/>
      <c r="AZ709" s="476"/>
      <c r="BA709" s="476"/>
      <c r="BB709" s="477"/>
      <c r="BC709" s="544"/>
      <c r="BD709" s="545"/>
      <c r="BE709" s="545"/>
      <c r="BF709" s="545"/>
      <c r="BG709" s="545"/>
      <c r="BH709" s="545"/>
      <c r="BI709" s="545"/>
      <c r="BJ709" s="545"/>
      <c r="BK709" s="545"/>
      <c r="BL709" s="545"/>
      <c r="BM709" s="545"/>
      <c r="BN709" s="545"/>
      <c r="BO709" s="545"/>
      <c r="BP709" s="545"/>
      <c r="BQ709" s="545"/>
      <c r="BR709" s="546"/>
      <c r="BS709" s="681"/>
      <c r="BT709" s="681"/>
      <c r="BU709" s="681"/>
      <c r="BV709" s="681"/>
      <c r="BW709" s="681"/>
      <c r="BX709" s="681"/>
      <c r="BY709" s="681"/>
      <c r="BZ709" s="681"/>
      <c r="CA709" s="681"/>
      <c r="CB709" s="681"/>
      <c r="CC709" s="681"/>
      <c r="CD709" s="681"/>
      <c r="CE709" s="681"/>
      <c r="CF709" s="681"/>
      <c r="CG709" s="681"/>
      <c r="CH709" s="681"/>
      <c r="CI709" s="627"/>
      <c r="CJ709" s="628"/>
      <c r="CK709" s="628"/>
      <c r="CL709" s="628"/>
      <c r="CM709" s="628"/>
      <c r="CN709" s="628"/>
      <c r="CO709" s="628"/>
      <c r="CP709" s="628"/>
      <c r="CQ709" s="628"/>
      <c r="CR709" s="628"/>
      <c r="CS709" s="628"/>
      <c r="CT709" s="628"/>
      <c r="CU709" s="628"/>
      <c r="CV709" s="628"/>
      <c r="CW709" s="628"/>
      <c r="CX709" s="628"/>
      <c r="CY709" s="628"/>
      <c r="CZ709" s="629"/>
      <c r="DA709" s="214"/>
    </row>
    <row r="710" spans="1:105" s="16" customFormat="1" ht="15" hidden="1" customHeight="1" x14ac:dyDescent="0.3">
      <c r="A710" s="630" t="s">
        <v>662</v>
      </c>
      <c r="B710" s="631"/>
      <c r="C710" s="631"/>
      <c r="D710" s="631"/>
      <c r="E710" s="631"/>
      <c r="F710" s="631"/>
      <c r="G710" s="632"/>
      <c r="H710" s="584" t="s">
        <v>709</v>
      </c>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5"/>
      <c r="AL710" s="585"/>
      <c r="AM710" s="585"/>
      <c r="AN710" s="585"/>
      <c r="AO710" s="585"/>
      <c r="AP710" s="585"/>
      <c r="AQ710" s="585"/>
      <c r="AR710" s="585"/>
      <c r="AS710" s="585"/>
      <c r="AT710" s="586"/>
      <c r="AU710" s="475" t="s">
        <v>690</v>
      </c>
      <c r="AV710" s="476"/>
      <c r="AW710" s="476"/>
      <c r="AX710" s="476"/>
      <c r="AY710" s="476"/>
      <c r="AZ710" s="476"/>
      <c r="BA710" s="476"/>
      <c r="BB710" s="477"/>
      <c r="BC710" s="544"/>
      <c r="BD710" s="545"/>
      <c r="BE710" s="545"/>
      <c r="BF710" s="545"/>
      <c r="BG710" s="545"/>
      <c r="BH710" s="545"/>
      <c r="BI710" s="545"/>
      <c r="BJ710" s="545"/>
      <c r="BK710" s="545"/>
      <c r="BL710" s="545"/>
      <c r="BM710" s="545"/>
      <c r="BN710" s="545"/>
      <c r="BO710" s="545"/>
      <c r="BP710" s="545"/>
      <c r="BQ710" s="545"/>
      <c r="BR710" s="546"/>
      <c r="BS710" s="681"/>
      <c r="BT710" s="681"/>
      <c r="BU710" s="681"/>
      <c r="BV710" s="681"/>
      <c r="BW710" s="681"/>
      <c r="BX710" s="681"/>
      <c r="BY710" s="681"/>
      <c r="BZ710" s="681"/>
      <c r="CA710" s="681"/>
      <c r="CB710" s="681"/>
      <c r="CC710" s="681"/>
      <c r="CD710" s="681"/>
      <c r="CE710" s="681"/>
      <c r="CF710" s="681"/>
      <c r="CG710" s="681"/>
      <c r="CH710" s="681"/>
      <c r="CI710" s="627"/>
      <c r="CJ710" s="628"/>
      <c r="CK710" s="628"/>
      <c r="CL710" s="628"/>
      <c r="CM710" s="628"/>
      <c r="CN710" s="628"/>
      <c r="CO710" s="628"/>
      <c r="CP710" s="628"/>
      <c r="CQ710" s="628"/>
      <c r="CR710" s="628"/>
      <c r="CS710" s="628"/>
      <c r="CT710" s="628"/>
      <c r="CU710" s="628"/>
      <c r="CV710" s="628"/>
      <c r="CW710" s="628"/>
      <c r="CX710" s="628"/>
      <c r="CY710" s="628"/>
      <c r="CZ710" s="629"/>
      <c r="DA710" s="214"/>
    </row>
    <row r="711" spans="1:105" s="16" customFormat="1" ht="15" hidden="1" customHeight="1" x14ac:dyDescent="0.3">
      <c r="A711" s="630"/>
      <c r="B711" s="631"/>
      <c r="C711" s="631"/>
      <c r="D711" s="631"/>
      <c r="E711" s="631"/>
      <c r="F711" s="631"/>
      <c r="G711" s="632"/>
      <c r="H711" s="584"/>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5"/>
      <c r="AL711" s="585"/>
      <c r="AM711" s="585"/>
      <c r="AN711" s="585"/>
      <c r="AO711" s="585"/>
      <c r="AP711" s="585"/>
      <c r="AQ711" s="585"/>
      <c r="AR711" s="585"/>
      <c r="AS711" s="585"/>
      <c r="AT711" s="586"/>
      <c r="AU711" s="475"/>
      <c r="AV711" s="476"/>
      <c r="AW711" s="476"/>
      <c r="AX711" s="476"/>
      <c r="AY711" s="476"/>
      <c r="AZ711" s="476"/>
      <c r="BA711" s="476"/>
      <c r="BB711" s="477"/>
      <c r="BC711" s="544"/>
      <c r="BD711" s="545"/>
      <c r="BE711" s="545"/>
      <c r="BF711" s="545"/>
      <c r="BG711" s="545"/>
      <c r="BH711" s="545"/>
      <c r="BI711" s="545"/>
      <c r="BJ711" s="545"/>
      <c r="BK711" s="545"/>
      <c r="BL711" s="545"/>
      <c r="BM711" s="545"/>
      <c r="BN711" s="545"/>
      <c r="BO711" s="545"/>
      <c r="BP711" s="545"/>
      <c r="BQ711" s="545"/>
      <c r="BR711" s="546"/>
      <c r="BS711" s="639"/>
      <c r="BT711" s="640"/>
      <c r="BU711" s="640"/>
      <c r="BV711" s="640"/>
      <c r="BW711" s="640"/>
      <c r="BX711" s="640"/>
      <c r="BY711" s="640"/>
      <c r="BZ711" s="640"/>
      <c r="CA711" s="640"/>
      <c r="CB711" s="640"/>
      <c r="CC711" s="640"/>
      <c r="CD711" s="640"/>
      <c r="CE711" s="640"/>
      <c r="CF711" s="640"/>
      <c r="CG711" s="640"/>
      <c r="CH711" s="641"/>
      <c r="CI711" s="627"/>
      <c r="CJ711" s="628"/>
      <c r="CK711" s="628"/>
      <c r="CL711" s="628"/>
      <c r="CM711" s="628"/>
      <c r="CN711" s="628"/>
      <c r="CO711" s="628"/>
      <c r="CP711" s="628"/>
      <c r="CQ711" s="628"/>
      <c r="CR711" s="628"/>
      <c r="CS711" s="628"/>
      <c r="CT711" s="628"/>
      <c r="CU711" s="628"/>
      <c r="CV711" s="628"/>
      <c r="CW711" s="628"/>
      <c r="CX711" s="628"/>
      <c r="CY711" s="628"/>
      <c r="CZ711" s="629"/>
      <c r="DA711" s="214"/>
    </row>
    <row r="712" spans="1:105" s="16" customFormat="1" ht="15" customHeight="1" x14ac:dyDescent="0.3">
      <c r="A712" s="630"/>
      <c r="B712" s="631"/>
      <c r="C712" s="631"/>
      <c r="D712" s="631"/>
      <c r="E712" s="631"/>
      <c r="F712" s="631"/>
      <c r="G712" s="632"/>
      <c r="H712" s="651" t="s">
        <v>710</v>
      </c>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3"/>
      <c r="AU712" s="541" t="s">
        <v>697</v>
      </c>
      <c r="AV712" s="542"/>
      <c r="AW712" s="542"/>
      <c r="AX712" s="542"/>
      <c r="AY712" s="542"/>
      <c r="AZ712" s="542"/>
      <c r="BA712" s="542"/>
      <c r="BB712" s="543"/>
      <c r="BC712" s="644">
        <v>5000</v>
      </c>
      <c r="BD712" s="645"/>
      <c r="BE712" s="645"/>
      <c r="BF712" s="645"/>
      <c r="BG712" s="645"/>
      <c r="BH712" s="645"/>
      <c r="BI712" s="645"/>
      <c r="BJ712" s="645"/>
      <c r="BK712" s="645"/>
      <c r="BL712" s="645"/>
      <c r="BM712" s="645"/>
      <c r="BN712" s="645"/>
      <c r="BO712" s="645"/>
      <c r="BP712" s="645"/>
      <c r="BQ712" s="645"/>
      <c r="BR712" s="646"/>
      <c r="BS712" s="644">
        <f>CI712/BC712</f>
        <v>63.966000000000001</v>
      </c>
      <c r="BT712" s="645"/>
      <c r="BU712" s="645"/>
      <c r="BV712" s="645"/>
      <c r="BW712" s="645"/>
      <c r="BX712" s="645"/>
      <c r="BY712" s="645"/>
      <c r="BZ712" s="645"/>
      <c r="CA712" s="645"/>
      <c r="CB712" s="645"/>
      <c r="CC712" s="645"/>
      <c r="CD712" s="645"/>
      <c r="CE712" s="645"/>
      <c r="CF712" s="645"/>
      <c r="CG712" s="645"/>
      <c r="CH712" s="646"/>
      <c r="CI712" s="636">
        <f>300000+19830</f>
        <v>319830</v>
      </c>
      <c r="CJ712" s="654"/>
      <c r="CK712" s="654"/>
      <c r="CL712" s="654"/>
      <c r="CM712" s="654"/>
      <c r="CN712" s="654"/>
      <c r="CO712" s="654"/>
      <c r="CP712" s="654"/>
      <c r="CQ712" s="654"/>
      <c r="CR712" s="654"/>
      <c r="CS712" s="654"/>
      <c r="CT712" s="654"/>
      <c r="CU712" s="654"/>
      <c r="CV712" s="654"/>
      <c r="CW712" s="654"/>
      <c r="CX712" s="654"/>
      <c r="CY712" s="654"/>
      <c r="CZ712" s="655"/>
      <c r="DA712" s="214"/>
    </row>
    <row r="713" spans="1:105" s="16" customFormat="1" ht="15" customHeight="1" x14ac:dyDescent="0.3">
      <c r="A713" s="630"/>
      <c r="B713" s="631"/>
      <c r="C713" s="631"/>
      <c r="D713" s="631"/>
      <c r="E713" s="631"/>
      <c r="F713" s="631"/>
      <c r="G713" s="632"/>
      <c r="H713" s="584"/>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5"/>
      <c r="AL713" s="585"/>
      <c r="AM713" s="585"/>
      <c r="AN713" s="585"/>
      <c r="AO713" s="585"/>
      <c r="AP713" s="585"/>
      <c r="AQ713" s="585"/>
      <c r="AR713" s="585"/>
      <c r="AS713" s="585"/>
      <c r="AT713" s="586"/>
      <c r="AU713" s="475"/>
      <c r="AV713" s="476"/>
      <c r="AW713" s="476"/>
      <c r="AX713" s="476"/>
      <c r="AY713" s="476"/>
      <c r="AZ713" s="476"/>
      <c r="BA713" s="476"/>
      <c r="BB713" s="477"/>
      <c r="BC713" s="544"/>
      <c r="BD713" s="545"/>
      <c r="BE713" s="545"/>
      <c r="BF713" s="545"/>
      <c r="BG713" s="545"/>
      <c r="BH713" s="545"/>
      <c r="BI713" s="545"/>
      <c r="BJ713" s="545"/>
      <c r="BK713" s="545"/>
      <c r="BL713" s="545"/>
      <c r="BM713" s="545"/>
      <c r="BN713" s="545"/>
      <c r="BO713" s="545"/>
      <c r="BP713" s="545"/>
      <c r="BQ713" s="545"/>
      <c r="BR713" s="546"/>
      <c r="BS713" s="639"/>
      <c r="BT713" s="640"/>
      <c r="BU713" s="640"/>
      <c r="BV713" s="640"/>
      <c r="BW713" s="640"/>
      <c r="BX713" s="640"/>
      <c r="BY713" s="640"/>
      <c r="BZ713" s="640"/>
      <c r="CA713" s="640"/>
      <c r="CB713" s="640"/>
      <c r="CC713" s="640"/>
      <c r="CD713" s="640"/>
      <c r="CE713" s="640"/>
      <c r="CF713" s="640"/>
      <c r="CG713" s="640"/>
      <c r="CH713" s="641"/>
      <c r="CI713" s="627"/>
      <c r="CJ713" s="628"/>
      <c r="CK713" s="628"/>
      <c r="CL713" s="628"/>
      <c r="CM713" s="628"/>
      <c r="CN713" s="628"/>
      <c r="CO713" s="628"/>
      <c r="CP713" s="628"/>
      <c r="CQ713" s="628"/>
      <c r="CR713" s="628"/>
      <c r="CS713" s="628"/>
      <c r="CT713" s="628"/>
      <c r="CU713" s="628"/>
      <c r="CV713" s="628"/>
      <c r="CW713" s="628"/>
      <c r="CX713" s="628"/>
      <c r="CY713" s="628"/>
      <c r="CZ713" s="629"/>
      <c r="DA713" s="214"/>
    </row>
    <row r="714" spans="1:105" s="16" customFormat="1" ht="13.2" x14ac:dyDescent="0.3">
      <c r="A714" s="630"/>
      <c r="B714" s="631"/>
      <c r="C714" s="631"/>
      <c r="D714" s="631"/>
      <c r="E714" s="631"/>
      <c r="F714" s="631"/>
      <c r="G714" s="632"/>
      <c r="H714" s="651" t="s">
        <v>711</v>
      </c>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3"/>
      <c r="AU714" s="475"/>
      <c r="AV714" s="476"/>
      <c r="AW714" s="476"/>
      <c r="AX714" s="476"/>
      <c r="AY714" s="476"/>
      <c r="AZ714" s="476"/>
      <c r="BA714" s="476"/>
      <c r="BB714" s="477"/>
      <c r="BC714" s="647">
        <f>SUM(BC715:BR727)</f>
        <v>835</v>
      </c>
      <c r="BD714" s="637"/>
      <c r="BE714" s="637"/>
      <c r="BF714" s="637"/>
      <c r="BG714" s="637"/>
      <c r="BH714" s="637"/>
      <c r="BI714" s="637"/>
      <c r="BJ714" s="637"/>
      <c r="BK714" s="637"/>
      <c r="BL714" s="637"/>
      <c r="BM714" s="637"/>
      <c r="BN714" s="637"/>
      <c r="BO714" s="637"/>
      <c r="BP714" s="637"/>
      <c r="BQ714" s="637"/>
      <c r="BR714" s="638"/>
      <c r="BS714" s="644">
        <f>CI714/BC714</f>
        <v>191.61676646706587</v>
      </c>
      <c r="BT714" s="645"/>
      <c r="BU714" s="645"/>
      <c r="BV714" s="645"/>
      <c r="BW714" s="645"/>
      <c r="BX714" s="645"/>
      <c r="BY714" s="645"/>
      <c r="BZ714" s="645"/>
      <c r="CA714" s="645"/>
      <c r="CB714" s="645"/>
      <c r="CC714" s="645"/>
      <c r="CD714" s="645"/>
      <c r="CE714" s="645"/>
      <c r="CF714" s="645"/>
      <c r="CG714" s="645"/>
      <c r="CH714" s="646"/>
      <c r="CI714" s="636">
        <f>SUM(CI715:CZ727)</f>
        <v>160000</v>
      </c>
      <c r="CJ714" s="637"/>
      <c r="CK714" s="637"/>
      <c r="CL714" s="637"/>
      <c r="CM714" s="637"/>
      <c r="CN714" s="637"/>
      <c r="CO714" s="637"/>
      <c r="CP714" s="637"/>
      <c r="CQ714" s="637"/>
      <c r="CR714" s="637"/>
      <c r="CS714" s="637"/>
      <c r="CT714" s="637"/>
      <c r="CU714" s="637"/>
      <c r="CV714" s="637"/>
      <c r="CW714" s="637"/>
      <c r="CX714" s="637"/>
      <c r="CY714" s="637"/>
      <c r="CZ714" s="638"/>
      <c r="DA714" s="214"/>
    </row>
    <row r="715" spans="1:105" s="16" customFormat="1" ht="13.2" x14ac:dyDescent="0.3">
      <c r="A715" s="630" t="s">
        <v>67</v>
      </c>
      <c r="B715" s="631"/>
      <c r="C715" s="631"/>
      <c r="D715" s="631"/>
      <c r="E715" s="631"/>
      <c r="F715" s="631"/>
      <c r="G715" s="632"/>
      <c r="H715" s="584" t="s">
        <v>712</v>
      </c>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6"/>
      <c r="AU715" s="475" t="s">
        <v>690</v>
      </c>
      <c r="AV715" s="476"/>
      <c r="AW715" s="476"/>
      <c r="AX715" s="476"/>
      <c r="AY715" s="476"/>
      <c r="AZ715" s="476"/>
      <c r="BA715" s="476"/>
      <c r="BB715" s="477"/>
      <c r="BC715" s="544">
        <v>2</v>
      </c>
      <c r="BD715" s="545"/>
      <c r="BE715" s="545"/>
      <c r="BF715" s="545"/>
      <c r="BG715" s="545"/>
      <c r="BH715" s="545"/>
      <c r="BI715" s="545"/>
      <c r="BJ715" s="545"/>
      <c r="BK715" s="545"/>
      <c r="BL715" s="545"/>
      <c r="BM715" s="545"/>
      <c r="BN715" s="545"/>
      <c r="BO715" s="545"/>
      <c r="BP715" s="545"/>
      <c r="BQ715" s="545"/>
      <c r="BR715" s="546"/>
      <c r="BS715" s="639">
        <f>CI715/BC715</f>
        <v>1100</v>
      </c>
      <c r="BT715" s="640"/>
      <c r="BU715" s="640"/>
      <c r="BV715" s="640"/>
      <c r="BW715" s="640"/>
      <c r="BX715" s="640"/>
      <c r="BY715" s="640"/>
      <c r="BZ715" s="640"/>
      <c r="CA715" s="640"/>
      <c r="CB715" s="640"/>
      <c r="CC715" s="640"/>
      <c r="CD715" s="640"/>
      <c r="CE715" s="640"/>
      <c r="CF715" s="640"/>
      <c r="CG715" s="640"/>
      <c r="CH715" s="641"/>
      <c r="CI715" s="627">
        <v>2200</v>
      </c>
      <c r="CJ715" s="628"/>
      <c r="CK715" s="628"/>
      <c r="CL715" s="628"/>
      <c r="CM715" s="628"/>
      <c r="CN715" s="628"/>
      <c r="CO715" s="628"/>
      <c r="CP715" s="628"/>
      <c r="CQ715" s="628"/>
      <c r="CR715" s="628"/>
      <c r="CS715" s="628"/>
      <c r="CT715" s="628"/>
      <c r="CU715" s="628"/>
      <c r="CV715" s="628"/>
      <c r="CW715" s="628"/>
      <c r="CX715" s="628"/>
      <c r="CY715" s="628"/>
      <c r="CZ715" s="629"/>
      <c r="DA715" s="214"/>
    </row>
    <row r="716" spans="1:105" s="16" customFormat="1" ht="13.2" x14ac:dyDescent="0.3">
      <c r="A716" s="630" t="s">
        <v>71</v>
      </c>
      <c r="B716" s="631"/>
      <c r="C716" s="631"/>
      <c r="D716" s="631"/>
      <c r="E716" s="631"/>
      <c r="F716" s="631"/>
      <c r="G716" s="632"/>
      <c r="H716" s="584" t="s">
        <v>973</v>
      </c>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5"/>
      <c r="AL716" s="585"/>
      <c r="AM716" s="585"/>
      <c r="AN716" s="585"/>
      <c r="AO716" s="585"/>
      <c r="AP716" s="585"/>
      <c r="AQ716" s="585"/>
      <c r="AR716" s="585"/>
      <c r="AS716" s="585"/>
      <c r="AT716" s="586"/>
      <c r="AU716" s="475" t="s">
        <v>690</v>
      </c>
      <c r="AV716" s="476"/>
      <c r="AW716" s="476"/>
      <c r="AX716" s="476"/>
      <c r="AY716" s="476"/>
      <c r="AZ716" s="476"/>
      <c r="BA716" s="476"/>
      <c r="BB716" s="477"/>
      <c r="BC716" s="544">
        <v>5</v>
      </c>
      <c r="BD716" s="545"/>
      <c r="BE716" s="545"/>
      <c r="BF716" s="545"/>
      <c r="BG716" s="545"/>
      <c r="BH716" s="545"/>
      <c r="BI716" s="545"/>
      <c r="BJ716" s="545"/>
      <c r="BK716" s="545"/>
      <c r="BL716" s="545"/>
      <c r="BM716" s="545"/>
      <c r="BN716" s="545"/>
      <c r="BO716" s="545"/>
      <c r="BP716" s="545"/>
      <c r="BQ716" s="545"/>
      <c r="BR716" s="546"/>
      <c r="BS716" s="639">
        <f t="shared" ref="BS716:BS727" si="23">CI716/BC716</f>
        <v>1000</v>
      </c>
      <c r="BT716" s="640"/>
      <c r="BU716" s="640"/>
      <c r="BV716" s="640"/>
      <c r="BW716" s="640"/>
      <c r="BX716" s="640"/>
      <c r="BY716" s="640"/>
      <c r="BZ716" s="640"/>
      <c r="CA716" s="640"/>
      <c r="CB716" s="640"/>
      <c r="CC716" s="640"/>
      <c r="CD716" s="640"/>
      <c r="CE716" s="640"/>
      <c r="CF716" s="640"/>
      <c r="CG716" s="640"/>
      <c r="CH716" s="641"/>
      <c r="CI716" s="627">
        <v>5000</v>
      </c>
      <c r="CJ716" s="628"/>
      <c r="CK716" s="628"/>
      <c r="CL716" s="628"/>
      <c r="CM716" s="628"/>
      <c r="CN716" s="628"/>
      <c r="CO716" s="628"/>
      <c r="CP716" s="628"/>
      <c r="CQ716" s="628"/>
      <c r="CR716" s="628"/>
      <c r="CS716" s="628"/>
      <c r="CT716" s="628"/>
      <c r="CU716" s="628"/>
      <c r="CV716" s="628"/>
      <c r="CW716" s="628"/>
      <c r="CX716" s="628"/>
      <c r="CY716" s="628"/>
      <c r="CZ716" s="629"/>
      <c r="DA716" s="214"/>
    </row>
    <row r="717" spans="1:105" s="16" customFormat="1" ht="13.2" x14ac:dyDescent="0.3">
      <c r="A717" s="630" t="s">
        <v>462</v>
      </c>
      <c r="B717" s="631"/>
      <c r="C717" s="631"/>
      <c r="D717" s="631"/>
      <c r="E717" s="631"/>
      <c r="F717" s="631"/>
      <c r="G717" s="632"/>
      <c r="H717" s="584" t="s">
        <v>918</v>
      </c>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5"/>
      <c r="AL717" s="585"/>
      <c r="AM717" s="585"/>
      <c r="AN717" s="585"/>
      <c r="AO717" s="585"/>
      <c r="AP717" s="585"/>
      <c r="AQ717" s="585"/>
      <c r="AR717" s="585"/>
      <c r="AS717" s="585"/>
      <c r="AT717" s="586"/>
      <c r="AU717" s="475" t="s">
        <v>690</v>
      </c>
      <c r="AV717" s="476"/>
      <c r="AW717" s="476"/>
      <c r="AX717" s="476"/>
      <c r="AY717" s="476"/>
      <c r="AZ717" s="476"/>
      <c r="BA717" s="476"/>
      <c r="BB717" s="477"/>
      <c r="BC717" s="544">
        <v>45</v>
      </c>
      <c r="BD717" s="545"/>
      <c r="BE717" s="545"/>
      <c r="BF717" s="545"/>
      <c r="BG717" s="545"/>
      <c r="BH717" s="545"/>
      <c r="BI717" s="545"/>
      <c r="BJ717" s="545"/>
      <c r="BK717" s="545"/>
      <c r="BL717" s="545"/>
      <c r="BM717" s="545"/>
      <c r="BN717" s="545"/>
      <c r="BO717" s="545"/>
      <c r="BP717" s="545"/>
      <c r="BQ717" s="545"/>
      <c r="BR717" s="546"/>
      <c r="BS717" s="639">
        <f t="shared" si="23"/>
        <v>666.66666666666663</v>
      </c>
      <c r="BT717" s="640"/>
      <c r="BU717" s="640"/>
      <c r="BV717" s="640"/>
      <c r="BW717" s="640"/>
      <c r="BX717" s="640"/>
      <c r="BY717" s="640"/>
      <c r="BZ717" s="640"/>
      <c r="CA717" s="640"/>
      <c r="CB717" s="640"/>
      <c r="CC717" s="640"/>
      <c r="CD717" s="640"/>
      <c r="CE717" s="640"/>
      <c r="CF717" s="640"/>
      <c r="CG717" s="640"/>
      <c r="CH717" s="641"/>
      <c r="CI717" s="627">
        <v>30000</v>
      </c>
      <c r="CJ717" s="628"/>
      <c r="CK717" s="628"/>
      <c r="CL717" s="628"/>
      <c r="CM717" s="628"/>
      <c r="CN717" s="628"/>
      <c r="CO717" s="628"/>
      <c r="CP717" s="628"/>
      <c r="CQ717" s="628"/>
      <c r="CR717" s="628"/>
      <c r="CS717" s="628"/>
      <c r="CT717" s="628"/>
      <c r="CU717" s="628"/>
      <c r="CV717" s="628"/>
      <c r="CW717" s="628"/>
      <c r="CX717" s="628"/>
      <c r="CY717" s="628"/>
      <c r="CZ717" s="629"/>
      <c r="DA717" s="214"/>
    </row>
    <row r="718" spans="1:105" s="16" customFormat="1" ht="13.2" x14ac:dyDescent="0.3">
      <c r="A718" s="630" t="s">
        <v>477</v>
      </c>
      <c r="B718" s="631"/>
      <c r="C718" s="631"/>
      <c r="D718" s="631"/>
      <c r="E718" s="631"/>
      <c r="F718" s="631"/>
      <c r="G718" s="632"/>
      <c r="H718" s="584" t="s">
        <v>974</v>
      </c>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5"/>
      <c r="AL718" s="585"/>
      <c r="AM718" s="585"/>
      <c r="AN718" s="585"/>
      <c r="AO718" s="585"/>
      <c r="AP718" s="585"/>
      <c r="AQ718" s="585"/>
      <c r="AR718" s="585"/>
      <c r="AS718" s="585"/>
      <c r="AT718" s="586"/>
      <c r="AU718" s="475" t="s">
        <v>690</v>
      </c>
      <c r="AV718" s="476"/>
      <c r="AW718" s="476"/>
      <c r="AX718" s="476"/>
      <c r="AY718" s="476"/>
      <c r="AZ718" s="476"/>
      <c r="BA718" s="476"/>
      <c r="BB718" s="477"/>
      <c r="BC718" s="544">
        <v>35</v>
      </c>
      <c r="BD718" s="545"/>
      <c r="BE718" s="545"/>
      <c r="BF718" s="545"/>
      <c r="BG718" s="545"/>
      <c r="BH718" s="545"/>
      <c r="BI718" s="545"/>
      <c r="BJ718" s="545"/>
      <c r="BK718" s="545"/>
      <c r="BL718" s="545"/>
      <c r="BM718" s="545"/>
      <c r="BN718" s="545"/>
      <c r="BO718" s="545"/>
      <c r="BP718" s="545"/>
      <c r="BQ718" s="545"/>
      <c r="BR718" s="546"/>
      <c r="BS718" s="639">
        <f t="shared" si="23"/>
        <v>57.142857142857146</v>
      </c>
      <c r="BT718" s="640"/>
      <c r="BU718" s="640"/>
      <c r="BV718" s="640"/>
      <c r="BW718" s="640"/>
      <c r="BX718" s="640"/>
      <c r="BY718" s="640"/>
      <c r="BZ718" s="640"/>
      <c r="CA718" s="640"/>
      <c r="CB718" s="640"/>
      <c r="CC718" s="640"/>
      <c r="CD718" s="640"/>
      <c r="CE718" s="640"/>
      <c r="CF718" s="640"/>
      <c r="CG718" s="640"/>
      <c r="CH718" s="641"/>
      <c r="CI718" s="627">
        <v>2000</v>
      </c>
      <c r="CJ718" s="628"/>
      <c r="CK718" s="628"/>
      <c r="CL718" s="628"/>
      <c r="CM718" s="628"/>
      <c r="CN718" s="628"/>
      <c r="CO718" s="628"/>
      <c r="CP718" s="628"/>
      <c r="CQ718" s="628"/>
      <c r="CR718" s="628"/>
      <c r="CS718" s="628"/>
      <c r="CT718" s="628"/>
      <c r="CU718" s="628"/>
      <c r="CV718" s="628"/>
      <c r="CW718" s="628"/>
      <c r="CX718" s="628"/>
      <c r="CY718" s="628"/>
      <c r="CZ718" s="629"/>
      <c r="DA718" s="214"/>
    </row>
    <row r="719" spans="1:105" s="16" customFormat="1" ht="13.2" x14ac:dyDescent="0.3">
      <c r="A719" s="630" t="s">
        <v>479</v>
      </c>
      <c r="B719" s="631"/>
      <c r="C719" s="631"/>
      <c r="D719" s="631"/>
      <c r="E719" s="631"/>
      <c r="F719" s="631"/>
      <c r="G719" s="632"/>
      <c r="H719" s="584" t="s">
        <v>975</v>
      </c>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5"/>
      <c r="AL719" s="585"/>
      <c r="AM719" s="585"/>
      <c r="AN719" s="585"/>
      <c r="AO719" s="585"/>
      <c r="AP719" s="585"/>
      <c r="AQ719" s="585"/>
      <c r="AR719" s="585"/>
      <c r="AS719" s="585"/>
      <c r="AT719" s="586"/>
      <c r="AU719" s="475" t="s">
        <v>690</v>
      </c>
      <c r="AV719" s="476"/>
      <c r="AW719" s="476"/>
      <c r="AX719" s="476"/>
      <c r="AY719" s="476"/>
      <c r="AZ719" s="476"/>
      <c r="BA719" s="476"/>
      <c r="BB719" s="477"/>
      <c r="BC719" s="544">
        <v>30</v>
      </c>
      <c r="BD719" s="545"/>
      <c r="BE719" s="545"/>
      <c r="BF719" s="545"/>
      <c r="BG719" s="545"/>
      <c r="BH719" s="545"/>
      <c r="BI719" s="545"/>
      <c r="BJ719" s="545"/>
      <c r="BK719" s="545"/>
      <c r="BL719" s="545"/>
      <c r="BM719" s="545"/>
      <c r="BN719" s="545"/>
      <c r="BO719" s="545"/>
      <c r="BP719" s="545"/>
      <c r="BQ719" s="545"/>
      <c r="BR719" s="546"/>
      <c r="BS719" s="639">
        <f t="shared" si="23"/>
        <v>500</v>
      </c>
      <c r="BT719" s="640"/>
      <c r="BU719" s="640"/>
      <c r="BV719" s="640"/>
      <c r="BW719" s="640"/>
      <c r="BX719" s="640"/>
      <c r="BY719" s="640"/>
      <c r="BZ719" s="640"/>
      <c r="CA719" s="640"/>
      <c r="CB719" s="640"/>
      <c r="CC719" s="640"/>
      <c r="CD719" s="640"/>
      <c r="CE719" s="640"/>
      <c r="CF719" s="640"/>
      <c r="CG719" s="640"/>
      <c r="CH719" s="641"/>
      <c r="CI719" s="627">
        <v>15000</v>
      </c>
      <c r="CJ719" s="628"/>
      <c r="CK719" s="628"/>
      <c r="CL719" s="628"/>
      <c r="CM719" s="628"/>
      <c r="CN719" s="628"/>
      <c r="CO719" s="628"/>
      <c r="CP719" s="628"/>
      <c r="CQ719" s="628"/>
      <c r="CR719" s="628"/>
      <c r="CS719" s="628"/>
      <c r="CT719" s="628"/>
      <c r="CU719" s="628"/>
      <c r="CV719" s="628"/>
      <c r="CW719" s="628"/>
      <c r="CX719" s="628"/>
      <c r="CY719" s="628"/>
      <c r="CZ719" s="629"/>
      <c r="DA719" s="214"/>
    </row>
    <row r="720" spans="1:105" s="16" customFormat="1" ht="13.2" x14ac:dyDescent="0.3">
      <c r="A720" s="630" t="s">
        <v>481</v>
      </c>
      <c r="B720" s="631"/>
      <c r="C720" s="631"/>
      <c r="D720" s="631"/>
      <c r="E720" s="631"/>
      <c r="F720" s="631"/>
      <c r="G720" s="632"/>
      <c r="H720" s="584" t="s">
        <v>922</v>
      </c>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5"/>
      <c r="AL720" s="585"/>
      <c r="AM720" s="585"/>
      <c r="AN720" s="585"/>
      <c r="AO720" s="585"/>
      <c r="AP720" s="585"/>
      <c r="AQ720" s="585"/>
      <c r="AR720" s="585"/>
      <c r="AS720" s="585"/>
      <c r="AT720" s="586"/>
      <c r="AU720" s="475" t="s">
        <v>690</v>
      </c>
      <c r="AV720" s="476"/>
      <c r="AW720" s="476"/>
      <c r="AX720" s="476"/>
      <c r="AY720" s="476"/>
      <c r="AZ720" s="476"/>
      <c r="BA720" s="476"/>
      <c r="BB720" s="477"/>
      <c r="BC720" s="544">
        <v>85</v>
      </c>
      <c r="BD720" s="545"/>
      <c r="BE720" s="545"/>
      <c r="BF720" s="545"/>
      <c r="BG720" s="545"/>
      <c r="BH720" s="545"/>
      <c r="BI720" s="545"/>
      <c r="BJ720" s="545"/>
      <c r="BK720" s="545"/>
      <c r="BL720" s="545"/>
      <c r="BM720" s="545"/>
      <c r="BN720" s="545"/>
      <c r="BO720" s="545"/>
      <c r="BP720" s="545"/>
      <c r="BQ720" s="545"/>
      <c r="BR720" s="546"/>
      <c r="BS720" s="639">
        <f t="shared" si="23"/>
        <v>352.94117647058823</v>
      </c>
      <c r="BT720" s="640"/>
      <c r="BU720" s="640"/>
      <c r="BV720" s="640"/>
      <c r="BW720" s="640"/>
      <c r="BX720" s="640"/>
      <c r="BY720" s="640"/>
      <c r="BZ720" s="640"/>
      <c r="CA720" s="640"/>
      <c r="CB720" s="640"/>
      <c r="CC720" s="640"/>
      <c r="CD720" s="640"/>
      <c r="CE720" s="640"/>
      <c r="CF720" s="640"/>
      <c r="CG720" s="640"/>
      <c r="CH720" s="641"/>
      <c r="CI720" s="627">
        <v>30000</v>
      </c>
      <c r="CJ720" s="628"/>
      <c r="CK720" s="628"/>
      <c r="CL720" s="628"/>
      <c r="CM720" s="628"/>
      <c r="CN720" s="628"/>
      <c r="CO720" s="628"/>
      <c r="CP720" s="628"/>
      <c r="CQ720" s="628"/>
      <c r="CR720" s="628"/>
      <c r="CS720" s="628"/>
      <c r="CT720" s="628"/>
      <c r="CU720" s="628"/>
      <c r="CV720" s="628"/>
      <c r="CW720" s="628"/>
      <c r="CX720" s="628"/>
      <c r="CY720" s="628"/>
      <c r="CZ720" s="629"/>
      <c r="DA720" s="214"/>
    </row>
    <row r="721" spans="1:105" s="16" customFormat="1" ht="13.2" x14ac:dyDescent="0.3">
      <c r="A721" s="630" t="s">
        <v>483</v>
      </c>
      <c r="B721" s="631"/>
      <c r="C721" s="631"/>
      <c r="D721" s="631"/>
      <c r="E721" s="631"/>
      <c r="F721" s="631"/>
      <c r="G721" s="632"/>
      <c r="H721" s="584" t="s">
        <v>980</v>
      </c>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5"/>
      <c r="AL721" s="585"/>
      <c r="AM721" s="585"/>
      <c r="AN721" s="585"/>
      <c r="AO721" s="585"/>
      <c r="AP721" s="585"/>
      <c r="AQ721" s="585"/>
      <c r="AR721" s="585"/>
      <c r="AS721" s="585"/>
      <c r="AT721" s="586"/>
      <c r="AU721" s="475" t="s">
        <v>690</v>
      </c>
      <c r="AV721" s="476"/>
      <c r="AW721" s="476"/>
      <c r="AX721" s="476"/>
      <c r="AY721" s="476"/>
      <c r="AZ721" s="476"/>
      <c r="BA721" s="476"/>
      <c r="BB721" s="477"/>
      <c r="BC721" s="544">
        <v>30</v>
      </c>
      <c r="BD721" s="545"/>
      <c r="BE721" s="545"/>
      <c r="BF721" s="545"/>
      <c r="BG721" s="545"/>
      <c r="BH721" s="545"/>
      <c r="BI721" s="545"/>
      <c r="BJ721" s="545"/>
      <c r="BK721" s="545"/>
      <c r="BL721" s="545"/>
      <c r="BM721" s="545"/>
      <c r="BN721" s="545"/>
      <c r="BO721" s="545"/>
      <c r="BP721" s="545"/>
      <c r="BQ721" s="545"/>
      <c r="BR721" s="546"/>
      <c r="BS721" s="639">
        <f t="shared" si="23"/>
        <v>1666.6666666666667</v>
      </c>
      <c r="BT721" s="640"/>
      <c r="BU721" s="640"/>
      <c r="BV721" s="640"/>
      <c r="BW721" s="640"/>
      <c r="BX721" s="640"/>
      <c r="BY721" s="640"/>
      <c r="BZ721" s="640"/>
      <c r="CA721" s="640"/>
      <c r="CB721" s="640"/>
      <c r="CC721" s="640"/>
      <c r="CD721" s="640"/>
      <c r="CE721" s="640"/>
      <c r="CF721" s="640"/>
      <c r="CG721" s="640"/>
      <c r="CH721" s="641"/>
      <c r="CI721" s="627">
        <v>50000</v>
      </c>
      <c r="CJ721" s="628"/>
      <c r="CK721" s="628"/>
      <c r="CL721" s="628"/>
      <c r="CM721" s="628"/>
      <c r="CN721" s="628"/>
      <c r="CO721" s="628"/>
      <c r="CP721" s="628"/>
      <c r="CQ721" s="628"/>
      <c r="CR721" s="628"/>
      <c r="CS721" s="628"/>
      <c r="CT721" s="628"/>
      <c r="CU721" s="628"/>
      <c r="CV721" s="628"/>
      <c r="CW721" s="628"/>
      <c r="CX721" s="628"/>
      <c r="CY721" s="628"/>
      <c r="CZ721" s="629"/>
      <c r="DA721" s="214"/>
    </row>
    <row r="722" spans="1:105" s="16" customFormat="1" ht="13.2" x14ac:dyDescent="0.3">
      <c r="A722" s="630" t="s">
        <v>485</v>
      </c>
      <c r="B722" s="631"/>
      <c r="C722" s="631"/>
      <c r="D722" s="631"/>
      <c r="E722" s="631"/>
      <c r="F722" s="631"/>
      <c r="G722" s="632"/>
      <c r="H722" s="584" t="s">
        <v>981</v>
      </c>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5"/>
      <c r="AL722" s="585"/>
      <c r="AM722" s="585"/>
      <c r="AN722" s="585"/>
      <c r="AO722" s="585"/>
      <c r="AP722" s="585"/>
      <c r="AQ722" s="585"/>
      <c r="AR722" s="585"/>
      <c r="AS722" s="585"/>
      <c r="AT722" s="586"/>
      <c r="AU722" s="475" t="s">
        <v>690</v>
      </c>
      <c r="AV722" s="476"/>
      <c r="AW722" s="476"/>
      <c r="AX722" s="476"/>
      <c r="AY722" s="476"/>
      <c r="AZ722" s="476"/>
      <c r="BA722" s="476"/>
      <c r="BB722" s="477"/>
      <c r="BC722" s="544">
        <v>500</v>
      </c>
      <c r="BD722" s="545"/>
      <c r="BE722" s="545"/>
      <c r="BF722" s="545"/>
      <c r="BG722" s="545"/>
      <c r="BH722" s="545"/>
      <c r="BI722" s="545"/>
      <c r="BJ722" s="545"/>
      <c r="BK722" s="545"/>
      <c r="BL722" s="545"/>
      <c r="BM722" s="545"/>
      <c r="BN722" s="545"/>
      <c r="BO722" s="545"/>
      <c r="BP722" s="545"/>
      <c r="BQ722" s="545"/>
      <c r="BR722" s="546"/>
      <c r="BS722" s="639">
        <f t="shared" si="23"/>
        <v>11</v>
      </c>
      <c r="BT722" s="640"/>
      <c r="BU722" s="640"/>
      <c r="BV722" s="640"/>
      <c r="BW722" s="640"/>
      <c r="BX722" s="640"/>
      <c r="BY722" s="640"/>
      <c r="BZ722" s="640"/>
      <c r="CA722" s="640"/>
      <c r="CB722" s="640"/>
      <c r="CC722" s="640"/>
      <c r="CD722" s="640"/>
      <c r="CE722" s="640"/>
      <c r="CF722" s="640"/>
      <c r="CG722" s="640"/>
      <c r="CH722" s="641"/>
      <c r="CI722" s="627">
        <v>5500</v>
      </c>
      <c r="CJ722" s="628"/>
      <c r="CK722" s="628"/>
      <c r="CL722" s="628"/>
      <c r="CM722" s="628"/>
      <c r="CN722" s="628"/>
      <c r="CO722" s="628"/>
      <c r="CP722" s="628"/>
      <c r="CQ722" s="628"/>
      <c r="CR722" s="628"/>
      <c r="CS722" s="628"/>
      <c r="CT722" s="628"/>
      <c r="CU722" s="628"/>
      <c r="CV722" s="628"/>
      <c r="CW722" s="628"/>
      <c r="CX722" s="628"/>
      <c r="CY722" s="628"/>
      <c r="CZ722" s="629"/>
      <c r="DA722" s="214" t="s">
        <v>1003</v>
      </c>
    </row>
    <row r="723" spans="1:105" s="16" customFormat="1" ht="13.2" x14ac:dyDescent="0.3">
      <c r="A723" s="630" t="s">
        <v>487</v>
      </c>
      <c r="B723" s="631"/>
      <c r="C723" s="631"/>
      <c r="D723" s="631"/>
      <c r="E723" s="631"/>
      <c r="F723" s="631"/>
      <c r="G723" s="632"/>
      <c r="H723" s="584" t="s">
        <v>976</v>
      </c>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5"/>
      <c r="AL723" s="585"/>
      <c r="AM723" s="585"/>
      <c r="AN723" s="585"/>
      <c r="AO723" s="585"/>
      <c r="AP723" s="585"/>
      <c r="AQ723" s="585"/>
      <c r="AR723" s="585"/>
      <c r="AS723" s="585"/>
      <c r="AT723" s="586"/>
      <c r="AU723" s="475" t="s">
        <v>690</v>
      </c>
      <c r="AV723" s="476"/>
      <c r="AW723" s="476"/>
      <c r="AX723" s="476"/>
      <c r="AY723" s="476"/>
      <c r="AZ723" s="476"/>
      <c r="BA723" s="476"/>
      <c r="BB723" s="477"/>
      <c r="BC723" s="544">
        <v>70</v>
      </c>
      <c r="BD723" s="545"/>
      <c r="BE723" s="545"/>
      <c r="BF723" s="545"/>
      <c r="BG723" s="545"/>
      <c r="BH723" s="545"/>
      <c r="BI723" s="545"/>
      <c r="BJ723" s="545"/>
      <c r="BK723" s="545"/>
      <c r="BL723" s="545"/>
      <c r="BM723" s="545"/>
      <c r="BN723" s="545"/>
      <c r="BO723" s="545"/>
      <c r="BP723" s="545"/>
      <c r="BQ723" s="545"/>
      <c r="BR723" s="546"/>
      <c r="BS723" s="639">
        <f t="shared" si="23"/>
        <v>71.428571428571431</v>
      </c>
      <c r="BT723" s="640"/>
      <c r="BU723" s="640"/>
      <c r="BV723" s="640"/>
      <c r="BW723" s="640"/>
      <c r="BX723" s="640"/>
      <c r="BY723" s="640"/>
      <c r="BZ723" s="640"/>
      <c r="CA723" s="640"/>
      <c r="CB723" s="640"/>
      <c r="CC723" s="640"/>
      <c r="CD723" s="640"/>
      <c r="CE723" s="640"/>
      <c r="CF723" s="640"/>
      <c r="CG723" s="640"/>
      <c r="CH723" s="641"/>
      <c r="CI723" s="627">
        <v>5000</v>
      </c>
      <c r="CJ723" s="628"/>
      <c r="CK723" s="628"/>
      <c r="CL723" s="628"/>
      <c r="CM723" s="628"/>
      <c r="CN723" s="628"/>
      <c r="CO723" s="628"/>
      <c r="CP723" s="628"/>
      <c r="CQ723" s="628"/>
      <c r="CR723" s="628"/>
      <c r="CS723" s="628"/>
      <c r="CT723" s="628"/>
      <c r="CU723" s="628"/>
      <c r="CV723" s="628"/>
      <c r="CW723" s="628"/>
      <c r="CX723" s="628"/>
      <c r="CY723" s="628"/>
      <c r="CZ723" s="629"/>
      <c r="DA723" s="214"/>
    </row>
    <row r="724" spans="1:105" s="16" customFormat="1" ht="13.2" x14ac:dyDescent="0.3">
      <c r="A724" s="630" t="s">
        <v>489</v>
      </c>
      <c r="B724" s="631"/>
      <c r="C724" s="631"/>
      <c r="D724" s="631"/>
      <c r="E724" s="631"/>
      <c r="F724" s="631"/>
      <c r="G724" s="632"/>
      <c r="H724" s="584" t="s">
        <v>977</v>
      </c>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5"/>
      <c r="AL724" s="585"/>
      <c r="AM724" s="585"/>
      <c r="AN724" s="585"/>
      <c r="AO724" s="585"/>
      <c r="AP724" s="585"/>
      <c r="AQ724" s="585"/>
      <c r="AR724" s="585"/>
      <c r="AS724" s="585"/>
      <c r="AT724" s="586"/>
      <c r="AU724" s="475" t="s">
        <v>690</v>
      </c>
      <c r="AV724" s="476"/>
      <c r="AW724" s="476"/>
      <c r="AX724" s="476"/>
      <c r="AY724" s="476"/>
      <c r="AZ724" s="476"/>
      <c r="BA724" s="476"/>
      <c r="BB724" s="477"/>
      <c r="BC724" s="544">
        <v>10</v>
      </c>
      <c r="BD724" s="545"/>
      <c r="BE724" s="545"/>
      <c r="BF724" s="545"/>
      <c r="BG724" s="545"/>
      <c r="BH724" s="545"/>
      <c r="BI724" s="545"/>
      <c r="BJ724" s="545"/>
      <c r="BK724" s="545"/>
      <c r="BL724" s="545"/>
      <c r="BM724" s="545"/>
      <c r="BN724" s="545"/>
      <c r="BO724" s="545"/>
      <c r="BP724" s="545"/>
      <c r="BQ724" s="545"/>
      <c r="BR724" s="546"/>
      <c r="BS724" s="639">
        <f t="shared" si="23"/>
        <v>150</v>
      </c>
      <c r="BT724" s="640"/>
      <c r="BU724" s="640"/>
      <c r="BV724" s="640"/>
      <c r="BW724" s="640"/>
      <c r="BX724" s="640"/>
      <c r="BY724" s="640"/>
      <c r="BZ724" s="640"/>
      <c r="CA724" s="640"/>
      <c r="CB724" s="640"/>
      <c r="CC724" s="640"/>
      <c r="CD724" s="640"/>
      <c r="CE724" s="640"/>
      <c r="CF724" s="640"/>
      <c r="CG724" s="640"/>
      <c r="CH724" s="641"/>
      <c r="CI724" s="627">
        <v>1500</v>
      </c>
      <c r="CJ724" s="628"/>
      <c r="CK724" s="628"/>
      <c r="CL724" s="628"/>
      <c r="CM724" s="628"/>
      <c r="CN724" s="628"/>
      <c r="CO724" s="628"/>
      <c r="CP724" s="628"/>
      <c r="CQ724" s="628"/>
      <c r="CR724" s="628"/>
      <c r="CS724" s="628"/>
      <c r="CT724" s="628"/>
      <c r="CU724" s="628"/>
      <c r="CV724" s="628"/>
      <c r="CW724" s="628"/>
      <c r="CX724" s="628"/>
      <c r="CY724" s="628"/>
      <c r="CZ724" s="629"/>
      <c r="DA724" s="214"/>
    </row>
    <row r="725" spans="1:105" s="16" customFormat="1" ht="13.2" x14ac:dyDescent="0.3">
      <c r="A725" s="630" t="s">
        <v>491</v>
      </c>
      <c r="B725" s="631"/>
      <c r="C725" s="631"/>
      <c r="D725" s="631"/>
      <c r="E725" s="631"/>
      <c r="F725" s="631"/>
      <c r="G725" s="632"/>
      <c r="H725" s="584" t="s">
        <v>972</v>
      </c>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5"/>
      <c r="AL725" s="585"/>
      <c r="AM725" s="585"/>
      <c r="AN725" s="585"/>
      <c r="AO725" s="585"/>
      <c r="AP725" s="585"/>
      <c r="AQ725" s="585"/>
      <c r="AR725" s="585"/>
      <c r="AS725" s="585"/>
      <c r="AT725" s="586"/>
      <c r="AU725" s="475" t="s">
        <v>690</v>
      </c>
      <c r="AV725" s="476"/>
      <c r="AW725" s="476"/>
      <c r="AX725" s="476"/>
      <c r="AY725" s="476"/>
      <c r="AZ725" s="476"/>
      <c r="BA725" s="476"/>
      <c r="BB725" s="477"/>
      <c r="BC725" s="544">
        <v>1</v>
      </c>
      <c r="BD725" s="545"/>
      <c r="BE725" s="545"/>
      <c r="BF725" s="545"/>
      <c r="BG725" s="545"/>
      <c r="BH725" s="545"/>
      <c r="BI725" s="545"/>
      <c r="BJ725" s="545"/>
      <c r="BK725" s="545"/>
      <c r="BL725" s="545"/>
      <c r="BM725" s="545"/>
      <c r="BN725" s="545"/>
      <c r="BO725" s="545"/>
      <c r="BP725" s="545"/>
      <c r="BQ725" s="545"/>
      <c r="BR725" s="546"/>
      <c r="BS725" s="639">
        <f t="shared" si="23"/>
        <v>5000</v>
      </c>
      <c r="BT725" s="640"/>
      <c r="BU725" s="640"/>
      <c r="BV725" s="640"/>
      <c r="BW725" s="640"/>
      <c r="BX725" s="640"/>
      <c r="BY725" s="640"/>
      <c r="BZ725" s="640"/>
      <c r="CA725" s="640"/>
      <c r="CB725" s="640"/>
      <c r="CC725" s="640"/>
      <c r="CD725" s="640"/>
      <c r="CE725" s="640"/>
      <c r="CF725" s="640"/>
      <c r="CG725" s="640"/>
      <c r="CH725" s="641"/>
      <c r="CI725" s="627">
        <v>5000</v>
      </c>
      <c r="CJ725" s="628"/>
      <c r="CK725" s="628"/>
      <c r="CL725" s="628"/>
      <c r="CM725" s="628"/>
      <c r="CN725" s="628"/>
      <c r="CO725" s="628"/>
      <c r="CP725" s="628"/>
      <c r="CQ725" s="628"/>
      <c r="CR725" s="628"/>
      <c r="CS725" s="628"/>
      <c r="CT725" s="628"/>
      <c r="CU725" s="628"/>
      <c r="CV725" s="628"/>
      <c r="CW725" s="628"/>
      <c r="CX725" s="628"/>
      <c r="CY725" s="628"/>
      <c r="CZ725" s="629"/>
      <c r="DA725" s="214"/>
    </row>
    <row r="726" spans="1:105" s="16" customFormat="1" ht="13.2" x14ac:dyDescent="0.3">
      <c r="A726" s="630" t="s">
        <v>493</v>
      </c>
      <c r="B726" s="631"/>
      <c r="C726" s="631"/>
      <c r="D726" s="631"/>
      <c r="E726" s="631"/>
      <c r="F726" s="631"/>
      <c r="G726" s="632"/>
      <c r="H726" s="584" t="s">
        <v>978</v>
      </c>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6"/>
      <c r="AU726" s="475" t="s">
        <v>690</v>
      </c>
      <c r="AV726" s="476"/>
      <c r="AW726" s="476"/>
      <c r="AX726" s="476"/>
      <c r="AY726" s="476"/>
      <c r="AZ726" s="476"/>
      <c r="BA726" s="476"/>
      <c r="BB726" s="477"/>
      <c r="BC726" s="544">
        <v>7</v>
      </c>
      <c r="BD726" s="545"/>
      <c r="BE726" s="545"/>
      <c r="BF726" s="545"/>
      <c r="BG726" s="545"/>
      <c r="BH726" s="545"/>
      <c r="BI726" s="545"/>
      <c r="BJ726" s="545"/>
      <c r="BK726" s="545"/>
      <c r="BL726" s="545"/>
      <c r="BM726" s="545"/>
      <c r="BN726" s="545"/>
      <c r="BO726" s="545"/>
      <c r="BP726" s="545"/>
      <c r="BQ726" s="545"/>
      <c r="BR726" s="546"/>
      <c r="BS726" s="639">
        <f t="shared" si="23"/>
        <v>542.85714285714289</v>
      </c>
      <c r="BT726" s="640"/>
      <c r="BU726" s="640"/>
      <c r="BV726" s="640"/>
      <c r="BW726" s="640"/>
      <c r="BX726" s="640"/>
      <c r="BY726" s="640"/>
      <c r="BZ726" s="640"/>
      <c r="CA726" s="640"/>
      <c r="CB726" s="640"/>
      <c r="CC726" s="640"/>
      <c r="CD726" s="640"/>
      <c r="CE726" s="640"/>
      <c r="CF726" s="640"/>
      <c r="CG726" s="640"/>
      <c r="CH726" s="641"/>
      <c r="CI726" s="627">
        <v>3800</v>
      </c>
      <c r="CJ726" s="628"/>
      <c r="CK726" s="628"/>
      <c r="CL726" s="628"/>
      <c r="CM726" s="628"/>
      <c r="CN726" s="628"/>
      <c r="CO726" s="628"/>
      <c r="CP726" s="628"/>
      <c r="CQ726" s="628"/>
      <c r="CR726" s="628"/>
      <c r="CS726" s="628"/>
      <c r="CT726" s="628"/>
      <c r="CU726" s="628"/>
      <c r="CV726" s="628"/>
      <c r="CW726" s="628"/>
      <c r="CX726" s="628"/>
      <c r="CY726" s="628"/>
      <c r="CZ726" s="629"/>
      <c r="DA726" s="214" t="s">
        <v>1003</v>
      </c>
    </row>
    <row r="727" spans="1:105" s="16" customFormat="1" ht="13.2" x14ac:dyDescent="0.3">
      <c r="A727" s="630" t="s">
        <v>515</v>
      </c>
      <c r="B727" s="631"/>
      <c r="C727" s="631"/>
      <c r="D727" s="631"/>
      <c r="E727" s="631"/>
      <c r="F727" s="631"/>
      <c r="G727" s="632"/>
      <c r="H727" s="584" t="s">
        <v>979</v>
      </c>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6"/>
      <c r="AU727" s="475" t="s">
        <v>690</v>
      </c>
      <c r="AV727" s="476"/>
      <c r="AW727" s="476"/>
      <c r="AX727" s="476"/>
      <c r="AY727" s="476"/>
      <c r="AZ727" s="476"/>
      <c r="BA727" s="476"/>
      <c r="BB727" s="477"/>
      <c r="BC727" s="544">
        <v>15</v>
      </c>
      <c r="BD727" s="545"/>
      <c r="BE727" s="545"/>
      <c r="BF727" s="545"/>
      <c r="BG727" s="545"/>
      <c r="BH727" s="545"/>
      <c r="BI727" s="545"/>
      <c r="BJ727" s="545"/>
      <c r="BK727" s="545"/>
      <c r="BL727" s="545"/>
      <c r="BM727" s="545"/>
      <c r="BN727" s="545"/>
      <c r="BO727" s="545"/>
      <c r="BP727" s="545"/>
      <c r="BQ727" s="545"/>
      <c r="BR727" s="546"/>
      <c r="BS727" s="639">
        <f t="shared" si="23"/>
        <v>333.33333333333331</v>
      </c>
      <c r="BT727" s="640"/>
      <c r="BU727" s="640"/>
      <c r="BV727" s="640"/>
      <c r="BW727" s="640"/>
      <c r="BX727" s="640"/>
      <c r="BY727" s="640"/>
      <c r="BZ727" s="640"/>
      <c r="CA727" s="640"/>
      <c r="CB727" s="640"/>
      <c r="CC727" s="640"/>
      <c r="CD727" s="640"/>
      <c r="CE727" s="640"/>
      <c r="CF727" s="640"/>
      <c r="CG727" s="640"/>
      <c r="CH727" s="641"/>
      <c r="CI727" s="627">
        <v>5000</v>
      </c>
      <c r="CJ727" s="628"/>
      <c r="CK727" s="628"/>
      <c r="CL727" s="628"/>
      <c r="CM727" s="628"/>
      <c r="CN727" s="628"/>
      <c r="CO727" s="628"/>
      <c r="CP727" s="628"/>
      <c r="CQ727" s="628"/>
      <c r="CR727" s="628"/>
      <c r="CS727" s="628"/>
      <c r="CT727" s="628"/>
      <c r="CU727" s="628"/>
      <c r="CV727" s="628"/>
      <c r="CW727" s="628"/>
      <c r="CX727" s="628"/>
      <c r="CY727" s="628"/>
      <c r="CZ727" s="629"/>
      <c r="DA727" s="214"/>
    </row>
    <row r="728" spans="1:105" s="16" customFormat="1" ht="31.5" customHeight="1" x14ac:dyDescent="0.3">
      <c r="A728" s="630"/>
      <c r="B728" s="631"/>
      <c r="C728" s="631"/>
      <c r="D728" s="631"/>
      <c r="E728" s="631"/>
      <c r="F728" s="631"/>
      <c r="G728" s="632"/>
      <c r="H728" s="584" t="s">
        <v>713</v>
      </c>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6"/>
      <c r="AU728" s="475"/>
      <c r="AV728" s="476"/>
      <c r="AW728" s="476"/>
      <c r="AX728" s="476"/>
      <c r="AY728" s="476"/>
      <c r="AZ728" s="476"/>
      <c r="BA728" s="476"/>
      <c r="BB728" s="477"/>
      <c r="BC728" s="647">
        <f>SUM(BC729:BR741)</f>
        <v>1039</v>
      </c>
      <c r="BD728" s="637"/>
      <c r="BE728" s="637"/>
      <c r="BF728" s="637"/>
      <c r="BG728" s="637"/>
      <c r="BH728" s="637"/>
      <c r="BI728" s="637"/>
      <c r="BJ728" s="637"/>
      <c r="BK728" s="637"/>
      <c r="BL728" s="637"/>
      <c r="BM728" s="637"/>
      <c r="BN728" s="637"/>
      <c r="BO728" s="637"/>
      <c r="BP728" s="637"/>
      <c r="BQ728" s="637"/>
      <c r="BR728" s="638"/>
      <c r="BS728" s="644">
        <f>BS739</f>
        <v>80</v>
      </c>
      <c r="BT728" s="645"/>
      <c r="BU728" s="645"/>
      <c r="BV728" s="645"/>
      <c r="BW728" s="645"/>
      <c r="BX728" s="645"/>
      <c r="BY728" s="645"/>
      <c r="BZ728" s="645"/>
      <c r="CA728" s="645"/>
      <c r="CB728" s="645"/>
      <c r="CC728" s="645"/>
      <c r="CD728" s="645"/>
      <c r="CE728" s="645"/>
      <c r="CF728" s="645"/>
      <c r="CG728" s="645"/>
      <c r="CH728" s="646"/>
      <c r="CI728" s="636">
        <f>SUM(CI729:CZ741)</f>
        <v>70000</v>
      </c>
      <c r="CJ728" s="654"/>
      <c r="CK728" s="654"/>
      <c r="CL728" s="654"/>
      <c r="CM728" s="654"/>
      <c r="CN728" s="654"/>
      <c r="CO728" s="654"/>
      <c r="CP728" s="654"/>
      <c r="CQ728" s="654"/>
      <c r="CR728" s="654"/>
      <c r="CS728" s="654"/>
      <c r="CT728" s="654"/>
      <c r="CU728" s="654"/>
      <c r="CV728" s="654"/>
      <c r="CW728" s="654"/>
      <c r="CX728" s="654"/>
      <c r="CY728" s="654"/>
      <c r="CZ728" s="655"/>
      <c r="DA728" s="214"/>
    </row>
    <row r="729" spans="1:105" s="16" customFormat="1" ht="13.2" x14ac:dyDescent="0.3">
      <c r="A729" s="630" t="s">
        <v>67</v>
      </c>
      <c r="B729" s="631"/>
      <c r="C729" s="631"/>
      <c r="D729" s="631"/>
      <c r="E729" s="631"/>
      <c r="F729" s="631"/>
      <c r="G729" s="632"/>
      <c r="H729" s="584" t="s">
        <v>920</v>
      </c>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6"/>
      <c r="AU729" s="475" t="s">
        <v>690</v>
      </c>
      <c r="AV729" s="476"/>
      <c r="AW729" s="476"/>
      <c r="AX729" s="476"/>
      <c r="AY729" s="476"/>
      <c r="AZ729" s="476"/>
      <c r="BA729" s="476"/>
      <c r="BB729" s="477"/>
      <c r="BC729" s="544">
        <v>96</v>
      </c>
      <c r="BD729" s="545"/>
      <c r="BE729" s="545"/>
      <c r="BF729" s="545"/>
      <c r="BG729" s="545"/>
      <c r="BH729" s="545"/>
      <c r="BI729" s="545"/>
      <c r="BJ729" s="545"/>
      <c r="BK729" s="545"/>
      <c r="BL729" s="545"/>
      <c r="BM729" s="545"/>
      <c r="BN729" s="545"/>
      <c r="BO729" s="545"/>
      <c r="BP729" s="545"/>
      <c r="BQ729" s="545"/>
      <c r="BR729" s="546"/>
      <c r="BS729" s="639">
        <f>CI729/BC729</f>
        <v>104.16666666666667</v>
      </c>
      <c r="BT729" s="640"/>
      <c r="BU729" s="640"/>
      <c r="BV729" s="640"/>
      <c r="BW729" s="640"/>
      <c r="BX729" s="640"/>
      <c r="BY729" s="640"/>
      <c r="BZ729" s="640"/>
      <c r="CA729" s="640"/>
      <c r="CB729" s="640"/>
      <c r="CC729" s="640"/>
      <c r="CD729" s="640"/>
      <c r="CE729" s="640"/>
      <c r="CF729" s="640"/>
      <c r="CG729" s="640"/>
      <c r="CH729" s="641"/>
      <c r="CI729" s="627">
        <v>10000</v>
      </c>
      <c r="CJ729" s="628"/>
      <c r="CK729" s="628"/>
      <c r="CL729" s="628"/>
      <c r="CM729" s="628"/>
      <c r="CN729" s="628"/>
      <c r="CO729" s="628"/>
      <c r="CP729" s="628"/>
      <c r="CQ729" s="628"/>
      <c r="CR729" s="628"/>
      <c r="CS729" s="628"/>
      <c r="CT729" s="628"/>
      <c r="CU729" s="628"/>
      <c r="CV729" s="628"/>
      <c r="CW729" s="628"/>
      <c r="CX729" s="628"/>
      <c r="CY729" s="628"/>
      <c r="CZ729" s="629"/>
      <c r="DA729" s="214"/>
    </row>
    <row r="730" spans="1:105" s="16" customFormat="1" ht="13.2" x14ac:dyDescent="0.3">
      <c r="A730" s="630" t="s">
        <v>71</v>
      </c>
      <c r="B730" s="631"/>
      <c r="C730" s="631"/>
      <c r="D730" s="631"/>
      <c r="E730" s="631"/>
      <c r="F730" s="631"/>
      <c r="G730" s="632"/>
      <c r="H730" s="584" t="s">
        <v>921</v>
      </c>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6"/>
      <c r="AU730" s="475" t="s">
        <v>690</v>
      </c>
      <c r="AV730" s="476"/>
      <c r="AW730" s="476"/>
      <c r="AX730" s="476"/>
      <c r="AY730" s="476"/>
      <c r="AZ730" s="476"/>
      <c r="BA730" s="476"/>
      <c r="BB730" s="477"/>
      <c r="BC730" s="544">
        <f>72+17</f>
        <v>89</v>
      </c>
      <c r="BD730" s="545"/>
      <c r="BE730" s="545"/>
      <c r="BF730" s="545"/>
      <c r="BG730" s="545"/>
      <c r="BH730" s="545"/>
      <c r="BI730" s="545"/>
      <c r="BJ730" s="545"/>
      <c r="BK730" s="545"/>
      <c r="BL730" s="545"/>
      <c r="BM730" s="545"/>
      <c r="BN730" s="545"/>
      <c r="BO730" s="545"/>
      <c r="BP730" s="545"/>
      <c r="BQ730" s="545"/>
      <c r="BR730" s="546"/>
      <c r="BS730" s="639">
        <f>CI730/BC730</f>
        <v>44.943820224719104</v>
      </c>
      <c r="BT730" s="640"/>
      <c r="BU730" s="640"/>
      <c r="BV730" s="640"/>
      <c r="BW730" s="640"/>
      <c r="BX730" s="640"/>
      <c r="BY730" s="640"/>
      <c r="BZ730" s="640"/>
      <c r="CA730" s="640"/>
      <c r="CB730" s="640"/>
      <c r="CC730" s="640"/>
      <c r="CD730" s="640"/>
      <c r="CE730" s="640"/>
      <c r="CF730" s="640"/>
      <c r="CG730" s="640"/>
      <c r="CH730" s="641"/>
      <c r="CI730" s="627">
        <v>4000</v>
      </c>
      <c r="CJ730" s="628"/>
      <c r="CK730" s="628"/>
      <c r="CL730" s="628"/>
      <c r="CM730" s="628"/>
      <c r="CN730" s="628"/>
      <c r="CO730" s="628"/>
      <c r="CP730" s="628"/>
      <c r="CQ730" s="628"/>
      <c r="CR730" s="628"/>
      <c r="CS730" s="628"/>
      <c r="CT730" s="628"/>
      <c r="CU730" s="628"/>
      <c r="CV730" s="628"/>
      <c r="CW730" s="628"/>
      <c r="CX730" s="628"/>
      <c r="CY730" s="628"/>
      <c r="CZ730" s="629"/>
      <c r="DA730" s="214"/>
    </row>
    <row r="731" spans="1:105" s="16" customFormat="1" ht="13.2" x14ac:dyDescent="0.3">
      <c r="A731" s="630" t="s">
        <v>462</v>
      </c>
      <c r="B731" s="631"/>
      <c r="C731" s="631"/>
      <c r="D731" s="631"/>
      <c r="E731" s="631"/>
      <c r="F731" s="631"/>
      <c r="G731" s="632"/>
      <c r="H731" s="584" t="s">
        <v>986</v>
      </c>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6"/>
      <c r="AU731" s="475" t="s">
        <v>690</v>
      </c>
      <c r="AV731" s="476"/>
      <c r="AW731" s="476"/>
      <c r="AX731" s="476"/>
      <c r="AY731" s="476"/>
      <c r="AZ731" s="476"/>
      <c r="BA731" s="476"/>
      <c r="BB731" s="477"/>
      <c r="BC731" s="544">
        <v>210</v>
      </c>
      <c r="BD731" s="545"/>
      <c r="BE731" s="545"/>
      <c r="BF731" s="545"/>
      <c r="BG731" s="545"/>
      <c r="BH731" s="545"/>
      <c r="BI731" s="545"/>
      <c r="BJ731" s="545"/>
      <c r="BK731" s="545"/>
      <c r="BL731" s="545"/>
      <c r="BM731" s="545"/>
      <c r="BN731" s="545"/>
      <c r="BO731" s="545"/>
      <c r="BP731" s="545"/>
      <c r="BQ731" s="545"/>
      <c r="BR731" s="546"/>
      <c r="BS731" s="639">
        <f t="shared" ref="BS731:BS738" si="24">CI731/BC731</f>
        <v>23.80952380952381</v>
      </c>
      <c r="BT731" s="640"/>
      <c r="BU731" s="640"/>
      <c r="BV731" s="640"/>
      <c r="BW731" s="640"/>
      <c r="BX731" s="640"/>
      <c r="BY731" s="640"/>
      <c r="BZ731" s="640"/>
      <c r="CA731" s="640"/>
      <c r="CB731" s="640"/>
      <c r="CC731" s="640"/>
      <c r="CD731" s="640"/>
      <c r="CE731" s="640"/>
      <c r="CF731" s="640"/>
      <c r="CG731" s="640"/>
      <c r="CH731" s="641"/>
      <c r="CI731" s="627">
        <v>5000</v>
      </c>
      <c r="CJ731" s="628"/>
      <c r="CK731" s="628"/>
      <c r="CL731" s="628"/>
      <c r="CM731" s="628"/>
      <c r="CN731" s="628"/>
      <c r="CO731" s="628"/>
      <c r="CP731" s="628"/>
      <c r="CQ731" s="628"/>
      <c r="CR731" s="628"/>
      <c r="CS731" s="628"/>
      <c r="CT731" s="628"/>
      <c r="CU731" s="628"/>
      <c r="CV731" s="628"/>
      <c r="CW731" s="628"/>
      <c r="CX731" s="628"/>
      <c r="CY731" s="628"/>
      <c r="CZ731" s="629"/>
      <c r="DA731" s="214"/>
    </row>
    <row r="732" spans="1:105" s="16" customFormat="1" ht="13.2" x14ac:dyDescent="0.3">
      <c r="A732" s="630" t="s">
        <v>477</v>
      </c>
      <c r="B732" s="631"/>
      <c r="C732" s="631"/>
      <c r="D732" s="631"/>
      <c r="E732" s="631"/>
      <c r="F732" s="631"/>
      <c r="G732" s="632"/>
      <c r="H732" s="584" t="s">
        <v>994</v>
      </c>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6"/>
      <c r="AU732" s="475" t="s">
        <v>690</v>
      </c>
      <c r="AV732" s="476"/>
      <c r="AW732" s="476"/>
      <c r="AX732" s="476"/>
      <c r="AY732" s="476"/>
      <c r="AZ732" s="476"/>
      <c r="BA732" s="476"/>
      <c r="BB732" s="477"/>
      <c r="BC732" s="544">
        <v>2</v>
      </c>
      <c r="BD732" s="545"/>
      <c r="BE732" s="545"/>
      <c r="BF732" s="545"/>
      <c r="BG732" s="545"/>
      <c r="BH732" s="545"/>
      <c r="BI732" s="545"/>
      <c r="BJ732" s="545"/>
      <c r="BK732" s="545"/>
      <c r="BL732" s="545"/>
      <c r="BM732" s="545"/>
      <c r="BN732" s="545"/>
      <c r="BO732" s="545"/>
      <c r="BP732" s="545"/>
      <c r="BQ732" s="545"/>
      <c r="BR732" s="546"/>
      <c r="BS732" s="639">
        <f t="shared" si="24"/>
        <v>250</v>
      </c>
      <c r="BT732" s="640"/>
      <c r="BU732" s="640"/>
      <c r="BV732" s="640"/>
      <c r="BW732" s="640"/>
      <c r="BX732" s="640"/>
      <c r="BY732" s="640"/>
      <c r="BZ732" s="640"/>
      <c r="CA732" s="640"/>
      <c r="CB732" s="640"/>
      <c r="CC732" s="640"/>
      <c r="CD732" s="640"/>
      <c r="CE732" s="640"/>
      <c r="CF732" s="640"/>
      <c r="CG732" s="640"/>
      <c r="CH732" s="641"/>
      <c r="CI732" s="627">
        <v>500</v>
      </c>
      <c r="CJ732" s="628"/>
      <c r="CK732" s="628"/>
      <c r="CL732" s="628"/>
      <c r="CM732" s="628"/>
      <c r="CN732" s="628"/>
      <c r="CO732" s="628"/>
      <c r="CP732" s="628"/>
      <c r="CQ732" s="628"/>
      <c r="CR732" s="628"/>
      <c r="CS732" s="628"/>
      <c r="CT732" s="628"/>
      <c r="CU732" s="628"/>
      <c r="CV732" s="628"/>
      <c r="CW732" s="628"/>
      <c r="CX732" s="628"/>
      <c r="CY732" s="628"/>
      <c r="CZ732" s="629"/>
      <c r="DA732" s="214"/>
    </row>
    <row r="733" spans="1:105" s="16" customFormat="1" ht="13.2" x14ac:dyDescent="0.3">
      <c r="A733" s="630" t="s">
        <v>479</v>
      </c>
      <c r="B733" s="631"/>
      <c r="C733" s="631"/>
      <c r="D733" s="631"/>
      <c r="E733" s="631"/>
      <c r="F733" s="631"/>
      <c r="G733" s="632"/>
      <c r="H733" s="584" t="s">
        <v>922</v>
      </c>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6"/>
      <c r="AU733" s="475" t="s">
        <v>690</v>
      </c>
      <c r="AV733" s="476"/>
      <c r="AW733" s="476"/>
      <c r="AX733" s="476"/>
      <c r="AY733" s="476"/>
      <c r="AZ733" s="476"/>
      <c r="BA733" s="476"/>
      <c r="BB733" s="477"/>
      <c r="BC733" s="544">
        <v>255</v>
      </c>
      <c r="BD733" s="545"/>
      <c r="BE733" s="545"/>
      <c r="BF733" s="545"/>
      <c r="BG733" s="545"/>
      <c r="BH733" s="545"/>
      <c r="BI733" s="545"/>
      <c r="BJ733" s="545"/>
      <c r="BK733" s="545"/>
      <c r="BL733" s="545"/>
      <c r="BM733" s="545"/>
      <c r="BN733" s="545"/>
      <c r="BO733" s="545"/>
      <c r="BP733" s="545"/>
      <c r="BQ733" s="545"/>
      <c r="BR733" s="546"/>
      <c r="BS733" s="639">
        <f t="shared" si="24"/>
        <v>105.88235294117646</v>
      </c>
      <c r="BT733" s="640"/>
      <c r="BU733" s="640"/>
      <c r="BV733" s="640"/>
      <c r="BW733" s="640"/>
      <c r="BX733" s="640"/>
      <c r="BY733" s="640"/>
      <c r="BZ733" s="640"/>
      <c r="CA733" s="640"/>
      <c r="CB733" s="640"/>
      <c r="CC733" s="640"/>
      <c r="CD733" s="640"/>
      <c r="CE733" s="640"/>
      <c r="CF733" s="640"/>
      <c r="CG733" s="640"/>
      <c r="CH733" s="641"/>
      <c r="CI733" s="627">
        <v>27000</v>
      </c>
      <c r="CJ733" s="628"/>
      <c r="CK733" s="628"/>
      <c r="CL733" s="628"/>
      <c r="CM733" s="628"/>
      <c r="CN733" s="628"/>
      <c r="CO733" s="628"/>
      <c r="CP733" s="628"/>
      <c r="CQ733" s="628"/>
      <c r="CR733" s="628"/>
      <c r="CS733" s="628"/>
      <c r="CT733" s="628"/>
      <c r="CU733" s="628"/>
      <c r="CV733" s="628"/>
      <c r="CW733" s="628"/>
      <c r="CX733" s="628"/>
      <c r="CY733" s="628"/>
      <c r="CZ733" s="629"/>
      <c r="DA733" s="214"/>
    </row>
    <row r="734" spans="1:105" s="16" customFormat="1" ht="13.2" hidden="1" customHeight="1" x14ac:dyDescent="0.3">
      <c r="A734" s="630" t="s">
        <v>481</v>
      </c>
      <c r="B734" s="631"/>
      <c r="C734" s="631"/>
      <c r="D734" s="631"/>
      <c r="E734" s="631"/>
      <c r="F734" s="631"/>
      <c r="G734" s="632"/>
      <c r="H734" s="584" t="s">
        <v>714</v>
      </c>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5"/>
      <c r="AL734" s="585"/>
      <c r="AM734" s="585"/>
      <c r="AN734" s="585"/>
      <c r="AO734" s="585"/>
      <c r="AP734" s="585"/>
      <c r="AQ734" s="585"/>
      <c r="AR734" s="585"/>
      <c r="AS734" s="585"/>
      <c r="AT734" s="586"/>
      <c r="AU734" s="475" t="s">
        <v>715</v>
      </c>
      <c r="AV734" s="476"/>
      <c r="AW734" s="476"/>
      <c r="AX734" s="476"/>
      <c r="AY734" s="476"/>
      <c r="AZ734" s="476"/>
      <c r="BA734" s="476"/>
      <c r="BB734" s="477"/>
      <c r="BC734" s="544"/>
      <c r="BD734" s="545"/>
      <c r="BE734" s="545"/>
      <c r="BF734" s="545"/>
      <c r="BG734" s="545"/>
      <c r="BH734" s="545"/>
      <c r="BI734" s="545"/>
      <c r="BJ734" s="545"/>
      <c r="BK734" s="545"/>
      <c r="BL734" s="545"/>
      <c r="BM734" s="545"/>
      <c r="BN734" s="545"/>
      <c r="BO734" s="545"/>
      <c r="BP734" s="545"/>
      <c r="BQ734" s="545"/>
      <c r="BR734" s="546"/>
      <c r="BS734" s="639"/>
      <c r="BT734" s="640"/>
      <c r="BU734" s="640"/>
      <c r="BV734" s="640"/>
      <c r="BW734" s="640"/>
      <c r="BX734" s="640"/>
      <c r="BY734" s="640"/>
      <c r="BZ734" s="640"/>
      <c r="CA734" s="640"/>
      <c r="CB734" s="640"/>
      <c r="CC734" s="640"/>
      <c r="CD734" s="640"/>
      <c r="CE734" s="640"/>
      <c r="CF734" s="640"/>
      <c r="CG734" s="640"/>
      <c r="CH734" s="641"/>
      <c r="CI734" s="627"/>
      <c r="CJ734" s="628"/>
      <c r="CK734" s="628"/>
      <c r="CL734" s="628"/>
      <c r="CM734" s="628"/>
      <c r="CN734" s="628"/>
      <c r="CO734" s="628"/>
      <c r="CP734" s="628"/>
      <c r="CQ734" s="628"/>
      <c r="CR734" s="628"/>
      <c r="CS734" s="628"/>
      <c r="CT734" s="628"/>
      <c r="CU734" s="628"/>
      <c r="CV734" s="628"/>
      <c r="CW734" s="628"/>
      <c r="CX734" s="628"/>
      <c r="CY734" s="628"/>
      <c r="CZ734" s="629"/>
      <c r="DA734" s="214"/>
    </row>
    <row r="735" spans="1:105" s="16" customFormat="1" ht="13.2" x14ac:dyDescent="0.3">
      <c r="A735" s="630" t="s">
        <v>483</v>
      </c>
      <c r="B735" s="631"/>
      <c r="C735" s="631"/>
      <c r="D735" s="631"/>
      <c r="E735" s="631"/>
      <c r="F735" s="631"/>
      <c r="G735" s="632"/>
      <c r="H735" s="584" t="s">
        <v>923</v>
      </c>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6"/>
      <c r="AU735" s="475" t="s">
        <v>690</v>
      </c>
      <c r="AV735" s="476"/>
      <c r="AW735" s="476"/>
      <c r="AX735" s="476"/>
      <c r="AY735" s="476"/>
      <c r="AZ735" s="476"/>
      <c r="BA735" s="476"/>
      <c r="BB735" s="477"/>
      <c r="BC735" s="544">
        <v>49</v>
      </c>
      <c r="BD735" s="545"/>
      <c r="BE735" s="545"/>
      <c r="BF735" s="545"/>
      <c r="BG735" s="545"/>
      <c r="BH735" s="545"/>
      <c r="BI735" s="545"/>
      <c r="BJ735" s="545"/>
      <c r="BK735" s="545"/>
      <c r="BL735" s="545"/>
      <c r="BM735" s="545"/>
      <c r="BN735" s="545"/>
      <c r="BO735" s="545"/>
      <c r="BP735" s="545"/>
      <c r="BQ735" s="545"/>
      <c r="BR735" s="546"/>
      <c r="BS735" s="639">
        <f t="shared" si="24"/>
        <v>81.632653061224488</v>
      </c>
      <c r="BT735" s="640"/>
      <c r="BU735" s="640"/>
      <c r="BV735" s="640"/>
      <c r="BW735" s="640"/>
      <c r="BX735" s="640"/>
      <c r="BY735" s="640"/>
      <c r="BZ735" s="640"/>
      <c r="CA735" s="640"/>
      <c r="CB735" s="640"/>
      <c r="CC735" s="640"/>
      <c r="CD735" s="640"/>
      <c r="CE735" s="640"/>
      <c r="CF735" s="640"/>
      <c r="CG735" s="640"/>
      <c r="CH735" s="641"/>
      <c r="CI735" s="627">
        <v>4000</v>
      </c>
      <c r="CJ735" s="628"/>
      <c r="CK735" s="628"/>
      <c r="CL735" s="628"/>
      <c r="CM735" s="628"/>
      <c r="CN735" s="628"/>
      <c r="CO735" s="628"/>
      <c r="CP735" s="628"/>
      <c r="CQ735" s="628"/>
      <c r="CR735" s="628"/>
      <c r="CS735" s="628"/>
      <c r="CT735" s="628"/>
      <c r="CU735" s="628"/>
      <c r="CV735" s="628"/>
      <c r="CW735" s="628"/>
      <c r="CX735" s="628"/>
      <c r="CY735" s="628"/>
      <c r="CZ735" s="629"/>
      <c r="DA735" s="214"/>
    </row>
    <row r="736" spans="1:105" s="16" customFormat="1" ht="13.2" hidden="1" customHeight="1" x14ac:dyDescent="0.3">
      <c r="A736" s="630" t="s">
        <v>485</v>
      </c>
      <c r="B736" s="631"/>
      <c r="C736" s="631"/>
      <c r="D736" s="631"/>
      <c r="E736" s="631"/>
      <c r="F736" s="631"/>
      <c r="G736" s="632"/>
      <c r="H736" s="584" t="s">
        <v>924</v>
      </c>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5"/>
      <c r="AL736" s="585"/>
      <c r="AM736" s="585"/>
      <c r="AN736" s="585"/>
      <c r="AO736" s="585"/>
      <c r="AP736" s="585"/>
      <c r="AQ736" s="585"/>
      <c r="AR736" s="585"/>
      <c r="AS736" s="585"/>
      <c r="AT736" s="586"/>
      <c r="AU736" s="475" t="s">
        <v>690</v>
      </c>
      <c r="AV736" s="476"/>
      <c r="AW736" s="476"/>
      <c r="AX736" s="476"/>
      <c r="AY736" s="476"/>
      <c r="AZ736" s="476"/>
      <c r="BA736" s="476"/>
      <c r="BB736" s="477"/>
      <c r="BC736" s="544"/>
      <c r="BD736" s="545"/>
      <c r="BE736" s="545"/>
      <c r="BF736" s="545"/>
      <c r="BG736" s="545"/>
      <c r="BH736" s="545"/>
      <c r="BI736" s="545"/>
      <c r="BJ736" s="545"/>
      <c r="BK736" s="545"/>
      <c r="BL736" s="545"/>
      <c r="BM736" s="545"/>
      <c r="BN736" s="545"/>
      <c r="BO736" s="545"/>
      <c r="BP736" s="545"/>
      <c r="BQ736" s="545"/>
      <c r="BR736" s="546"/>
      <c r="BS736" s="639"/>
      <c r="BT736" s="640"/>
      <c r="BU736" s="640"/>
      <c r="BV736" s="640"/>
      <c r="BW736" s="640"/>
      <c r="BX736" s="640"/>
      <c r="BY736" s="640"/>
      <c r="BZ736" s="640"/>
      <c r="CA736" s="640"/>
      <c r="CB736" s="640"/>
      <c r="CC736" s="640"/>
      <c r="CD736" s="640"/>
      <c r="CE736" s="640"/>
      <c r="CF736" s="640"/>
      <c r="CG736" s="640"/>
      <c r="CH736" s="641"/>
      <c r="CI736" s="627"/>
      <c r="CJ736" s="628"/>
      <c r="CK736" s="628"/>
      <c r="CL736" s="628"/>
      <c r="CM736" s="628"/>
      <c r="CN736" s="628"/>
      <c r="CO736" s="628"/>
      <c r="CP736" s="628"/>
      <c r="CQ736" s="628"/>
      <c r="CR736" s="628"/>
      <c r="CS736" s="628"/>
      <c r="CT736" s="628"/>
      <c r="CU736" s="628"/>
      <c r="CV736" s="628"/>
      <c r="CW736" s="628"/>
      <c r="CX736" s="628"/>
      <c r="CY736" s="628"/>
      <c r="CZ736" s="629"/>
      <c r="DA736" s="214"/>
    </row>
    <row r="737" spans="1:105" s="16" customFormat="1" ht="13.2" x14ac:dyDescent="0.3">
      <c r="A737" s="630" t="s">
        <v>487</v>
      </c>
      <c r="B737" s="631"/>
      <c r="C737" s="631"/>
      <c r="D737" s="631"/>
      <c r="E737" s="631"/>
      <c r="F737" s="631"/>
      <c r="G737" s="632"/>
      <c r="H737" s="584" t="s">
        <v>991</v>
      </c>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5"/>
      <c r="AL737" s="585"/>
      <c r="AM737" s="585"/>
      <c r="AN737" s="585"/>
      <c r="AO737" s="585"/>
      <c r="AP737" s="585"/>
      <c r="AQ737" s="585"/>
      <c r="AR737" s="585"/>
      <c r="AS737" s="585"/>
      <c r="AT737" s="586"/>
      <c r="AU737" s="475" t="s">
        <v>690</v>
      </c>
      <c r="AV737" s="476"/>
      <c r="AW737" s="476"/>
      <c r="AX737" s="476"/>
      <c r="AY737" s="476"/>
      <c r="AZ737" s="476"/>
      <c r="BA737" s="476"/>
      <c r="BB737" s="477"/>
      <c r="BC737" s="544">
        <v>45</v>
      </c>
      <c r="BD737" s="545"/>
      <c r="BE737" s="545"/>
      <c r="BF737" s="545"/>
      <c r="BG737" s="545"/>
      <c r="BH737" s="545"/>
      <c r="BI737" s="545"/>
      <c r="BJ737" s="545"/>
      <c r="BK737" s="545"/>
      <c r="BL737" s="545"/>
      <c r="BM737" s="545"/>
      <c r="BN737" s="545"/>
      <c r="BO737" s="545"/>
      <c r="BP737" s="545"/>
      <c r="BQ737" s="545"/>
      <c r="BR737" s="546"/>
      <c r="BS737" s="639">
        <f t="shared" si="24"/>
        <v>100</v>
      </c>
      <c r="BT737" s="640"/>
      <c r="BU737" s="640"/>
      <c r="BV737" s="640"/>
      <c r="BW737" s="640"/>
      <c r="BX737" s="640"/>
      <c r="BY737" s="640"/>
      <c r="BZ737" s="640"/>
      <c r="CA737" s="640"/>
      <c r="CB737" s="640"/>
      <c r="CC737" s="640"/>
      <c r="CD737" s="640"/>
      <c r="CE737" s="640"/>
      <c r="CF737" s="640"/>
      <c r="CG737" s="640"/>
      <c r="CH737" s="641"/>
      <c r="CI737" s="627">
        <v>4500</v>
      </c>
      <c r="CJ737" s="628"/>
      <c r="CK737" s="628"/>
      <c r="CL737" s="628"/>
      <c r="CM737" s="628"/>
      <c r="CN737" s="628"/>
      <c r="CO737" s="628"/>
      <c r="CP737" s="628"/>
      <c r="CQ737" s="628"/>
      <c r="CR737" s="628"/>
      <c r="CS737" s="628"/>
      <c r="CT737" s="628"/>
      <c r="CU737" s="628"/>
      <c r="CV737" s="628"/>
      <c r="CW737" s="628"/>
      <c r="CX737" s="628"/>
      <c r="CY737" s="628"/>
      <c r="CZ737" s="629"/>
      <c r="DA737" s="214"/>
    </row>
    <row r="738" spans="1:105" s="16" customFormat="1" ht="13.2" x14ac:dyDescent="0.3">
      <c r="A738" s="630" t="s">
        <v>489</v>
      </c>
      <c r="B738" s="631"/>
      <c r="C738" s="631"/>
      <c r="D738" s="631"/>
      <c r="E738" s="631"/>
      <c r="F738" s="631"/>
      <c r="G738" s="632"/>
      <c r="H738" s="584" t="s">
        <v>925</v>
      </c>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5"/>
      <c r="AL738" s="585"/>
      <c r="AM738" s="585"/>
      <c r="AN738" s="585"/>
      <c r="AO738" s="585"/>
      <c r="AP738" s="585"/>
      <c r="AQ738" s="585"/>
      <c r="AR738" s="585"/>
      <c r="AS738" s="585"/>
      <c r="AT738" s="586"/>
      <c r="AU738" s="475" t="s">
        <v>690</v>
      </c>
      <c r="AV738" s="476"/>
      <c r="AW738" s="476"/>
      <c r="AX738" s="476"/>
      <c r="AY738" s="476"/>
      <c r="AZ738" s="476"/>
      <c r="BA738" s="476"/>
      <c r="BB738" s="477"/>
      <c r="BC738" s="544">
        <v>157</v>
      </c>
      <c r="BD738" s="545"/>
      <c r="BE738" s="545"/>
      <c r="BF738" s="545"/>
      <c r="BG738" s="545"/>
      <c r="BH738" s="545"/>
      <c r="BI738" s="545"/>
      <c r="BJ738" s="545"/>
      <c r="BK738" s="545"/>
      <c r="BL738" s="545"/>
      <c r="BM738" s="545"/>
      <c r="BN738" s="545"/>
      <c r="BO738" s="545"/>
      <c r="BP738" s="545"/>
      <c r="BQ738" s="545"/>
      <c r="BR738" s="546"/>
      <c r="BS738" s="639">
        <f t="shared" si="24"/>
        <v>19.108280254777071</v>
      </c>
      <c r="BT738" s="640"/>
      <c r="BU738" s="640"/>
      <c r="BV738" s="640"/>
      <c r="BW738" s="640"/>
      <c r="BX738" s="640"/>
      <c r="BY738" s="640"/>
      <c r="BZ738" s="640"/>
      <c r="CA738" s="640"/>
      <c r="CB738" s="640"/>
      <c r="CC738" s="640"/>
      <c r="CD738" s="640"/>
      <c r="CE738" s="640"/>
      <c r="CF738" s="640"/>
      <c r="CG738" s="640"/>
      <c r="CH738" s="641"/>
      <c r="CI738" s="627">
        <v>3000</v>
      </c>
      <c r="CJ738" s="628"/>
      <c r="CK738" s="628"/>
      <c r="CL738" s="628"/>
      <c r="CM738" s="628"/>
      <c r="CN738" s="628"/>
      <c r="CO738" s="628"/>
      <c r="CP738" s="628"/>
      <c r="CQ738" s="628"/>
      <c r="CR738" s="628"/>
      <c r="CS738" s="628"/>
      <c r="CT738" s="628"/>
      <c r="CU738" s="628"/>
      <c r="CV738" s="628"/>
      <c r="CW738" s="628"/>
      <c r="CX738" s="628"/>
      <c r="CY738" s="628"/>
      <c r="CZ738" s="629"/>
      <c r="DA738" s="214"/>
    </row>
    <row r="739" spans="1:105" s="16" customFormat="1" ht="13.2" x14ac:dyDescent="0.3">
      <c r="A739" s="630" t="s">
        <v>491</v>
      </c>
      <c r="B739" s="631"/>
      <c r="C739" s="631"/>
      <c r="D739" s="631"/>
      <c r="E739" s="631"/>
      <c r="F739" s="631"/>
      <c r="G739" s="632"/>
      <c r="H739" s="584" t="s">
        <v>926</v>
      </c>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5"/>
      <c r="AL739" s="585"/>
      <c r="AM739" s="585"/>
      <c r="AN739" s="585"/>
      <c r="AO739" s="585"/>
      <c r="AP739" s="585"/>
      <c r="AQ739" s="585"/>
      <c r="AR739" s="585"/>
      <c r="AS739" s="585"/>
      <c r="AT739" s="586"/>
      <c r="AU739" s="475" t="s">
        <v>690</v>
      </c>
      <c r="AV739" s="476"/>
      <c r="AW739" s="476"/>
      <c r="AX739" s="476"/>
      <c r="AY739" s="476"/>
      <c r="AZ739" s="476"/>
      <c r="BA739" s="476"/>
      <c r="BB739" s="477"/>
      <c r="BC739" s="544">
        <v>25</v>
      </c>
      <c r="BD739" s="545"/>
      <c r="BE739" s="545"/>
      <c r="BF739" s="545"/>
      <c r="BG739" s="545"/>
      <c r="BH739" s="545"/>
      <c r="BI739" s="545"/>
      <c r="BJ739" s="545"/>
      <c r="BK739" s="545"/>
      <c r="BL739" s="545"/>
      <c r="BM739" s="545"/>
      <c r="BN739" s="545"/>
      <c r="BO739" s="545"/>
      <c r="BP739" s="545"/>
      <c r="BQ739" s="545"/>
      <c r="BR739" s="546"/>
      <c r="BS739" s="639">
        <f>CI739/BC739</f>
        <v>80</v>
      </c>
      <c r="BT739" s="640"/>
      <c r="BU739" s="640"/>
      <c r="BV739" s="640"/>
      <c r="BW739" s="640"/>
      <c r="BX739" s="640"/>
      <c r="BY739" s="640"/>
      <c r="BZ739" s="640"/>
      <c r="CA739" s="640"/>
      <c r="CB739" s="640"/>
      <c r="CC739" s="640"/>
      <c r="CD739" s="640"/>
      <c r="CE739" s="640"/>
      <c r="CF739" s="640"/>
      <c r="CG739" s="640"/>
      <c r="CH739" s="641"/>
      <c r="CI739" s="627">
        <v>2000</v>
      </c>
      <c r="CJ739" s="628"/>
      <c r="CK739" s="628"/>
      <c r="CL739" s="628"/>
      <c r="CM739" s="628"/>
      <c r="CN739" s="628"/>
      <c r="CO739" s="628"/>
      <c r="CP739" s="628"/>
      <c r="CQ739" s="628"/>
      <c r="CR739" s="628"/>
      <c r="CS739" s="628"/>
      <c r="CT739" s="628"/>
      <c r="CU739" s="628"/>
      <c r="CV739" s="628"/>
      <c r="CW739" s="628"/>
      <c r="CX739" s="628"/>
      <c r="CY739" s="628"/>
      <c r="CZ739" s="629"/>
      <c r="DA739" s="214"/>
    </row>
    <row r="740" spans="1:105" s="16" customFormat="1" ht="13.2" x14ac:dyDescent="0.3">
      <c r="A740" s="630" t="s">
        <v>493</v>
      </c>
      <c r="B740" s="631"/>
      <c r="C740" s="631"/>
      <c r="D740" s="631"/>
      <c r="E740" s="631"/>
      <c r="F740" s="631"/>
      <c r="G740" s="632"/>
      <c r="H740" s="584" t="s">
        <v>992</v>
      </c>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5"/>
      <c r="AL740" s="585"/>
      <c r="AM740" s="585"/>
      <c r="AN740" s="585"/>
      <c r="AO740" s="585"/>
      <c r="AP740" s="585"/>
      <c r="AQ740" s="585"/>
      <c r="AR740" s="585"/>
      <c r="AS740" s="585"/>
      <c r="AT740" s="586"/>
      <c r="AU740" s="475" t="s">
        <v>690</v>
      </c>
      <c r="AV740" s="476"/>
      <c r="AW740" s="476"/>
      <c r="AX740" s="476"/>
      <c r="AY740" s="476"/>
      <c r="AZ740" s="476"/>
      <c r="BA740" s="476"/>
      <c r="BB740" s="477"/>
      <c r="BC740" s="544">
        <v>75</v>
      </c>
      <c r="BD740" s="545"/>
      <c r="BE740" s="545"/>
      <c r="BF740" s="545"/>
      <c r="BG740" s="545"/>
      <c r="BH740" s="545"/>
      <c r="BI740" s="545"/>
      <c r="BJ740" s="545"/>
      <c r="BK740" s="545"/>
      <c r="BL740" s="545"/>
      <c r="BM740" s="545"/>
      <c r="BN740" s="545"/>
      <c r="BO740" s="545"/>
      <c r="BP740" s="545"/>
      <c r="BQ740" s="545"/>
      <c r="BR740" s="546"/>
      <c r="BS740" s="639">
        <f>CI740/BC740</f>
        <v>66.666666666666671</v>
      </c>
      <c r="BT740" s="640"/>
      <c r="BU740" s="640"/>
      <c r="BV740" s="640"/>
      <c r="BW740" s="640"/>
      <c r="BX740" s="640"/>
      <c r="BY740" s="640"/>
      <c r="BZ740" s="640"/>
      <c r="CA740" s="640"/>
      <c r="CB740" s="640"/>
      <c r="CC740" s="640"/>
      <c r="CD740" s="640"/>
      <c r="CE740" s="640"/>
      <c r="CF740" s="640"/>
      <c r="CG740" s="640"/>
      <c r="CH740" s="641"/>
      <c r="CI740" s="627">
        <v>5000</v>
      </c>
      <c r="CJ740" s="628"/>
      <c r="CK740" s="628"/>
      <c r="CL740" s="628"/>
      <c r="CM740" s="628"/>
      <c r="CN740" s="628"/>
      <c r="CO740" s="628"/>
      <c r="CP740" s="628"/>
      <c r="CQ740" s="628"/>
      <c r="CR740" s="628"/>
      <c r="CS740" s="628"/>
      <c r="CT740" s="628"/>
      <c r="CU740" s="628"/>
      <c r="CV740" s="628"/>
      <c r="CW740" s="628"/>
      <c r="CX740" s="628"/>
      <c r="CY740" s="628"/>
      <c r="CZ740" s="629"/>
      <c r="DA740" s="214"/>
    </row>
    <row r="741" spans="1:105" s="16" customFormat="1" ht="13.2" x14ac:dyDescent="0.3">
      <c r="A741" s="630" t="s">
        <v>515</v>
      </c>
      <c r="B741" s="631"/>
      <c r="C741" s="631"/>
      <c r="D741" s="631"/>
      <c r="E741" s="631"/>
      <c r="F741" s="631"/>
      <c r="G741" s="632"/>
      <c r="H741" s="584" t="s">
        <v>993</v>
      </c>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5"/>
      <c r="AL741" s="585"/>
      <c r="AM741" s="585"/>
      <c r="AN741" s="585"/>
      <c r="AO741" s="585"/>
      <c r="AP741" s="585"/>
      <c r="AQ741" s="585"/>
      <c r="AR741" s="585"/>
      <c r="AS741" s="585"/>
      <c r="AT741" s="586"/>
      <c r="AU741" s="475" t="s">
        <v>690</v>
      </c>
      <c r="AV741" s="476"/>
      <c r="AW741" s="476"/>
      <c r="AX741" s="476"/>
      <c r="AY741" s="476"/>
      <c r="AZ741" s="476"/>
      <c r="BA741" s="476"/>
      <c r="BB741" s="477"/>
      <c r="BC741" s="544">
        <v>36</v>
      </c>
      <c r="BD741" s="545"/>
      <c r="BE741" s="545"/>
      <c r="BF741" s="545"/>
      <c r="BG741" s="545"/>
      <c r="BH741" s="545"/>
      <c r="BI741" s="545"/>
      <c r="BJ741" s="545"/>
      <c r="BK741" s="545"/>
      <c r="BL741" s="545"/>
      <c r="BM741" s="545"/>
      <c r="BN741" s="545"/>
      <c r="BO741" s="545"/>
      <c r="BP741" s="545"/>
      <c r="BQ741" s="545"/>
      <c r="BR741" s="546"/>
      <c r="BS741" s="639">
        <f>CI741/BC741</f>
        <v>138.88888888888889</v>
      </c>
      <c r="BT741" s="640"/>
      <c r="BU741" s="640"/>
      <c r="BV741" s="640"/>
      <c r="BW741" s="640"/>
      <c r="BX741" s="640"/>
      <c r="BY741" s="640"/>
      <c r="BZ741" s="640"/>
      <c r="CA741" s="640"/>
      <c r="CB741" s="640"/>
      <c r="CC741" s="640"/>
      <c r="CD741" s="640"/>
      <c r="CE741" s="640"/>
      <c r="CF741" s="640"/>
      <c r="CG741" s="640"/>
      <c r="CH741" s="641"/>
      <c r="CI741" s="627">
        <v>5000</v>
      </c>
      <c r="CJ741" s="628"/>
      <c r="CK741" s="628"/>
      <c r="CL741" s="628"/>
      <c r="CM741" s="628"/>
      <c r="CN741" s="628"/>
      <c r="CO741" s="628"/>
      <c r="CP741" s="628"/>
      <c r="CQ741" s="628"/>
      <c r="CR741" s="628"/>
      <c r="CS741" s="628"/>
      <c r="CT741" s="628"/>
      <c r="CU741" s="628"/>
      <c r="CV741" s="628"/>
      <c r="CW741" s="628"/>
      <c r="CX741" s="628"/>
      <c r="CY741" s="628"/>
      <c r="CZ741" s="629"/>
      <c r="DA741" s="214"/>
    </row>
    <row r="742" spans="1:105" s="16" customFormat="1" ht="15" customHeight="1" x14ac:dyDescent="0.3">
      <c r="A742" s="630"/>
      <c r="B742" s="631"/>
      <c r="C742" s="631"/>
      <c r="D742" s="631"/>
      <c r="E742" s="631"/>
      <c r="F742" s="631"/>
      <c r="G742" s="632"/>
      <c r="H742" s="584"/>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5"/>
      <c r="AL742" s="585"/>
      <c r="AM742" s="585"/>
      <c r="AN742" s="585"/>
      <c r="AO742" s="585"/>
      <c r="AP742" s="585"/>
      <c r="AQ742" s="585"/>
      <c r="AR742" s="585"/>
      <c r="AS742" s="585"/>
      <c r="AT742" s="586"/>
      <c r="AU742" s="475"/>
      <c r="AV742" s="476"/>
      <c r="AW742" s="476"/>
      <c r="AX742" s="476"/>
      <c r="AY742" s="476"/>
      <c r="AZ742" s="476"/>
      <c r="BA742" s="476"/>
      <c r="BB742" s="477"/>
      <c r="BC742" s="544"/>
      <c r="BD742" s="545"/>
      <c r="BE742" s="545"/>
      <c r="BF742" s="545"/>
      <c r="BG742" s="545"/>
      <c r="BH742" s="545"/>
      <c r="BI742" s="545"/>
      <c r="BJ742" s="545"/>
      <c r="BK742" s="545"/>
      <c r="BL742" s="545"/>
      <c r="BM742" s="545"/>
      <c r="BN742" s="545"/>
      <c r="BO742" s="545"/>
      <c r="BP742" s="545"/>
      <c r="BQ742" s="545"/>
      <c r="BR742" s="546"/>
      <c r="BS742" s="639"/>
      <c r="BT742" s="640"/>
      <c r="BU742" s="640"/>
      <c r="BV742" s="640"/>
      <c r="BW742" s="640"/>
      <c r="BX742" s="640"/>
      <c r="BY742" s="640"/>
      <c r="BZ742" s="640"/>
      <c r="CA742" s="640"/>
      <c r="CB742" s="640"/>
      <c r="CC742" s="640"/>
      <c r="CD742" s="640"/>
      <c r="CE742" s="640"/>
      <c r="CF742" s="640"/>
      <c r="CG742" s="640"/>
      <c r="CH742" s="641"/>
      <c r="CI742" s="627"/>
      <c r="CJ742" s="628"/>
      <c r="CK742" s="628"/>
      <c r="CL742" s="628"/>
      <c r="CM742" s="628"/>
      <c r="CN742" s="628"/>
      <c r="CO742" s="628"/>
      <c r="CP742" s="628"/>
      <c r="CQ742" s="628"/>
      <c r="CR742" s="628"/>
      <c r="CS742" s="628"/>
      <c r="CT742" s="628"/>
      <c r="CU742" s="628"/>
      <c r="CV742" s="628"/>
      <c r="CW742" s="628"/>
      <c r="CX742" s="628"/>
      <c r="CY742" s="628"/>
      <c r="CZ742" s="629"/>
      <c r="DA742" s="214"/>
    </row>
    <row r="743" spans="1:105" s="16" customFormat="1" ht="25.95" hidden="1" customHeight="1" x14ac:dyDescent="0.3">
      <c r="A743" s="630"/>
      <c r="B743" s="631"/>
      <c r="C743" s="631"/>
      <c r="D743" s="631"/>
      <c r="E743" s="631"/>
      <c r="F743" s="631"/>
      <c r="G743" s="632"/>
      <c r="H743" s="584" t="s">
        <v>717</v>
      </c>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5"/>
      <c r="AL743" s="585"/>
      <c r="AM743" s="585"/>
      <c r="AN743" s="585"/>
      <c r="AO743" s="585"/>
      <c r="AP743" s="585"/>
      <c r="AQ743" s="585"/>
      <c r="AR743" s="585"/>
      <c r="AS743" s="585"/>
      <c r="AT743" s="586"/>
      <c r="AU743" s="475" t="s">
        <v>690</v>
      </c>
      <c r="AV743" s="476"/>
      <c r="AW743" s="476"/>
      <c r="AX743" s="476"/>
      <c r="AY743" s="476"/>
      <c r="AZ743" s="476"/>
      <c r="BA743" s="476"/>
      <c r="BB743" s="477"/>
      <c r="BC743" s="647">
        <v>46</v>
      </c>
      <c r="BD743" s="637"/>
      <c r="BE743" s="637"/>
      <c r="BF743" s="637"/>
      <c r="BG743" s="637"/>
      <c r="BH743" s="637"/>
      <c r="BI743" s="637"/>
      <c r="BJ743" s="637"/>
      <c r="BK743" s="637"/>
      <c r="BL743" s="637"/>
      <c r="BM743" s="637"/>
      <c r="BN743" s="637"/>
      <c r="BO743" s="637"/>
      <c r="BP743" s="637"/>
      <c r="BQ743" s="637"/>
      <c r="BR743" s="638"/>
      <c r="BS743" s="644">
        <f t="shared" ref="BS743:BS746" si="25">CI743/BC743</f>
        <v>0</v>
      </c>
      <c r="BT743" s="645"/>
      <c r="BU743" s="645"/>
      <c r="BV743" s="645"/>
      <c r="BW743" s="645"/>
      <c r="BX743" s="645"/>
      <c r="BY743" s="645"/>
      <c r="BZ743" s="645"/>
      <c r="CA743" s="645"/>
      <c r="CB743" s="645"/>
      <c r="CC743" s="645"/>
      <c r="CD743" s="645"/>
      <c r="CE743" s="645"/>
      <c r="CF743" s="645"/>
      <c r="CG743" s="645"/>
      <c r="CH743" s="646"/>
      <c r="CI743" s="636">
        <f>CI744+CI745</f>
        <v>0</v>
      </c>
      <c r="CJ743" s="654"/>
      <c r="CK743" s="654"/>
      <c r="CL743" s="654"/>
      <c r="CM743" s="654"/>
      <c r="CN743" s="654"/>
      <c r="CO743" s="654"/>
      <c r="CP743" s="654"/>
      <c r="CQ743" s="654"/>
      <c r="CR743" s="654"/>
      <c r="CS743" s="654"/>
      <c r="CT743" s="654"/>
      <c r="CU743" s="654"/>
      <c r="CV743" s="654"/>
      <c r="CW743" s="654"/>
      <c r="CX743" s="654"/>
      <c r="CY743" s="654"/>
      <c r="CZ743" s="655"/>
      <c r="DA743" s="214"/>
    </row>
    <row r="744" spans="1:105" s="16" customFormat="1" ht="21.75" hidden="1" customHeight="1" x14ac:dyDescent="0.3">
      <c r="A744" s="630" t="s">
        <v>441</v>
      </c>
      <c r="B744" s="631"/>
      <c r="C744" s="631"/>
      <c r="D744" s="631"/>
      <c r="E744" s="631"/>
      <c r="F744" s="631"/>
      <c r="G744" s="632"/>
      <c r="H744" s="584" t="s">
        <v>718</v>
      </c>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5"/>
      <c r="AL744" s="585"/>
      <c r="AM744" s="585"/>
      <c r="AN744" s="585"/>
      <c r="AO744" s="585"/>
      <c r="AP744" s="585"/>
      <c r="AQ744" s="585"/>
      <c r="AR744" s="585"/>
      <c r="AS744" s="585"/>
      <c r="AT744" s="586"/>
      <c r="AU744" s="475" t="s">
        <v>690</v>
      </c>
      <c r="AV744" s="476"/>
      <c r="AW744" s="476"/>
      <c r="AX744" s="476"/>
      <c r="AY744" s="476"/>
      <c r="AZ744" s="476"/>
      <c r="BA744" s="476"/>
      <c r="BB744" s="477"/>
      <c r="BC744" s="544"/>
      <c r="BD744" s="545"/>
      <c r="BE744" s="545"/>
      <c r="BF744" s="545"/>
      <c r="BG744" s="545"/>
      <c r="BH744" s="545"/>
      <c r="BI744" s="545"/>
      <c r="BJ744" s="545"/>
      <c r="BK744" s="545"/>
      <c r="BL744" s="545"/>
      <c r="BM744" s="545"/>
      <c r="BN744" s="545"/>
      <c r="BO744" s="545"/>
      <c r="BP744" s="545"/>
      <c r="BQ744" s="545"/>
      <c r="BR744" s="546"/>
      <c r="BS744" s="639"/>
      <c r="BT744" s="640"/>
      <c r="BU744" s="640"/>
      <c r="BV744" s="640"/>
      <c r="BW744" s="640"/>
      <c r="BX744" s="640"/>
      <c r="BY744" s="640"/>
      <c r="BZ744" s="640"/>
      <c r="CA744" s="640"/>
      <c r="CB744" s="640"/>
      <c r="CC744" s="640"/>
      <c r="CD744" s="640"/>
      <c r="CE744" s="640"/>
      <c r="CF744" s="640"/>
      <c r="CG744" s="640"/>
      <c r="CH744" s="641"/>
      <c r="CI744" s="627"/>
      <c r="CJ744" s="628"/>
      <c r="CK744" s="628"/>
      <c r="CL744" s="628"/>
      <c r="CM744" s="628"/>
      <c r="CN744" s="628"/>
      <c r="CO744" s="628"/>
      <c r="CP744" s="628"/>
      <c r="CQ744" s="628"/>
      <c r="CR744" s="628"/>
      <c r="CS744" s="628"/>
      <c r="CT744" s="628"/>
      <c r="CU744" s="628"/>
      <c r="CV744" s="628"/>
      <c r="CW744" s="628"/>
      <c r="CX744" s="628"/>
      <c r="CY744" s="628"/>
      <c r="CZ744" s="629"/>
      <c r="DA744" s="214"/>
    </row>
    <row r="745" spans="1:105" s="16" customFormat="1" ht="15" hidden="1" customHeight="1" x14ac:dyDescent="0.3">
      <c r="A745" s="630" t="s">
        <v>444</v>
      </c>
      <c r="B745" s="631"/>
      <c r="C745" s="631"/>
      <c r="D745" s="631"/>
      <c r="E745" s="631"/>
      <c r="F745" s="631"/>
      <c r="G745" s="632"/>
      <c r="H745" s="584" t="s">
        <v>719</v>
      </c>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5"/>
      <c r="AL745" s="585"/>
      <c r="AM745" s="585"/>
      <c r="AN745" s="585"/>
      <c r="AO745" s="585"/>
      <c r="AP745" s="585"/>
      <c r="AQ745" s="585"/>
      <c r="AR745" s="585"/>
      <c r="AS745" s="585"/>
      <c r="AT745" s="586"/>
      <c r="AU745" s="475" t="s">
        <v>690</v>
      </c>
      <c r="AV745" s="476"/>
      <c r="AW745" s="476"/>
      <c r="AX745" s="476"/>
      <c r="AY745" s="476"/>
      <c r="AZ745" s="476"/>
      <c r="BA745" s="476"/>
      <c r="BB745" s="477"/>
      <c r="BC745" s="544"/>
      <c r="BD745" s="545"/>
      <c r="BE745" s="545"/>
      <c r="BF745" s="545"/>
      <c r="BG745" s="545"/>
      <c r="BH745" s="545"/>
      <c r="BI745" s="545"/>
      <c r="BJ745" s="545"/>
      <c r="BK745" s="545"/>
      <c r="BL745" s="545"/>
      <c r="BM745" s="545"/>
      <c r="BN745" s="545"/>
      <c r="BO745" s="545"/>
      <c r="BP745" s="545"/>
      <c r="BQ745" s="545"/>
      <c r="BR745" s="546"/>
      <c r="BS745" s="639"/>
      <c r="BT745" s="640"/>
      <c r="BU745" s="640"/>
      <c r="BV745" s="640"/>
      <c r="BW745" s="640"/>
      <c r="BX745" s="640"/>
      <c r="BY745" s="640"/>
      <c r="BZ745" s="640"/>
      <c r="CA745" s="640"/>
      <c r="CB745" s="640"/>
      <c r="CC745" s="640"/>
      <c r="CD745" s="640"/>
      <c r="CE745" s="640"/>
      <c r="CF745" s="640"/>
      <c r="CG745" s="640"/>
      <c r="CH745" s="641"/>
      <c r="CI745" s="627"/>
      <c r="CJ745" s="628"/>
      <c r="CK745" s="628"/>
      <c r="CL745" s="628"/>
      <c r="CM745" s="628"/>
      <c r="CN745" s="628"/>
      <c r="CO745" s="628"/>
      <c r="CP745" s="628"/>
      <c r="CQ745" s="628"/>
      <c r="CR745" s="628"/>
      <c r="CS745" s="628"/>
      <c r="CT745" s="628"/>
      <c r="CU745" s="628"/>
      <c r="CV745" s="628"/>
      <c r="CW745" s="628"/>
      <c r="CX745" s="628"/>
      <c r="CY745" s="628"/>
      <c r="CZ745" s="629"/>
      <c r="DA745" s="214"/>
    </row>
    <row r="746" spans="1:105" s="16" customFormat="1" ht="15" customHeight="1" x14ac:dyDescent="0.3">
      <c r="A746" s="630"/>
      <c r="B746" s="631"/>
      <c r="C746" s="631"/>
      <c r="D746" s="631"/>
      <c r="E746" s="631"/>
      <c r="F746" s="631"/>
      <c r="G746" s="632"/>
      <c r="H746" s="651" t="s">
        <v>720</v>
      </c>
      <c r="I746" s="652"/>
      <c r="J746" s="652"/>
      <c r="K746" s="652"/>
      <c r="L746" s="652"/>
      <c r="M746" s="652"/>
      <c r="N746" s="652"/>
      <c r="O746" s="652"/>
      <c r="P746" s="652"/>
      <c r="Q746" s="652"/>
      <c r="R746" s="652"/>
      <c r="S746" s="652"/>
      <c r="T746" s="652"/>
      <c r="U746" s="652"/>
      <c r="V746" s="652"/>
      <c r="W746" s="652"/>
      <c r="X746" s="652"/>
      <c r="Y746" s="652"/>
      <c r="Z746" s="652"/>
      <c r="AA746" s="652"/>
      <c r="AB746" s="652"/>
      <c r="AC746" s="652"/>
      <c r="AD746" s="652"/>
      <c r="AE746" s="652"/>
      <c r="AF746" s="652"/>
      <c r="AG746" s="652"/>
      <c r="AH746" s="652"/>
      <c r="AI746" s="652"/>
      <c r="AJ746" s="652"/>
      <c r="AK746" s="652"/>
      <c r="AL746" s="652"/>
      <c r="AM746" s="652"/>
      <c r="AN746" s="652"/>
      <c r="AO746" s="652"/>
      <c r="AP746" s="652"/>
      <c r="AQ746" s="652"/>
      <c r="AR746" s="652"/>
      <c r="AS746" s="652"/>
      <c r="AT746" s="653"/>
      <c r="AU746" s="541" t="s">
        <v>690</v>
      </c>
      <c r="AV746" s="542"/>
      <c r="AW746" s="542"/>
      <c r="AX746" s="542"/>
      <c r="AY746" s="542"/>
      <c r="AZ746" s="542"/>
      <c r="BA746" s="542"/>
      <c r="BB746" s="543"/>
      <c r="BC746" s="647">
        <v>50</v>
      </c>
      <c r="BD746" s="637"/>
      <c r="BE746" s="637"/>
      <c r="BF746" s="637"/>
      <c r="BG746" s="637"/>
      <c r="BH746" s="637"/>
      <c r="BI746" s="637"/>
      <c r="BJ746" s="637"/>
      <c r="BK746" s="637"/>
      <c r="BL746" s="637"/>
      <c r="BM746" s="637"/>
      <c r="BN746" s="637"/>
      <c r="BO746" s="637"/>
      <c r="BP746" s="637"/>
      <c r="BQ746" s="637"/>
      <c r="BR746" s="638"/>
      <c r="BS746" s="644">
        <f t="shared" si="25"/>
        <v>1200</v>
      </c>
      <c r="BT746" s="645"/>
      <c r="BU746" s="645"/>
      <c r="BV746" s="645"/>
      <c r="BW746" s="645"/>
      <c r="BX746" s="645"/>
      <c r="BY746" s="645"/>
      <c r="BZ746" s="645"/>
      <c r="CA746" s="645"/>
      <c r="CB746" s="645"/>
      <c r="CC746" s="645"/>
      <c r="CD746" s="645"/>
      <c r="CE746" s="645"/>
      <c r="CF746" s="645"/>
      <c r="CG746" s="645"/>
      <c r="CH746" s="646"/>
      <c r="CI746" s="636">
        <v>60000</v>
      </c>
      <c r="CJ746" s="654"/>
      <c r="CK746" s="654"/>
      <c r="CL746" s="654"/>
      <c r="CM746" s="654"/>
      <c r="CN746" s="654"/>
      <c r="CO746" s="654"/>
      <c r="CP746" s="654"/>
      <c r="CQ746" s="654"/>
      <c r="CR746" s="654"/>
      <c r="CS746" s="654"/>
      <c r="CT746" s="654"/>
      <c r="CU746" s="654"/>
      <c r="CV746" s="654"/>
      <c r="CW746" s="654"/>
      <c r="CX746" s="654"/>
      <c r="CY746" s="654"/>
      <c r="CZ746" s="655"/>
      <c r="DA746" s="214"/>
    </row>
    <row r="747" spans="1:105" s="16" customFormat="1" ht="15" customHeight="1" x14ac:dyDescent="0.3">
      <c r="A747" s="630"/>
      <c r="B747" s="631"/>
      <c r="C747" s="631"/>
      <c r="D747" s="631"/>
      <c r="E747" s="631"/>
      <c r="F747" s="631"/>
      <c r="G747" s="632"/>
      <c r="H747" s="651"/>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c r="AI747" s="652"/>
      <c r="AJ747" s="652"/>
      <c r="AK747" s="652"/>
      <c r="AL747" s="652"/>
      <c r="AM747" s="652"/>
      <c r="AN747" s="652"/>
      <c r="AO747" s="652"/>
      <c r="AP747" s="652"/>
      <c r="AQ747" s="652"/>
      <c r="AR747" s="652"/>
      <c r="AS747" s="652"/>
      <c r="AT747" s="653"/>
      <c r="AU747" s="475"/>
      <c r="AV747" s="476"/>
      <c r="AW747" s="476"/>
      <c r="AX747" s="476"/>
      <c r="AY747" s="476"/>
      <c r="AZ747" s="476"/>
      <c r="BA747" s="476"/>
      <c r="BB747" s="477"/>
      <c r="BC747" s="544"/>
      <c r="BD747" s="545"/>
      <c r="BE747" s="545"/>
      <c r="BF747" s="545"/>
      <c r="BG747" s="545"/>
      <c r="BH747" s="545"/>
      <c r="BI747" s="545"/>
      <c r="BJ747" s="545"/>
      <c r="BK747" s="545"/>
      <c r="BL747" s="545"/>
      <c r="BM747" s="545"/>
      <c r="BN747" s="545"/>
      <c r="BO747" s="545"/>
      <c r="BP747" s="545"/>
      <c r="BQ747" s="545"/>
      <c r="BR747" s="546"/>
      <c r="BS747" s="644"/>
      <c r="BT747" s="645"/>
      <c r="BU747" s="645"/>
      <c r="BV747" s="645"/>
      <c r="BW747" s="645"/>
      <c r="BX747" s="645"/>
      <c r="BY747" s="645"/>
      <c r="BZ747" s="645"/>
      <c r="CA747" s="645"/>
      <c r="CB747" s="645"/>
      <c r="CC747" s="645"/>
      <c r="CD747" s="645"/>
      <c r="CE747" s="645"/>
      <c r="CF747" s="645"/>
      <c r="CG747" s="645"/>
      <c r="CH747" s="646"/>
      <c r="CI747" s="627"/>
      <c r="CJ747" s="628"/>
      <c r="CK747" s="628"/>
      <c r="CL747" s="628"/>
      <c r="CM747" s="628"/>
      <c r="CN747" s="628"/>
      <c r="CO747" s="628"/>
      <c r="CP747" s="628"/>
      <c r="CQ747" s="628"/>
      <c r="CR747" s="628"/>
      <c r="CS747" s="628"/>
      <c r="CT747" s="628"/>
      <c r="CU747" s="628"/>
      <c r="CV747" s="628"/>
      <c r="CW747" s="628"/>
      <c r="CX747" s="628"/>
      <c r="CY747" s="628"/>
      <c r="CZ747" s="629"/>
      <c r="DA747" s="214"/>
    </row>
    <row r="748" spans="1:105" s="16" customFormat="1" ht="15" customHeight="1" x14ac:dyDescent="0.3">
      <c r="A748" s="630"/>
      <c r="B748" s="631"/>
      <c r="C748" s="631"/>
      <c r="D748" s="631"/>
      <c r="E748" s="631"/>
      <c r="F748" s="631"/>
      <c r="G748" s="632"/>
      <c r="H748" s="651" t="s">
        <v>721</v>
      </c>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c r="AI748" s="652"/>
      <c r="AJ748" s="652"/>
      <c r="AK748" s="652"/>
      <c r="AL748" s="652"/>
      <c r="AM748" s="652"/>
      <c r="AN748" s="652"/>
      <c r="AO748" s="652"/>
      <c r="AP748" s="652"/>
      <c r="AQ748" s="652"/>
      <c r="AR748" s="652"/>
      <c r="AS748" s="652"/>
      <c r="AT748" s="653"/>
      <c r="AU748" s="541" t="s">
        <v>690</v>
      </c>
      <c r="AV748" s="542"/>
      <c r="AW748" s="542"/>
      <c r="AX748" s="542"/>
      <c r="AY748" s="542"/>
      <c r="AZ748" s="542"/>
      <c r="BA748" s="542"/>
      <c r="BB748" s="543"/>
      <c r="BC748" s="647">
        <f>800+3+2+2+1+2+5+5+1+5+5+2+10+20+2+6+10+10+10+5+4+20</f>
        <v>930</v>
      </c>
      <c r="BD748" s="637"/>
      <c r="BE748" s="637"/>
      <c r="BF748" s="637"/>
      <c r="BG748" s="637"/>
      <c r="BH748" s="637"/>
      <c r="BI748" s="637"/>
      <c r="BJ748" s="637"/>
      <c r="BK748" s="637"/>
      <c r="BL748" s="637"/>
      <c r="BM748" s="637"/>
      <c r="BN748" s="637"/>
      <c r="BO748" s="637"/>
      <c r="BP748" s="637"/>
      <c r="BQ748" s="637"/>
      <c r="BR748" s="638"/>
      <c r="BS748" s="644">
        <f t="shared" ref="BS748:BS766" si="26">CI748/BC748</f>
        <v>59.408602150537632</v>
      </c>
      <c r="BT748" s="645"/>
      <c r="BU748" s="645"/>
      <c r="BV748" s="645"/>
      <c r="BW748" s="645"/>
      <c r="BX748" s="645"/>
      <c r="BY748" s="645"/>
      <c r="BZ748" s="645"/>
      <c r="CA748" s="645"/>
      <c r="CB748" s="645"/>
      <c r="CC748" s="645"/>
      <c r="CD748" s="645"/>
      <c r="CE748" s="645"/>
      <c r="CF748" s="645"/>
      <c r="CG748" s="645"/>
      <c r="CH748" s="646"/>
      <c r="CI748" s="636">
        <v>55250</v>
      </c>
      <c r="CJ748" s="654"/>
      <c r="CK748" s="654"/>
      <c r="CL748" s="654"/>
      <c r="CM748" s="654"/>
      <c r="CN748" s="654"/>
      <c r="CO748" s="654"/>
      <c r="CP748" s="654"/>
      <c r="CQ748" s="654"/>
      <c r="CR748" s="654"/>
      <c r="CS748" s="654"/>
      <c r="CT748" s="654"/>
      <c r="CU748" s="654"/>
      <c r="CV748" s="654"/>
      <c r="CW748" s="654"/>
      <c r="CX748" s="654"/>
      <c r="CY748" s="654"/>
      <c r="CZ748" s="655"/>
      <c r="DA748" s="214"/>
    </row>
    <row r="749" spans="1:105" s="16" customFormat="1" ht="15" customHeight="1" x14ac:dyDescent="0.3">
      <c r="A749" s="630"/>
      <c r="B749" s="631"/>
      <c r="C749" s="631"/>
      <c r="D749" s="631"/>
      <c r="E749" s="631"/>
      <c r="F749" s="631"/>
      <c r="G749" s="632"/>
      <c r="H749" s="651"/>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c r="AI749" s="652"/>
      <c r="AJ749" s="652"/>
      <c r="AK749" s="652"/>
      <c r="AL749" s="652"/>
      <c r="AM749" s="652"/>
      <c r="AN749" s="652"/>
      <c r="AO749" s="652"/>
      <c r="AP749" s="652"/>
      <c r="AQ749" s="652"/>
      <c r="AR749" s="652"/>
      <c r="AS749" s="652"/>
      <c r="AT749" s="653"/>
      <c r="AU749" s="475"/>
      <c r="AV749" s="476"/>
      <c r="AW749" s="476"/>
      <c r="AX749" s="476"/>
      <c r="AY749" s="476"/>
      <c r="AZ749" s="476"/>
      <c r="BA749" s="476"/>
      <c r="BB749" s="477"/>
      <c r="BC749" s="544"/>
      <c r="BD749" s="545"/>
      <c r="BE749" s="545"/>
      <c r="BF749" s="545"/>
      <c r="BG749" s="545"/>
      <c r="BH749" s="545"/>
      <c r="BI749" s="545"/>
      <c r="BJ749" s="545"/>
      <c r="BK749" s="545"/>
      <c r="BL749" s="545"/>
      <c r="BM749" s="545"/>
      <c r="BN749" s="545"/>
      <c r="BO749" s="545"/>
      <c r="BP749" s="545"/>
      <c r="BQ749" s="545"/>
      <c r="BR749" s="546"/>
      <c r="BS749" s="644"/>
      <c r="BT749" s="645"/>
      <c r="BU749" s="645"/>
      <c r="BV749" s="645"/>
      <c r="BW749" s="645"/>
      <c r="BX749" s="645"/>
      <c r="BY749" s="645"/>
      <c r="BZ749" s="645"/>
      <c r="CA749" s="645"/>
      <c r="CB749" s="645"/>
      <c r="CC749" s="645"/>
      <c r="CD749" s="645"/>
      <c r="CE749" s="645"/>
      <c r="CF749" s="645"/>
      <c r="CG749" s="645"/>
      <c r="CH749" s="646"/>
      <c r="CI749" s="627"/>
      <c r="CJ749" s="628"/>
      <c r="CK749" s="628"/>
      <c r="CL749" s="628"/>
      <c r="CM749" s="628"/>
      <c r="CN749" s="628"/>
      <c r="CO749" s="628"/>
      <c r="CP749" s="628"/>
      <c r="CQ749" s="628"/>
      <c r="CR749" s="628"/>
      <c r="CS749" s="628"/>
      <c r="CT749" s="628"/>
      <c r="CU749" s="628"/>
      <c r="CV749" s="628"/>
      <c r="CW749" s="628"/>
      <c r="CX749" s="628"/>
      <c r="CY749" s="628"/>
      <c r="CZ749" s="629"/>
      <c r="DA749" s="214"/>
    </row>
    <row r="750" spans="1:105" s="16" customFormat="1" ht="15" customHeight="1" x14ac:dyDescent="0.3">
      <c r="A750" s="630"/>
      <c r="B750" s="631"/>
      <c r="C750" s="631"/>
      <c r="D750" s="631"/>
      <c r="E750" s="631"/>
      <c r="F750" s="631"/>
      <c r="G750" s="632"/>
      <c r="H750" s="651" t="s">
        <v>722</v>
      </c>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52"/>
      <c r="AL750" s="652"/>
      <c r="AM750" s="652"/>
      <c r="AN750" s="652"/>
      <c r="AO750" s="652"/>
      <c r="AP750" s="652"/>
      <c r="AQ750" s="652"/>
      <c r="AR750" s="652"/>
      <c r="AS750" s="652"/>
      <c r="AT750" s="653"/>
      <c r="AU750" s="541" t="s">
        <v>690</v>
      </c>
      <c r="AV750" s="542"/>
      <c r="AW750" s="542"/>
      <c r="AX750" s="542"/>
      <c r="AY750" s="542"/>
      <c r="AZ750" s="542"/>
      <c r="BA750" s="542"/>
      <c r="BB750" s="543"/>
      <c r="BC750" s="647">
        <f>163+120+120+120+110+50+120+20</f>
        <v>823</v>
      </c>
      <c r="BD750" s="637"/>
      <c r="BE750" s="637"/>
      <c r="BF750" s="637"/>
      <c r="BG750" s="637"/>
      <c r="BH750" s="637"/>
      <c r="BI750" s="637"/>
      <c r="BJ750" s="637"/>
      <c r="BK750" s="637"/>
      <c r="BL750" s="637"/>
      <c r="BM750" s="637"/>
      <c r="BN750" s="637"/>
      <c r="BO750" s="637"/>
      <c r="BP750" s="637"/>
      <c r="BQ750" s="637"/>
      <c r="BR750" s="638"/>
      <c r="BS750" s="644">
        <f t="shared" si="26"/>
        <v>291.33657351154312</v>
      </c>
      <c r="BT750" s="645"/>
      <c r="BU750" s="645"/>
      <c r="BV750" s="645"/>
      <c r="BW750" s="645"/>
      <c r="BX750" s="645"/>
      <c r="BY750" s="645"/>
      <c r="BZ750" s="645"/>
      <c r="CA750" s="645"/>
      <c r="CB750" s="645"/>
      <c r="CC750" s="645"/>
      <c r="CD750" s="645"/>
      <c r="CE750" s="645"/>
      <c r="CF750" s="645"/>
      <c r="CG750" s="645"/>
      <c r="CH750" s="646"/>
      <c r="CI750" s="636">
        <f>110070+21700+65000+35000+8000</f>
        <v>239770</v>
      </c>
      <c r="CJ750" s="654"/>
      <c r="CK750" s="654"/>
      <c r="CL750" s="654"/>
      <c r="CM750" s="654"/>
      <c r="CN750" s="654"/>
      <c r="CO750" s="654"/>
      <c r="CP750" s="654"/>
      <c r="CQ750" s="654"/>
      <c r="CR750" s="654"/>
      <c r="CS750" s="654"/>
      <c r="CT750" s="654"/>
      <c r="CU750" s="654"/>
      <c r="CV750" s="654"/>
      <c r="CW750" s="654"/>
      <c r="CX750" s="654"/>
      <c r="CY750" s="654"/>
      <c r="CZ750" s="655"/>
      <c r="DA750" s="214"/>
    </row>
    <row r="751" spans="1:105" s="16" customFormat="1" ht="15" customHeight="1" x14ac:dyDescent="0.3">
      <c r="A751" s="630"/>
      <c r="B751" s="631"/>
      <c r="C751" s="631"/>
      <c r="D751" s="631"/>
      <c r="E751" s="631"/>
      <c r="F751" s="631"/>
      <c r="G751" s="632"/>
      <c r="H751" s="651"/>
      <c r="I751" s="652"/>
      <c r="J751" s="652"/>
      <c r="K751" s="652"/>
      <c r="L751" s="652"/>
      <c r="M751" s="652"/>
      <c r="N751" s="652"/>
      <c r="O751" s="652"/>
      <c r="P751" s="652"/>
      <c r="Q751" s="652"/>
      <c r="R751" s="652"/>
      <c r="S751" s="652"/>
      <c r="T751" s="652"/>
      <c r="U751" s="652"/>
      <c r="V751" s="652"/>
      <c r="W751" s="652"/>
      <c r="X751" s="652"/>
      <c r="Y751" s="652"/>
      <c r="Z751" s="652"/>
      <c r="AA751" s="652"/>
      <c r="AB751" s="652"/>
      <c r="AC751" s="652"/>
      <c r="AD751" s="652"/>
      <c r="AE751" s="652"/>
      <c r="AF751" s="652"/>
      <c r="AG751" s="652"/>
      <c r="AH751" s="652"/>
      <c r="AI751" s="652"/>
      <c r="AJ751" s="652"/>
      <c r="AK751" s="652"/>
      <c r="AL751" s="652"/>
      <c r="AM751" s="652"/>
      <c r="AN751" s="652"/>
      <c r="AO751" s="652"/>
      <c r="AP751" s="652"/>
      <c r="AQ751" s="652"/>
      <c r="AR751" s="652"/>
      <c r="AS751" s="652"/>
      <c r="AT751" s="653"/>
      <c r="AU751" s="475"/>
      <c r="AV751" s="476"/>
      <c r="AW751" s="476"/>
      <c r="AX751" s="476"/>
      <c r="AY751" s="476"/>
      <c r="AZ751" s="476"/>
      <c r="BA751" s="476"/>
      <c r="BB751" s="477"/>
      <c r="BC751" s="544"/>
      <c r="BD751" s="545"/>
      <c r="BE751" s="545"/>
      <c r="BF751" s="545"/>
      <c r="BG751" s="545"/>
      <c r="BH751" s="545"/>
      <c r="BI751" s="545"/>
      <c r="BJ751" s="545"/>
      <c r="BK751" s="545"/>
      <c r="BL751" s="545"/>
      <c r="BM751" s="545"/>
      <c r="BN751" s="545"/>
      <c r="BO751" s="545"/>
      <c r="BP751" s="545"/>
      <c r="BQ751" s="545"/>
      <c r="BR751" s="546"/>
      <c r="BS751" s="644"/>
      <c r="BT751" s="645"/>
      <c r="BU751" s="645"/>
      <c r="BV751" s="645"/>
      <c r="BW751" s="645"/>
      <c r="BX751" s="645"/>
      <c r="BY751" s="645"/>
      <c r="BZ751" s="645"/>
      <c r="CA751" s="645"/>
      <c r="CB751" s="645"/>
      <c r="CC751" s="645"/>
      <c r="CD751" s="645"/>
      <c r="CE751" s="645"/>
      <c r="CF751" s="645"/>
      <c r="CG751" s="645"/>
      <c r="CH751" s="646"/>
      <c r="CI751" s="627"/>
      <c r="CJ751" s="628"/>
      <c r="CK751" s="628"/>
      <c r="CL751" s="628"/>
      <c r="CM751" s="628"/>
      <c r="CN751" s="628"/>
      <c r="CO751" s="628"/>
      <c r="CP751" s="628"/>
      <c r="CQ751" s="628"/>
      <c r="CR751" s="628"/>
      <c r="CS751" s="628"/>
      <c r="CT751" s="628"/>
      <c r="CU751" s="628"/>
      <c r="CV751" s="628"/>
      <c r="CW751" s="628"/>
      <c r="CX751" s="628"/>
      <c r="CY751" s="628"/>
      <c r="CZ751" s="629"/>
      <c r="DA751" s="214"/>
    </row>
    <row r="752" spans="1:105" s="16" customFormat="1" ht="27" customHeight="1" x14ac:dyDescent="0.3">
      <c r="A752" s="630"/>
      <c r="B752" s="631"/>
      <c r="C752" s="631"/>
      <c r="D752" s="631"/>
      <c r="E752" s="631"/>
      <c r="F752" s="631"/>
      <c r="G752" s="632"/>
      <c r="H752" s="651" t="s">
        <v>905</v>
      </c>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52"/>
      <c r="AL752" s="652"/>
      <c r="AM752" s="652"/>
      <c r="AN752" s="652"/>
      <c r="AO752" s="652"/>
      <c r="AP752" s="652"/>
      <c r="AQ752" s="652"/>
      <c r="AR752" s="652"/>
      <c r="AS752" s="652"/>
      <c r="AT752" s="653"/>
      <c r="AU752" s="541" t="s">
        <v>690</v>
      </c>
      <c r="AV752" s="542"/>
      <c r="AW752" s="542"/>
      <c r="AX752" s="542"/>
      <c r="AY752" s="542"/>
      <c r="AZ752" s="542"/>
      <c r="BA752" s="542"/>
      <c r="BB752" s="543"/>
      <c r="BC752" s="647">
        <v>2000</v>
      </c>
      <c r="BD752" s="637"/>
      <c r="BE752" s="637"/>
      <c r="BF752" s="637"/>
      <c r="BG752" s="637"/>
      <c r="BH752" s="637"/>
      <c r="BI752" s="637"/>
      <c r="BJ752" s="637"/>
      <c r="BK752" s="637"/>
      <c r="BL752" s="637"/>
      <c r="BM752" s="637"/>
      <c r="BN752" s="637"/>
      <c r="BO752" s="637"/>
      <c r="BP752" s="637"/>
      <c r="BQ752" s="637"/>
      <c r="BR752" s="638"/>
      <c r="BS752" s="644">
        <f t="shared" si="26"/>
        <v>85.183499999999995</v>
      </c>
      <c r="BT752" s="645"/>
      <c r="BU752" s="645"/>
      <c r="BV752" s="645"/>
      <c r="BW752" s="645"/>
      <c r="BX752" s="645"/>
      <c r="BY752" s="645"/>
      <c r="BZ752" s="645"/>
      <c r="CA752" s="645"/>
      <c r="CB752" s="645"/>
      <c r="CC752" s="645"/>
      <c r="CD752" s="645"/>
      <c r="CE752" s="645"/>
      <c r="CF752" s="645"/>
      <c r="CG752" s="645"/>
      <c r="CH752" s="646"/>
      <c r="CI752" s="636">
        <f>121367+9000+40000</f>
        <v>170367</v>
      </c>
      <c r="CJ752" s="654"/>
      <c r="CK752" s="654"/>
      <c r="CL752" s="654"/>
      <c r="CM752" s="654"/>
      <c r="CN752" s="654"/>
      <c r="CO752" s="654"/>
      <c r="CP752" s="654"/>
      <c r="CQ752" s="654"/>
      <c r="CR752" s="654"/>
      <c r="CS752" s="654"/>
      <c r="CT752" s="654"/>
      <c r="CU752" s="654"/>
      <c r="CV752" s="654"/>
      <c r="CW752" s="654"/>
      <c r="CX752" s="654"/>
      <c r="CY752" s="654"/>
      <c r="CZ752" s="655"/>
      <c r="DA752" s="214"/>
    </row>
    <row r="753" spans="1:105" s="16" customFormat="1" ht="15" customHeight="1" x14ac:dyDescent="0.3">
      <c r="A753" s="630"/>
      <c r="B753" s="631"/>
      <c r="C753" s="631"/>
      <c r="D753" s="631"/>
      <c r="E753" s="631"/>
      <c r="F753" s="631"/>
      <c r="G753" s="632"/>
      <c r="H753" s="651"/>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52"/>
      <c r="AL753" s="652"/>
      <c r="AM753" s="652"/>
      <c r="AN753" s="652"/>
      <c r="AO753" s="652"/>
      <c r="AP753" s="652"/>
      <c r="AQ753" s="652"/>
      <c r="AR753" s="652"/>
      <c r="AS753" s="652"/>
      <c r="AT753" s="653"/>
      <c r="AU753" s="475"/>
      <c r="AV753" s="476"/>
      <c r="AW753" s="476"/>
      <c r="AX753" s="476"/>
      <c r="AY753" s="476"/>
      <c r="AZ753" s="476"/>
      <c r="BA753" s="476"/>
      <c r="BB753" s="477"/>
      <c r="BC753" s="544"/>
      <c r="BD753" s="545"/>
      <c r="BE753" s="545"/>
      <c r="BF753" s="545"/>
      <c r="BG753" s="545"/>
      <c r="BH753" s="545"/>
      <c r="BI753" s="545"/>
      <c r="BJ753" s="545"/>
      <c r="BK753" s="545"/>
      <c r="BL753" s="545"/>
      <c r="BM753" s="545"/>
      <c r="BN753" s="545"/>
      <c r="BO753" s="545"/>
      <c r="BP753" s="545"/>
      <c r="BQ753" s="545"/>
      <c r="BR753" s="546"/>
      <c r="BS753" s="644"/>
      <c r="BT753" s="645"/>
      <c r="BU753" s="645"/>
      <c r="BV753" s="645"/>
      <c r="BW753" s="645"/>
      <c r="BX753" s="645"/>
      <c r="BY753" s="645"/>
      <c r="BZ753" s="645"/>
      <c r="CA753" s="645"/>
      <c r="CB753" s="645"/>
      <c r="CC753" s="645"/>
      <c r="CD753" s="645"/>
      <c r="CE753" s="645"/>
      <c r="CF753" s="645"/>
      <c r="CG753" s="645"/>
      <c r="CH753" s="646"/>
      <c r="CI753" s="627"/>
      <c r="CJ753" s="628"/>
      <c r="CK753" s="628"/>
      <c r="CL753" s="628"/>
      <c r="CM753" s="628"/>
      <c r="CN753" s="628"/>
      <c r="CO753" s="628"/>
      <c r="CP753" s="628"/>
      <c r="CQ753" s="628"/>
      <c r="CR753" s="628"/>
      <c r="CS753" s="628"/>
      <c r="CT753" s="628"/>
      <c r="CU753" s="628"/>
      <c r="CV753" s="628"/>
      <c r="CW753" s="628"/>
      <c r="CX753" s="628"/>
      <c r="CY753" s="628"/>
      <c r="CZ753" s="629"/>
      <c r="DA753" s="214"/>
    </row>
    <row r="754" spans="1:105" s="16" customFormat="1" ht="28.95" customHeight="1" x14ac:dyDescent="0.3">
      <c r="A754" s="630"/>
      <c r="B754" s="631"/>
      <c r="C754" s="631"/>
      <c r="D754" s="631"/>
      <c r="E754" s="631"/>
      <c r="F754" s="631"/>
      <c r="G754" s="632"/>
      <c r="H754" s="651" t="s">
        <v>724</v>
      </c>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52"/>
      <c r="AL754" s="652"/>
      <c r="AM754" s="652"/>
      <c r="AN754" s="652"/>
      <c r="AO754" s="652"/>
      <c r="AP754" s="652"/>
      <c r="AQ754" s="652"/>
      <c r="AR754" s="652"/>
      <c r="AS754" s="652"/>
      <c r="AT754" s="653"/>
      <c r="AU754" s="541" t="s">
        <v>690</v>
      </c>
      <c r="AV754" s="542"/>
      <c r="AW754" s="542"/>
      <c r="AX754" s="542"/>
      <c r="AY754" s="542"/>
      <c r="AZ754" s="542"/>
      <c r="BA754" s="542"/>
      <c r="BB754" s="543"/>
      <c r="BC754" s="647">
        <v>50</v>
      </c>
      <c r="BD754" s="637"/>
      <c r="BE754" s="637"/>
      <c r="BF754" s="637"/>
      <c r="BG754" s="637"/>
      <c r="BH754" s="637"/>
      <c r="BI754" s="637"/>
      <c r="BJ754" s="637"/>
      <c r="BK754" s="637"/>
      <c r="BL754" s="637"/>
      <c r="BM754" s="637"/>
      <c r="BN754" s="637"/>
      <c r="BO754" s="637"/>
      <c r="BP754" s="637"/>
      <c r="BQ754" s="637"/>
      <c r="BR754" s="638"/>
      <c r="BS754" s="644">
        <f>CI754/BC754</f>
        <v>400</v>
      </c>
      <c r="BT754" s="645"/>
      <c r="BU754" s="645"/>
      <c r="BV754" s="645"/>
      <c r="BW754" s="645"/>
      <c r="BX754" s="645"/>
      <c r="BY754" s="645"/>
      <c r="BZ754" s="645"/>
      <c r="CA754" s="645"/>
      <c r="CB754" s="645"/>
      <c r="CC754" s="645"/>
      <c r="CD754" s="645"/>
      <c r="CE754" s="645"/>
      <c r="CF754" s="645"/>
      <c r="CG754" s="645"/>
      <c r="CH754" s="646"/>
      <c r="CI754" s="636">
        <v>20000</v>
      </c>
      <c r="CJ754" s="654"/>
      <c r="CK754" s="654"/>
      <c r="CL754" s="654"/>
      <c r="CM754" s="654"/>
      <c r="CN754" s="654"/>
      <c r="CO754" s="654"/>
      <c r="CP754" s="654"/>
      <c r="CQ754" s="654"/>
      <c r="CR754" s="654"/>
      <c r="CS754" s="654"/>
      <c r="CT754" s="654"/>
      <c r="CU754" s="654"/>
      <c r="CV754" s="654"/>
      <c r="CW754" s="654"/>
      <c r="CX754" s="654"/>
      <c r="CY754" s="654"/>
      <c r="CZ754" s="655"/>
      <c r="DA754" s="214"/>
    </row>
    <row r="755" spans="1:105" s="16" customFormat="1" ht="15" customHeight="1" x14ac:dyDescent="0.3">
      <c r="A755" s="630"/>
      <c r="B755" s="631"/>
      <c r="C755" s="631"/>
      <c r="D755" s="631"/>
      <c r="E755" s="631"/>
      <c r="F755" s="631"/>
      <c r="G755" s="632"/>
      <c r="H755" s="651"/>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c r="AI755" s="652"/>
      <c r="AJ755" s="652"/>
      <c r="AK755" s="652"/>
      <c r="AL755" s="652"/>
      <c r="AM755" s="652"/>
      <c r="AN755" s="652"/>
      <c r="AO755" s="652"/>
      <c r="AP755" s="652"/>
      <c r="AQ755" s="652"/>
      <c r="AR755" s="652"/>
      <c r="AS755" s="652"/>
      <c r="AT755" s="653"/>
      <c r="AU755" s="475"/>
      <c r="AV755" s="476"/>
      <c r="AW755" s="476"/>
      <c r="AX755" s="476"/>
      <c r="AY755" s="476"/>
      <c r="AZ755" s="476"/>
      <c r="BA755" s="476"/>
      <c r="BB755" s="477"/>
      <c r="BC755" s="544"/>
      <c r="BD755" s="545"/>
      <c r="BE755" s="545"/>
      <c r="BF755" s="545"/>
      <c r="BG755" s="545"/>
      <c r="BH755" s="545"/>
      <c r="BI755" s="545"/>
      <c r="BJ755" s="545"/>
      <c r="BK755" s="545"/>
      <c r="BL755" s="545"/>
      <c r="BM755" s="545"/>
      <c r="BN755" s="545"/>
      <c r="BO755" s="545"/>
      <c r="BP755" s="545"/>
      <c r="BQ755" s="545"/>
      <c r="BR755" s="546"/>
      <c r="BS755" s="644"/>
      <c r="BT755" s="645"/>
      <c r="BU755" s="645"/>
      <c r="BV755" s="645"/>
      <c r="BW755" s="645"/>
      <c r="BX755" s="645"/>
      <c r="BY755" s="645"/>
      <c r="BZ755" s="645"/>
      <c r="CA755" s="645"/>
      <c r="CB755" s="645"/>
      <c r="CC755" s="645"/>
      <c r="CD755" s="645"/>
      <c r="CE755" s="645"/>
      <c r="CF755" s="645"/>
      <c r="CG755" s="645"/>
      <c r="CH755" s="646"/>
      <c r="CI755" s="627"/>
      <c r="CJ755" s="628"/>
      <c r="CK755" s="628"/>
      <c r="CL755" s="628"/>
      <c r="CM755" s="628"/>
      <c r="CN755" s="628"/>
      <c r="CO755" s="628"/>
      <c r="CP755" s="628"/>
      <c r="CQ755" s="628"/>
      <c r="CR755" s="628"/>
      <c r="CS755" s="628"/>
      <c r="CT755" s="628"/>
      <c r="CU755" s="628"/>
      <c r="CV755" s="628"/>
      <c r="CW755" s="628"/>
      <c r="CX755" s="628"/>
      <c r="CY755" s="628"/>
      <c r="CZ755" s="629"/>
      <c r="DA755" s="214"/>
    </row>
    <row r="756" spans="1:105" s="16" customFormat="1" ht="15" customHeight="1" x14ac:dyDescent="0.3">
      <c r="A756" s="630"/>
      <c r="B756" s="631"/>
      <c r="C756" s="631"/>
      <c r="D756" s="631"/>
      <c r="E756" s="631"/>
      <c r="F756" s="631"/>
      <c r="G756" s="632"/>
      <c r="H756" s="651" t="s">
        <v>998</v>
      </c>
      <c r="I756" s="652"/>
      <c r="J756" s="652"/>
      <c r="K756" s="652"/>
      <c r="L756" s="652"/>
      <c r="M756" s="652"/>
      <c r="N756" s="652"/>
      <c r="O756" s="652"/>
      <c r="P756" s="652"/>
      <c r="Q756" s="652"/>
      <c r="R756" s="652"/>
      <c r="S756" s="652"/>
      <c r="T756" s="652"/>
      <c r="U756" s="652"/>
      <c r="V756" s="652"/>
      <c r="W756" s="652"/>
      <c r="X756" s="652"/>
      <c r="Y756" s="652"/>
      <c r="Z756" s="652"/>
      <c r="AA756" s="652"/>
      <c r="AB756" s="652"/>
      <c r="AC756" s="652"/>
      <c r="AD756" s="652"/>
      <c r="AE756" s="652"/>
      <c r="AF756" s="652"/>
      <c r="AG756" s="652"/>
      <c r="AH756" s="652"/>
      <c r="AI756" s="652"/>
      <c r="AJ756" s="652"/>
      <c r="AK756" s="652"/>
      <c r="AL756" s="652"/>
      <c r="AM756" s="652"/>
      <c r="AN756" s="652"/>
      <c r="AO756" s="652"/>
      <c r="AP756" s="652"/>
      <c r="AQ756" s="652"/>
      <c r="AR756" s="652"/>
      <c r="AS756" s="652"/>
      <c r="AT756" s="653"/>
      <c r="AU756" s="541" t="s">
        <v>690</v>
      </c>
      <c r="AV756" s="542"/>
      <c r="AW756" s="542"/>
      <c r="AX756" s="542"/>
      <c r="AY756" s="542"/>
      <c r="AZ756" s="542"/>
      <c r="BA756" s="542"/>
      <c r="BB756" s="543"/>
      <c r="BC756" s="647">
        <v>30</v>
      </c>
      <c r="BD756" s="637"/>
      <c r="BE756" s="637"/>
      <c r="BF756" s="637"/>
      <c r="BG756" s="637"/>
      <c r="BH756" s="637"/>
      <c r="BI756" s="637"/>
      <c r="BJ756" s="637"/>
      <c r="BK756" s="637"/>
      <c r="BL756" s="637"/>
      <c r="BM756" s="637"/>
      <c r="BN756" s="637"/>
      <c r="BO756" s="637"/>
      <c r="BP756" s="637"/>
      <c r="BQ756" s="637"/>
      <c r="BR756" s="638"/>
      <c r="BS756" s="644">
        <f>CI756/BC756</f>
        <v>1644</v>
      </c>
      <c r="BT756" s="645"/>
      <c r="BU756" s="645"/>
      <c r="BV756" s="645"/>
      <c r="BW756" s="645"/>
      <c r="BX756" s="645"/>
      <c r="BY756" s="645"/>
      <c r="BZ756" s="645"/>
      <c r="CA756" s="645"/>
      <c r="CB756" s="645"/>
      <c r="CC756" s="645"/>
      <c r="CD756" s="645"/>
      <c r="CE756" s="645"/>
      <c r="CF756" s="645"/>
      <c r="CG756" s="645"/>
      <c r="CH756" s="646"/>
      <c r="CI756" s="636">
        <v>49320</v>
      </c>
      <c r="CJ756" s="654"/>
      <c r="CK756" s="654"/>
      <c r="CL756" s="654"/>
      <c r="CM756" s="654"/>
      <c r="CN756" s="654"/>
      <c r="CO756" s="654"/>
      <c r="CP756" s="654"/>
      <c r="CQ756" s="654"/>
      <c r="CR756" s="654"/>
      <c r="CS756" s="654"/>
      <c r="CT756" s="654"/>
      <c r="CU756" s="654"/>
      <c r="CV756" s="654"/>
      <c r="CW756" s="654"/>
      <c r="CX756" s="654"/>
      <c r="CY756" s="654"/>
      <c r="CZ756" s="655"/>
      <c r="DA756" s="214"/>
    </row>
    <row r="757" spans="1:105" s="16" customFormat="1" ht="15" customHeight="1" x14ac:dyDescent="0.3">
      <c r="A757" s="630"/>
      <c r="B757" s="631"/>
      <c r="C757" s="631"/>
      <c r="D757" s="631"/>
      <c r="E757" s="631"/>
      <c r="F757" s="631"/>
      <c r="G757" s="632"/>
      <c r="H757" s="651"/>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c r="AI757" s="652"/>
      <c r="AJ757" s="652"/>
      <c r="AK757" s="652"/>
      <c r="AL757" s="652"/>
      <c r="AM757" s="652"/>
      <c r="AN757" s="652"/>
      <c r="AO757" s="652"/>
      <c r="AP757" s="652"/>
      <c r="AQ757" s="652"/>
      <c r="AR757" s="652"/>
      <c r="AS757" s="652"/>
      <c r="AT757" s="653"/>
      <c r="AU757" s="475"/>
      <c r="AV757" s="476"/>
      <c r="AW757" s="476"/>
      <c r="AX757" s="476"/>
      <c r="AY757" s="476"/>
      <c r="AZ757" s="476"/>
      <c r="BA757" s="476"/>
      <c r="BB757" s="477"/>
      <c r="BC757" s="544"/>
      <c r="BD757" s="545"/>
      <c r="BE757" s="545"/>
      <c r="BF757" s="545"/>
      <c r="BG757" s="545"/>
      <c r="BH757" s="545"/>
      <c r="BI757" s="545"/>
      <c r="BJ757" s="545"/>
      <c r="BK757" s="545"/>
      <c r="BL757" s="545"/>
      <c r="BM757" s="545"/>
      <c r="BN757" s="545"/>
      <c r="BO757" s="545"/>
      <c r="BP757" s="545"/>
      <c r="BQ757" s="545"/>
      <c r="BR757" s="546"/>
      <c r="BS757" s="644"/>
      <c r="BT757" s="645"/>
      <c r="BU757" s="645"/>
      <c r="BV757" s="645"/>
      <c r="BW757" s="645"/>
      <c r="BX757" s="645"/>
      <c r="BY757" s="645"/>
      <c r="BZ757" s="645"/>
      <c r="CA757" s="645"/>
      <c r="CB757" s="645"/>
      <c r="CC757" s="645"/>
      <c r="CD757" s="645"/>
      <c r="CE757" s="645"/>
      <c r="CF757" s="645"/>
      <c r="CG757" s="645"/>
      <c r="CH757" s="646"/>
      <c r="CI757" s="627"/>
      <c r="CJ757" s="628"/>
      <c r="CK757" s="628"/>
      <c r="CL757" s="628"/>
      <c r="CM757" s="628"/>
      <c r="CN757" s="628"/>
      <c r="CO757" s="628"/>
      <c r="CP757" s="628"/>
      <c r="CQ757" s="628"/>
      <c r="CR757" s="628"/>
      <c r="CS757" s="628"/>
      <c r="CT757" s="628"/>
      <c r="CU757" s="628"/>
      <c r="CV757" s="628"/>
      <c r="CW757" s="628"/>
      <c r="CX757" s="628"/>
      <c r="CY757" s="628"/>
      <c r="CZ757" s="629"/>
      <c r="DA757" s="214"/>
    </row>
    <row r="758" spans="1:105" s="16" customFormat="1" ht="15" customHeight="1" x14ac:dyDescent="0.3">
      <c r="A758" s="630"/>
      <c r="B758" s="631"/>
      <c r="C758" s="631"/>
      <c r="D758" s="631"/>
      <c r="E758" s="631"/>
      <c r="F758" s="631"/>
      <c r="G758" s="632"/>
      <c r="H758" s="651" t="s">
        <v>725</v>
      </c>
      <c r="I758" s="652"/>
      <c r="J758" s="652"/>
      <c r="K758" s="652"/>
      <c r="L758" s="652"/>
      <c r="M758" s="652"/>
      <c r="N758" s="652"/>
      <c r="O758" s="652"/>
      <c r="P758" s="652"/>
      <c r="Q758" s="652"/>
      <c r="R758" s="652"/>
      <c r="S758" s="652"/>
      <c r="T758" s="652"/>
      <c r="U758" s="652"/>
      <c r="V758" s="652"/>
      <c r="W758" s="652"/>
      <c r="X758" s="652"/>
      <c r="Y758" s="652"/>
      <c r="Z758" s="652"/>
      <c r="AA758" s="652"/>
      <c r="AB758" s="652"/>
      <c r="AC758" s="652"/>
      <c r="AD758" s="652"/>
      <c r="AE758" s="652"/>
      <c r="AF758" s="652"/>
      <c r="AG758" s="652"/>
      <c r="AH758" s="652"/>
      <c r="AI758" s="652"/>
      <c r="AJ758" s="652"/>
      <c r="AK758" s="652"/>
      <c r="AL758" s="652"/>
      <c r="AM758" s="652"/>
      <c r="AN758" s="652"/>
      <c r="AO758" s="652"/>
      <c r="AP758" s="652"/>
      <c r="AQ758" s="652"/>
      <c r="AR758" s="652"/>
      <c r="AS758" s="652"/>
      <c r="AT758" s="653"/>
      <c r="AU758" s="541" t="s">
        <v>690</v>
      </c>
      <c r="AV758" s="542"/>
      <c r="AW758" s="542"/>
      <c r="AX758" s="542"/>
      <c r="AY758" s="542"/>
      <c r="AZ758" s="542"/>
      <c r="BA758" s="542"/>
      <c r="BB758" s="543"/>
      <c r="BC758" s="647">
        <v>3000</v>
      </c>
      <c r="BD758" s="637"/>
      <c r="BE758" s="637"/>
      <c r="BF758" s="637"/>
      <c r="BG758" s="637"/>
      <c r="BH758" s="637"/>
      <c r="BI758" s="637"/>
      <c r="BJ758" s="637"/>
      <c r="BK758" s="637"/>
      <c r="BL758" s="637"/>
      <c r="BM758" s="637"/>
      <c r="BN758" s="637"/>
      <c r="BO758" s="637"/>
      <c r="BP758" s="637"/>
      <c r="BQ758" s="637"/>
      <c r="BR758" s="638"/>
      <c r="BS758" s="644">
        <f t="shared" si="26"/>
        <v>74.90025</v>
      </c>
      <c r="BT758" s="645"/>
      <c r="BU758" s="645"/>
      <c r="BV758" s="645"/>
      <c r="BW758" s="645"/>
      <c r="BX758" s="645"/>
      <c r="BY758" s="645"/>
      <c r="BZ758" s="645"/>
      <c r="CA758" s="645"/>
      <c r="CB758" s="645"/>
      <c r="CC758" s="645"/>
      <c r="CD758" s="645"/>
      <c r="CE758" s="645"/>
      <c r="CF758" s="645"/>
      <c r="CG758" s="645"/>
      <c r="CH758" s="646"/>
      <c r="CI758" s="636">
        <v>224700.75</v>
      </c>
      <c r="CJ758" s="654"/>
      <c r="CK758" s="654"/>
      <c r="CL758" s="654"/>
      <c r="CM758" s="654"/>
      <c r="CN758" s="654"/>
      <c r="CO758" s="654"/>
      <c r="CP758" s="654"/>
      <c r="CQ758" s="654"/>
      <c r="CR758" s="654"/>
      <c r="CS758" s="654"/>
      <c r="CT758" s="654"/>
      <c r="CU758" s="654"/>
      <c r="CV758" s="654"/>
      <c r="CW758" s="654"/>
      <c r="CX758" s="654"/>
      <c r="CY758" s="654"/>
      <c r="CZ758" s="655"/>
      <c r="DA758" s="214"/>
    </row>
    <row r="759" spans="1:105" s="16" customFormat="1" ht="15" customHeight="1" x14ac:dyDescent="0.3">
      <c r="A759" s="630"/>
      <c r="B759" s="631"/>
      <c r="C759" s="631"/>
      <c r="D759" s="631"/>
      <c r="E759" s="631"/>
      <c r="F759" s="631"/>
      <c r="G759" s="632"/>
      <c r="H759" s="651"/>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c r="AI759" s="652"/>
      <c r="AJ759" s="652"/>
      <c r="AK759" s="652"/>
      <c r="AL759" s="652"/>
      <c r="AM759" s="652"/>
      <c r="AN759" s="652"/>
      <c r="AO759" s="652"/>
      <c r="AP759" s="652"/>
      <c r="AQ759" s="652"/>
      <c r="AR759" s="652"/>
      <c r="AS759" s="652"/>
      <c r="AT759" s="653"/>
      <c r="AU759" s="475"/>
      <c r="AV759" s="476"/>
      <c r="AW759" s="476"/>
      <c r="AX759" s="476"/>
      <c r="AY759" s="476"/>
      <c r="AZ759" s="476"/>
      <c r="BA759" s="476"/>
      <c r="BB759" s="477"/>
      <c r="BC759" s="544"/>
      <c r="BD759" s="545"/>
      <c r="BE759" s="545"/>
      <c r="BF759" s="545"/>
      <c r="BG759" s="545"/>
      <c r="BH759" s="545"/>
      <c r="BI759" s="545"/>
      <c r="BJ759" s="545"/>
      <c r="BK759" s="545"/>
      <c r="BL759" s="545"/>
      <c r="BM759" s="545"/>
      <c r="BN759" s="545"/>
      <c r="BO759" s="545"/>
      <c r="BP759" s="545"/>
      <c r="BQ759" s="545"/>
      <c r="BR759" s="546"/>
      <c r="BS759" s="644"/>
      <c r="BT759" s="645"/>
      <c r="BU759" s="645"/>
      <c r="BV759" s="645"/>
      <c r="BW759" s="645"/>
      <c r="BX759" s="645"/>
      <c r="BY759" s="645"/>
      <c r="BZ759" s="645"/>
      <c r="CA759" s="645"/>
      <c r="CB759" s="645"/>
      <c r="CC759" s="645"/>
      <c r="CD759" s="645"/>
      <c r="CE759" s="645"/>
      <c r="CF759" s="645"/>
      <c r="CG759" s="645"/>
      <c r="CH759" s="646"/>
      <c r="CI759" s="627"/>
      <c r="CJ759" s="628"/>
      <c r="CK759" s="628"/>
      <c r="CL759" s="628"/>
      <c r="CM759" s="628"/>
      <c r="CN759" s="628"/>
      <c r="CO759" s="628"/>
      <c r="CP759" s="628"/>
      <c r="CQ759" s="628"/>
      <c r="CR759" s="628"/>
      <c r="CS759" s="628"/>
      <c r="CT759" s="628"/>
      <c r="CU759" s="628"/>
      <c r="CV759" s="628"/>
      <c r="CW759" s="628"/>
      <c r="CX759" s="628"/>
      <c r="CY759" s="628"/>
      <c r="CZ759" s="629"/>
      <c r="DA759" s="214"/>
    </row>
    <row r="760" spans="1:105" s="16" customFormat="1" ht="15" customHeight="1" x14ac:dyDescent="0.3">
      <c r="A760" s="630"/>
      <c r="B760" s="631"/>
      <c r="C760" s="631"/>
      <c r="D760" s="631"/>
      <c r="E760" s="631"/>
      <c r="F760" s="631"/>
      <c r="G760" s="632"/>
      <c r="H760" s="651" t="s">
        <v>726</v>
      </c>
      <c r="I760" s="652"/>
      <c r="J760" s="652"/>
      <c r="K760" s="652"/>
      <c r="L760" s="652"/>
      <c r="M760" s="652"/>
      <c r="N760" s="652"/>
      <c r="O760" s="652"/>
      <c r="P760" s="652"/>
      <c r="Q760" s="652"/>
      <c r="R760" s="652"/>
      <c r="S760" s="652"/>
      <c r="T760" s="652"/>
      <c r="U760" s="652"/>
      <c r="V760" s="652"/>
      <c r="W760" s="652"/>
      <c r="X760" s="652"/>
      <c r="Y760" s="652"/>
      <c r="Z760" s="652"/>
      <c r="AA760" s="652"/>
      <c r="AB760" s="652"/>
      <c r="AC760" s="652"/>
      <c r="AD760" s="652"/>
      <c r="AE760" s="652"/>
      <c r="AF760" s="652"/>
      <c r="AG760" s="652"/>
      <c r="AH760" s="652"/>
      <c r="AI760" s="652"/>
      <c r="AJ760" s="652"/>
      <c r="AK760" s="652"/>
      <c r="AL760" s="652"/>
      <c r="AM760" s="652"/>
      <c r="AN760" s="652"/>
      <c r="AO760" s="652"/>
      <c r="AP760" s="652"/>
      <c r="AQ760" s="652"/>
      <c r="AR760" s="652"/>
      <c r="AS760" s="652"/>
      <c r="AT760" s="653"/>
      <c r="AU760" s="541" t="s">
        <v>690</v>
      </c>
      <c r="AV760" s="542"/>
      <c r="AW760" s="542"/>
      <c r="AX760" s="542"/>
      <c r="AY760" s="542"/>
      <c r="AZ760" s="542"/>
      <c r="BA760" s="542"/>
      <c r="BB760" s="543"/>
      <c r="BC760" s="647">
        <f>12+2+40+10+6+40+5+10+10+10</f>
        <v>145</v>
      </c>
      <c r="BD760" s="637"/>
      <c r="BE760" s="637"/>
      <c r="BF760" s="637"/>
      <c r="BG760" s="637"/>
      <c r="BH760" s="637"/>
      <c r="BI760" s="637"/>
      <c r="BJ760" s="637"/>
      <c r="BK760" s="637"/>
      <c r="BL760" s="637"/>
      <c r="BM760" s="637"/>
      <c r="BN760" s="637"/>
      <c r="BO760" s="637"/>
      <c r="BP760" s="637"/>
      <c r="BQ760" s="637"/>
      <c r="BR760" s="638"/>
      <c r="BS760" s="644">
        <f t="shared" si="26"/>
        <v>655.10344827586209</v>
      </c>
      <c r="BT760" s="645"/>
      <c r="BU760" s="645"/>
      <c r="BV760" s="645"/>
      <c r="BW760" s="645"/>
      <c r="BX760" s="645"/>
      <c r="BY760" s="645"/>
      <c r="BZ760" s="645"/>
      <c r="CA760" s="645"/>
      <c r="CB760" s="645"/>
      <c r="CC760" s="645"/>
      <c r="CD760" s="645"/>
      <c r="CE760" s="645"/>
      <c r="CF760" s="645"/>
      <c r="CG760" s="645"/>
      <c r="CH760" s="646"/>
      <c r="CI760" s="636">
        <v>94990</v>
      </c>
      <c r="CJ760" s="654"/>
      <c r="CK760" s="654"/>
      <c r="CL760" s="654"/>
      <c r="CM760" s="654"/>
      <c r="CN760" s="654"/>
      <c r="CO760" s="654"/>
      <c r="CP760" s="654"/>
      <c r="CQ760" s="654"/>
      <c r="CR760" s="654"/>
      <c r="CS760" s="654"/>
      <c r="CT760" s="654"/>
      <c r="CU760" s="654"/>
      <c r="CV760" s="654"/>
      <c r="CW760" s="654"/>
      <c r="CX760" s="654"/>
      <c r="CY760" s="654"/>
      <c r="CZ760" s="655"/>
      <c r="DA760" s="214"/>
    </row>
    <row r="761" spans="1:105" s="16" customFormat="1" ht="15" customHeight="1" x14ac:dyDescent="0.3">
      <c r="A761" s="630"/>
      <c r="B761" s="631"/>
      <c r="C761" s="631"/>
      <c r="D761" s="631"/>
      <c r="E761" s="631"/>
      <c r="F761" s="631"/>
      <c r="G761" s="632"/>
      <c r="H761" s="651"/>
      <c r="I761" s="652"/>
      <c r="J761" s="652"/>
      <c r="K761" s="652"/>
      <c r="L761" s="652"/>
      <c r="M761" s="652"/>
      <c r="N761" s="652"/>
      <c r="O761" s="652"/>
      <c r="P761" s="652"/>
      <c r="Q761" s="652"/>
      <c r="R761" s="652"/>
      <c r="S761" s="652"/>
      <c r="T761" s="652"/>
      <c r="U761" s="652"/>
      <c r="V761" s="652"/>
      <c r="W761" s="652"/>
      <c r="X761" s="652"/>
      <c r="Y761" s="652"/>
      <c r="Z761" s="652"/>
      <c r="AA761" s="652"/>
      <c r="AB761" s="652"/>
      <c r="AC761" s="652"/>
      <c r="AD761" s="652"/>
      <c r="AE761" s="652"/>
      <c r="AF761" s="652"/>
      <c r="AG761" s="652"/>
      <c r="AH761" s="652"/>
      <c r="AI761" s="652"/>
      <c r="AJ761" s="652"/>
      <c r="AK761" s="652"/>
      <c r="AL761" s="652"/>
      <c r="AM761" s="652"/>
      <c r="AN761" s="652"/>
      <c r="AO761" s="652"/>
      <c r="AP761" s="652"/>
      <c r="AQ761" s="652"/>
      <c r="AR761" s="652"/>
      <c r="AS761" s="652"/>
      <c r="AT761" s="653"/>
      <c r="AU761" s="475"/>
      <c r="AV761" s="476"/>
      <c r="AW761" s="476"/>
      <c r="AX761" s="476"/>
      <c r="AY761" s="476"/>
      <c r="AZ761" s="476"/>
      <c r="BA761" s="476"/>
      <c r="BB761" s="477"/>
      <c r="BC761" s="544"/>
      <c r="BD761" s="545"/>
      <c r="BE761" s="545"/>
      <c r="BF761" s="545"/>
      <c r="BG761" s="545"/>
      <c r="BH761" s="545"/>
      <c r="BI761" s="545"/>
      <c r="BJ761" s="545"/>
      <c r="BK761" s="545"/>
      <c r="BL761" s="545"/>
      <c r="BM761" s="545"/>
      <c r="BN761" s="545"/>
      <c r="BO761" s="545"/>
      <c r="BP761" s="545"/>
      <c r="BQ761" s="545"/>
      <c r="BR761" s="546"/>
      <c r="BS761" s="644"/>
      <c r="BT761" s="645"/>
      <c r="BU761" s="645"/>
      <c r="BV761" s="645"/>
      <c r="BW761" s="645"/>
      <c r="BX761" s="645"/>
      <c r="BY761" s="645"/>
      <c r="BZ761" s="645"/>
      <c r="CA761" s="645"/>
      <c r="CB761" s="645"/>
      <c r="CC761" s="645"/>
      <c r="CD761" s="645"/>
      <c r="CE761" s="645"/>
      <c r="CF761" s="645"/>
      <c r="CG761" s="645"/>
      <c r="CH761" s="646"/>
      <c r="CI761" s="627"/>
      <c r="CJ761" s="628"/>
      <c r="CK761" s="628"/>
      <c r="CL761" s="628"/>
      <c r="CM761" s="628"/>
      <c r="CN761" s="628"/>
      <c r="CO761" s="628"/>
      <c r="CP761" s="628"/>
      <c r="CQ761" s="628"/>
      <c r="CR761" s="628"/>
      <c r="CS761" s="628"/>
      <c r="CT761" s="628"/>
      <c r="CU761" s="628"/>
      <c r="CV761" s="628"/>
      <c r="CW761" s="628"/>
      <c r="CX761" s="628"/>
      <c r="CY761" s="628"/>
      <c r="CZ761" s="629"/>
      <c r="DA761" s="214"/>
    </row>
    <row r="762" spans="1:105" s="16" customFormat="1" ht="15" customHeight="1" x14ac:dyDescent="0.3">
      <c r="A762" s="630"/>
      <c r="B762" s="631"/>
      <c r="C762" s="631"/>
      <c r="D762" s="631"/>
      <c r="E762" s="631"/>
      <c r="F762" s="631"/>
      <c r="G762" s="632"/>
      <c r="H762" s="651" t="s">
        <v>727</v>
      </c>
      <c r="I762" s="652"/>
      <c r="J762" s="652"/>
      <c r="K762" s="652"/>
      <c r="L762" s="652"/>
      <c r="M762" s="652"/>
      <c r="N762" s="652"/>
      <c r="O762" s="652"/>
      <c r="P762" s="652"/>
      <c r="Q762" s="652"/>
      <c r="R762" s="652"/>
      <c r="S762" s="652"/>
      <c r="T762" s="652"/>
      <c r="U762" s="652"/>
      <c r="V762" s="652"/>
      <c r="W762" s="652"/>
      <c r="X762" s="652"/>
      <c r="Y762" s="652"/>
      <c r="Z762" s="652"/>
      <c r="AA762" s="652"/>
      <c r="AB762" s="652"/>
      <c r="AC762" s="652"/>
      <c r="AD762" s="652"/>
      <c r="AE762" s="652"/>
      <c r="AF762" s="652"/>
      <c r="AG762" s="652"/>
      <c r="AH762" s="652"/>
      <c r="AI762" s="652"/>
      <c r="AJ762" s="652"/>
      <c r="AK762" s="652"/>
      <c r="AL762" s="652"/>
      <c r="AM762" s="652"/>
      <c r="AN762" s="652"/>
      <c r="AO762" s="652"/>
      <c r="AP762" s="652"/>
      <c r="AQ762" s="652"/>
      <c r="AR762" s="652"/>
      <c r="AS762" s="652"/>
      <c r="AT762" s="653"/>
      <c r="AU762" s="541" t="s">
        <v>690</v>
      </c>
      <c r="AV762" s="542"/>
      <c r="AW762" s="542"/>
      <c r="AX762" s="542"/>
      <c r="AY762" s="542"/>
      <c r="AZ762" s="542"/>
      <c r="BA762" s="542"/>
      <c r="BB762" s="543"/>
      <c r="BC762" s="647">
        <f>5+20+10+20+10+20+5+10+1</f>
        <v>101</v>
      </c>
      <c r="BD762" s="637"/>
      <c r="BE762" s="637"/>
      <c r="BF762" s="637"/>
      <c r="BG762" s="637"/>
      <c r="BH762" s="637"/>
      <c r="BI762" s="637"/>
      <c r="BJ762" s="637"/>
      <c r="BK762" s="637"/>
      <c r="BL762" s="637"/>
      <c r="BM762" s="637"/>
      <c r="BN762" s="637"/>
      <c r="BO762" s="637"/>
      <c r="BP762" s="637"/>
      <c r="BQ762" s="637"/>
      <c r="BR762" s="638"/>
      <c r="BS762" s="644">
        <f t="shared" si="26"/>
        <v>749.00990099009903</v>
      </c>
      <c r="BT762" s="645"/>
      <c r="BU762" s="645"/>
      <c r="BV762" s="645"/>
      <c r="BW762" s="645"/>
      <c r="BX762" s="645"/>
      <c r="BY762" s="645"/>
      <c r="BZ762" s="645"/>
      <c r="CA762" s="645"/>
      <c r="CB762" s="645"/>
      <c r="CC762" s="645"/>
      <c r="CD762" s="645"/>
      <c r="CE762" s="645"/>
      <c r="CF762" s="645"/>
      <c r="CG762" s="645"/>
      <c r="CH762" s="646"/>
      <c r="CI762" s="636">
        <v>75650</v>
      </c>
      <c r="CJ762" s="654"/>
      <c r="CK762" s="654"/>
      <c r="CL762" s="654"/>
      <c r="CM762" s="654"/>
      <c r="CN762" s="654"/>
      <c r="CO762" s="654"/>
      <c r="CP762" s="654"/>
      <c r="CQ762" s="654"/>
      <c r="CR762" s="654"/>
      <c r="CS762" s="654"/>
      <c r="CT762" s="654"/>
      <c r="CU762" s="654"/>
      <c r="CV762" s="654"/>
      <c r="CW762" s="654"/>
      <c r="CX762" s="654"/>
      <c r="CY762" s="654"/>
      <c r="CZ762" s="655"/>
      <c r="DA762" s="214"/>
    </row>
    <row r="763" spans="1:105" s="16" customFormat="1" ht="15" customHeight="1" x14ac:dyDescent="0.3">
      <c r="A763" s="630"/>
      <c r="B763" s="631"/>
      <c r="C763" s="631"/>
      <c r="D763" s="631"/>
      <c r="E763" s="631"/>
      <c r="F763" s="631"/>
      <c r="G763" s="632"/>
      <c r="H763" s="651"/>
      <c r="I763" s="652"/>
      <c r="J763" s="652"/>
      <c r="K763" s="652"/>
      <c r="L763" s="652"/>
      <c r="M763" s="652"/>
      <c r="N763" s="652"/>
      <c r="O763" s="652"/>
      <c r="P763" s="652"/>
      <c r="Q763" s="652"/>
      <c r="R763" s="652"/>
      <c r="S763" s="652"/>
      <c r="T763" s="652"/>
      <c r="U763" s="652"/>
      <c r="V763" s="652"/>
      <c r="W763" s="652"/>
      <c r="X763" s="652"/>
      <c r="Y763" s="652"/>
      <c r="Z763" s="652"/>
      <c r="AA763" s="652"/>
      <c r="AB763" s="652"/>
      <c r="AC763" s="652"/>
      <c r="AD763" s="652"/>
      <c r="AE763" s="652"/>
      <c r="AF763" s="652"/>
      <c r="AG763" s="652"/>
      <c r="AH763" s="652"/>
      <c r="AI763" s="652"/>
      <c r="AJ763" s="652"/>
      <c r="AK763" s="652"/>
      <c r="AL763" s="652"/>
      <c r="AM763" s="652"/>
      <c r="AN763" s="652"/>
      <c r="AO763" s="652"/>
      <c r="AP763" s="652"/>
      <c r="AQ763" s="652"/>
      <c r="AR763" s="652"/>
      <c r="AS763" s="652"/>
      <c r="AT763" s="653"/>
      <c r="AU763" s="475"/>
      <c r="AV763" s="476"/>
      <c r="AW763" s="476"/>
      <c r="AX763" s="476"/>
      <c r="AY763" s="476"/>
      <c r="AZ763" s="476"/>
      <c r="BA763" s="476"/>
      <c r="BB763" s="477"/>
      <c r="BC763" s="544"/>
      <c r="BD763" s="545"/>
      <c r="BE763" s="545"/>
      <c r="BF763" s="545"/>
      <c r="BG763" s="545"/>
      <c r="BH763" s="545"/>
      <c r="BI763" s="545"/>
      <c r="BJ763" s="545"/>
      <c r="BK763" s="545"/>
      <c r="BL763" s="545"/>
      <c r="BM763" s="545"/>
      <c r="BN763" s="545"/>
      <c r="BO763" s="545"/>
      <c r="BP763" s="545"/>
      <c r="BQ763" s="545"/>
      <c r="BR763" s="546"/>
      <c r="BS763" s="644"/>
      <c r="BT763" s="645"/>
      <c r="BU763" s="645"/>
      <c r="BV763" s="645"/>
      <c r="BW763" s="645"/>
      <c r="BX763" s="645"/>
      <c r="BY763" s="645"/>
      <c r="BZ763" s="645"/>
      <c r="CA763" s="645"/>
      <c r="CB763" s="645"/>
      <c r="CC763" s="645"/>
      <c r="CD763" s="645"/>
      <c r="CE763" s="645"/>
      <c r="CF763" s="645"/>
      <c r="CG763" s="645"/>
      <c r="CH763" s="646"/>
      <c r="CI763" s="627"/>
      <c r="CJ763" s="628"/>
      <c r="CK763" s="628"/>
      <c r="CL763" s="628"/>
      <c r="CM763" s="628"/>
      <c r="CN763" s="628"/>
      <c r="CO763" s="628"/>
      <c r="CP763" s="628"/>
      <c r="CQ763" s="628"/>
      <c r="CR763" s="628"/>
      <c r="CS763" s="628"/>
      <c r="CT763" s="628"/>
      <c r="CU763" s="628"/>
      <c r="CV763" s="628"/>
      <c r="CW763" s="628"/>
      <c r="CX763" s="628"/>
      <c r="CY763" s="628"/>
      <c r="CZ763" s="629"/>
      <c r="DA763" s="214"/>
    </row>
    <row r="764" spans="1:105" s="16" customFormat="1" ht="15" hidden="1" customHeight="1" x14ac:dyDescent="0.3">
      <c r="A764" s="630"/>
      <c r="B764" s="631"/>
      <c r="C764" s="631"/>
      <c r="D764" s="631"/>
      <c r="E764" s="631"/>
      <c r="F764" s="631"/>
      <c r="G764" s="632"/>
      <c r="H764" s="651"/>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c r="AI764" s="652"/>
      <c r="AJ764" s="652"/>
      <c r="AK764" s="652"/>
      <c r="AL764" s="652"/>
      <c r="AM764" s="652"/>
      <c r="AN764" s="652"/>
      <c r="AO764" s="652"/>
      <c r="AP764" s="652"/>
      <c r="AQ764" s="652"/>
      <c r="AR764" s="652"/>
      <c r="AS764" s="652"/>
      <c r="AT764" s="653"/>
      <c r="AU764" s="541" t="s">
        <v>690</v>
      </c>
      <c r="AV764" s="542"/>
      <c r="AW764" s="542"/>
      <c r="AX764" s="542"/>
      <c r="AY764" s="542"/>
      <c r="AZ764" s="542"/>
      <c r="BA764" s="542"/>
      <c r="BB764" s="543"/>
      <c r="BC764" s="647">
        <v>1826</v>
      </c>
      <c r="BD764" s="637"/>
      <c r="BE764" s="637"/>
      <c r="BF764" s="637"/>
      <c r="BG764" s="637"/>
      <c r="BH764" s="637"/>
      <c r="BI764" s="637"/>
      <c r="BJ764" s="637"/>
      <c r="BK764" s="637"/>
      <c r="BL764" s="637"/>
      <c r="BM764" s="637"/>
      <c r="BN764" s="637"/>
      <c r="BO764" s="637"/>
      <c r="BP764" s="637"/>
      <c r="BQ764" s="637"/>
      <c r="BR764" s="638"/>
      <c r="BS764" s="644">
        <f t="shared" si="26"/>
        <v>0</v>
      </c>
      <c r="BT764" s="645"/>
      <c r="BU764" s="645"/>
      <c r="BV764" s="645"/>
      <c r="BW764" s="645"/>
      <c r="BX764" s="645"/>
      <c r="BY764" s="645"/>
      <c r="BZ764" s="645"/>
      <c r="CA764" s="645"/>
      <c r="CB764" s="645"/>
      <c r="CC764" s="645"/>
      <c r="CD764" s="645"/>
      <c r="CE764" s="645"/>
      <c r="CF764" s="645"/>
      <c r="CG764" s="645"/>
      <c r="CH764" s="646"/>
      <c r="CI764" s="636"/>
      <c r="CJ764" s="654"/>
      <c r="CK764" s="654"/>
      <c r="CL764" s="654"/>
      <c r="CM764" s="654"/>
      <c r="CN764" s="654"/>
      <c r="CO764" s="654"/>
      <c r="CP764" s="654"/>
      <c r="CQ764" s="654"/>
      <c r="CR764" s="654"/>
      <c r="CS764" s="654"/>
      <c r="CT764" s="654"/>
      <c r="CU764" s="654"/>
      <c r="CV764" s="654"/>
      <c r="CW764" s="654"/>
      <c r="CX764" s="654"/>
      <c r="CY764" s="654"/>
      <c r="CZ764" s="655"/>
      <c r="DA764" s="214"/>
    </row>
    <row r="765" spans="1:105" s="16" customFormat="1" ht="15" hidden="1" customHeight="1" x14ac:dyDescent="0.3">
      <c r="A765" s="630"/>
      <c r="B765" s="631"/>
      <c r="C765" s="631"/>
      <c r="D765" s="631"/>
      <c r="E765" s="631"/>
      <c r="F765" s="631"/>
      <c r="G765" s="632"/>
      <c r="H765" s="651"/>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52"/>
      <c r="AL765" s="652"/>
      <c r="AM765" s="652"/>
      <c r="AN765" s="652"/>
      <c r="AO765" s="652"/>
      <c r="AP765" s="652"/>
      <c r="AQ765" s="652"/>
      <c r="AR765" s="652"/>
      <c r="AS765" s="652"/>
      <c r="AT765" s="653"/>
      <c r="AU765" s="475"/>
      <c r="AV765" s="476"/>
      <c r="AW765" s="476"/>
      <c r="AX765" s="476"/>
      <c r="AY765" s="476"/>
      <c r="AZ765" s="476"/>
      <c r="BA765" s="476"/>
      <c r="BB765" s="477"/>
      <c r="BC765" s="544"/>
      <c r="BD765" s="545"/>
      <c r="BE765" s="545"/>
      <c r="BF765" s="545"/>
      <c r="BG765" s="545"/>
      <c r="BH765" s="545"/>
      <c r="BI765" s="545"/>
      <c r="BJ765" s="545"/>
      <c r="BK765" s="545"/>
      <c r="BL765" s="545"/>
      <c r="BM765" s="545"/>
      <c r="BN765" s="545"/>
      <c r="BO765" s="545"/>
      <c r="BP765" s="545"/>
      <c r="BQ765" s="545"/>
      <c r="BR765" s="546"/>
      <c r="BS765" s="644"/>
      <c r="BT765" s="645"/>
      <c r="BU765" s="645"/>
      <c r="BV765" s="645"/>
      <c r="BW765" s="645"/>
      <c r="BX765" s="645"/>
      <c r="BY765" s="645"/>
      <c r="BZ765" s="645"/>
      <c r="CA765" s="645"/>
      <c r="CB765" s="645"/>
      <c r="CC765" s="645"/>
      <c r="CD765" s="645"/>
      <c r="CE765" s="645"/>
      <c r="CF765" s="645"/>
      <c r="CG765" s="645"/>
      <c r="CH765" s="646"/>
      <c r="CI765" s="627"/>
      <c r="CJ765" s="628"/>
      <c r="CK765" s="628"/>
      <c r="CL765" s="628"/>
      <c r="CM765" s="628"/>
      <c r="CN765" s="628"/>
      <c r="CO765" s="628"/>
      <c r="CP765" s="628"/>
      <c r="CQ765" s="628"/>
      <c r="CR765" s="628"/>
      <c r="CS765" s="628"/>
      <c r="CT765" s="628"/>
      <c r="CU765" s="628"/>
      <c r="CV765" s="628"/>
      <c r="CW765" s="628"/>
      <c r="CX765" s="628"/>
      <c r="CY765" s="628"/>
      <c r="CZ765" s="629"/>
      <c r="DA765" s="214"/>
    </row>
    <row r="766" spans="1:105" s="16" customFormat="1" ht="15" customHeight="1" x14ac:dyDescent="0.3">
      <c r="A766" s="630"/>
      <c r="B766" s="631"/>
      <c r="C766" s="631"/>
      <c r="D766" s="631"/>
      <c r="E766" s="631"/>
      <c r="F766" s="631"/>
      <c r="G766" s="632"/>
      <c r="H766" s="651" t="s">
        <v>728</v>
      </c>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c r="AI766" s="652"/>
      <c r="AJ766" s="652"/>
      <c r="AK766" s="652"/>
      <c r="AL766" s="652"/>
      <c r="AM766" s="652"/>
      <c r="AN766" s="652"/>
      <c r="AO766" s="652"/>
      <c r="AP766" s="652"/>
      <c r="AQ766" s="652"/>
      <c r="AR766" s="652"/>
      <c r="AS766" s="652"/>
      <c r="AT766" s="653"/>
      <c r="AU766" s="541" t="s">
        <v>690</v>
      </c>
      <c r="AV766" s="542"/>
      <c r="AW766" s="542"/>
      <c r="AX766" s="542"/>
      <c r="AY766" s="542"/>
      <c r="AZ766" s="542"/>
      <c r="BA766" s="542"/>
      <c r="BB766" s="543"/>
      <c r="BC766" s="647">
        <f>5+15+30+464+18+9+5+90+100+25+10+4+4+2+15+45</f>
        <v>841</v>
      </c>
      <c r="BD766" s="637"/>
      <c r="BE766" s="637"/>
      <c r="BF766" s="637"/>
      <c r="BG766" s="637"/>
      <c r="BH766" s="637"/>
      <c r="BI766" s="637"/>
      <c r="BJ766" s="637"/>
      <c r="BK766" s="637"/>
      <c r="BL766" s="637"/>
      <c r="BM766" s="637"/>
      <c r="BN766" s="637"/>
      <c r="BO766" s="637"/>
      <c r="BP766" s="637"/>
      <c r="BQ766" s="637"/>
      <c r="BR766" s="638"/>
      <c r="BS766" s="644">
        <f t="shared" si="26"/>
        <v>224.5210701545779</v>
      </c>
      <c r="BT766" s="645"/>
      <c r="BU766" s="645"/>
      <c r="BV766" s="645"/>
      <c r="BW766" s="645"/>
      <c r="BX766" s="645"/>
      <c r="BY766" s="645"/>
      <c r="BZ766" s="645"/>
      <c r="CA766" s="645"/>
      <c r="CB766" s="645"/>
      <c r="CC766" s="645"/>
      <c r="CD766" s="645"/>
      <c r="CE766" s="645"/>
      <c r="CF766" s="645"/>
      <c r="CG766" s="645"/>
      <c r="CH766" s="646"/>
      <c r="CI766" s="682">
        <f>169350+2996.21+16476.01</f>
        <v>188822.22</v>
      </c>
      <c r="CJ766" s="683"/>
      <c r="CK766" s="683"/>
      <c r="CL766" s="683"/>
      <c r="CM766" s="683"/>
      <c r="CN766" s="683"/>
      <c r="CO766" s="683"/>
      <c r="CP766" s="683"/>
      <c r="CQ766" s="683"/>
      <c r="CR766" s="683"/>
      <c r="CS766" s="683"/>
      <c r="CT766" s="683"/>
      <c r="CU766" s="683"/>
      <c r="CV766" s="683"/>
      <c r="CW766" s="683"/>
      <c r="CX766" s="683"/>
      <c r="CY766" s="683"/>
      <c r="CZ766" s="684"/>
      <c r="DA766" s="214"/>
    </row>
    <row r="767" spans="1:105" s="16" customFormat="1" ht="15" customHeight="1" x14ac:dyDescent="0.3">
      <c r="A767" s="630"/>
      <c r="B767" s="631"/>
      <c r="C767" s="631"/>
      <c r="D767" s="631"/>
      <c r="E767" s="631"/>
      <c r="F767" s="631"/>
      <c r="G767" s="632"/>
      <c r="H767" s="584"/>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5"/>
      <c r="AL767" s="585"/>
      <c r="AM767" s="585"/>
      <c r="AN767" s="585"/>
      <c r="AO767" s="585"/>
      <c r="AP767" s="585"/>
      <c r="AQ767" s="585"/>
      <c r="AR767" s="585"/>
      <c r="AS767" s="585"/>
      <c r="AT767" s="586"/>
      <c r="AU767" s="475"/>
      <c r="AV767" s="476"/>
      <c r="AW767" s="476"/>
      <c r="AX767" s="476"/>
      <c r="AY767" s="476"/>
      <c r="AZ767" s="476"/>
      <c r="BA767" s="476"/>
      <c r="BB767" s="477"/>
      <c r="BC767" s="544"/>
      <c r="BD767" s="545"/>
      <c r="BE767" s="545"/>
      <c r="BF767" s="545"/>
      <c r="BG767" s="545"/>
      <c r="BH767" s="545"/>
      <c r="BI767" s="545"/>
      <c r="BJ767" s="545"/>
      <c r="BK767" s="545"/>
      <c r="BL767" s="545"/>
      <c r="BM767" s="545"/>
      <c r="BN767" s="545"/>
      <c r="BO767" s="545"/>
      <c r="BP767" s="545"/>
      <c r="BQ767" s="545"/>
      <c r="BR767" s="546"/>
      <c r="BS767" s="644"/>
      <c r="BT767" s="645"/>
      <c r="BU767" s="645"/>
      <c r="BV767" s="645"/>
      <c r="BW767" s="645"/>
      <c r="BX767" s="645"/>
      <c r="BY767" s="645"/>
      <c r="BZ767" s="645"/>
      <c r="CA767" s="645"/>
      <c r="CB767" s="645"/>
      <c r="CC767" s="645"/>
      <c r="CD767" s="645"/>
      <c r="CE767" s="645"/>
      <c r="CF767" s="645"/>
      <c r="CG767" s="645"/>
      <c r="CH767" s="646"/>
      <c r="CI767" s="627"/>
      <c r="CJ767" s="628"/>
      <c r="CK767" s="628"/>
      <c r="CL767" s="628"/>
      <c r="CM767" s="628"/>
      <c r="CN767" s="628"/>
      <c r="CO767" s="628"/>
      <c r="CP767" s="628"/>
      <c r="CQ767" s="628"/>
      <c r="CR767" s="628"/>
      <c r="CS767" s="628"/>
      <c r="CT767" s="628"/>
      <c r="CU767" s="628"/>
      <c r="CV767" s="628"/>
      <c r="CW767" s="628"/>
      <c r="CX767" s="628"/>
      <c r="CY767" s="628"/>
      <c r="CZ767" s="629"/>
      <c r="DA767" s="214"/>
    </row>
    <row r="768" spans="1:105" s="16" customFormat="1" ht="15" customHeight="1" x14ac:dyDescent="0.3">
      <c r="A768" s="642" t="s">
        <v>292</v>
      </c>
      <c r="B768" s="642"/>
      <c r="C768" s="642"/>
      <c r="D768" s="642"/>
      <c r="E768" s="642"/>
      <c r="F768" s="642"/>
      <c r="G768" s="642"/>
      <c r="H768" s="642"/>
      <c r="I768" s="642"/>
      <c r="J768" s="642"/>
      <c r="K768" s="642"/>
      <c r="L768" s="642"/>
      <c r="M768" s="642"/>
      <c r="N768" s="642"/>
      <c r="O768" s="642"/>
      <c r="P768" s="642"/>
      <c r="Q768" s="642"/>
      <c r="R768" s="642"/>
      <c r="S768" s="642"/>
      <c r="T768" s="642"/>
      <c r="U768" s="642"/>
      <c r="V768" s="642"/>
      <c r="W768" s="642"/>
      <c r="X768" s="642"/>
      <c r="Y768" s="642"/>
      <c r="Z768" s="642"/>
      <c r="AA768" s="642"/>
      <c r="AB768" s="642"/>
      <c r="AC768" s="642"/>
      <c r="AD768" s="642"/>
      <c r="AE768" s="642"/>
      <c r="AF768" s="642"/>
      <c r="AG768" s="642"/>
      <c r="AH768" s="642"/>
      <c r="AI768" s="642"/>
      <c r="AJ768" s="642"/>
      <c r="AK768" s="642"/>
      <c r="AL768" s="642"/>
      <c r="AM768" s="642"/>
      <c r="AN768" s="642"/>
      <c r="AO768" s="642"/>
      <c r="AP768" s="642"/>
      <c r="AQ768" s="642"/>
      <c r="AR768" s="642"/>
      <c r="AS768" s="642"/>
      <c r="AT768" s="642"/>
      <c r="AU768" s="642"/>
      <c r="AV768" s="642"/>
      <c r="AW768" s="642"/>
      <c r="AX768" s="642"/>
      <c r="AY768" s="642"/>
      <c r="AZ768" s="642"/>
      <c r="BA768" s="642"/>
      <c r="BB768" s="642"/>
      <c r="BC768" s="582" t="s">
        <v>4</v>
      </c>
      <c r="BD768" s="582"/>
      <c r="BE768" s="582"/>
      <c r="BF768" s="582"/>
      <c r="BG768" s="582"/>
      <c r="BH768" s="582"/>
      <c r="BI768" s="582"/>
      <c r="BJ768" s="582"/>
      <c r="BK768" s="582"/>
      <c r="BL768" s="582"/>
      <c r="BM768" s="582"/>
      <c r="BN768" s="582"/>
      <c r="BO768" s="582"/>
      <c r="BP768" s="582"/>
      <c r="BQ768" s="582"/>
      <c r="BR768" s="582"/>
      <c r="BS768" s="582" t="s">
        <v>4</v>
      </c>
      <c r="BT768" s="582"/>
      <c r="BU768" s="582"/>
      <c r="BV768" s="582"/>
      <c r="BW768" s="582"/>
      <c r="BX768" s="582"/>
      <c r="BY768" s="582"/>
      <c r="BZ768" s="582"/>
      <c r="CA768" s="582"/>
      <c r="CB768" s="582"/>
      <c r="CC768" s="582"/>
      <c r="CD768" s="582"/>
      <c r="CE768" s="582"/>
      <c r="CF768" s="582"/>
      <c r="CG768" s="582"/>
      <c r="CH768" s="582"/>
      <c r="CI768" s="611">
        <f>CI691+CI693+CI712+CI714+CI728+CI743+CI746+CI748+CI750+CI752+CI754+CI756+CI758+CI760+CI762+CI764+CI766</f>
        <v>1728699.97</v>
      </c>
      <c r="CJ768" s="560"/>
      <c r="CK768" s="560"/>
      <c r="CL768" s="560"/>
      <c r="CM768" s="560"/>
      <c r="CN768" s="560"/>
      <c r="CO768" s="560"/>
      <c r="CP768" s="560"/>
      <c r="CQ768" s="560"/>
      <c r="CR768" s="560"/>
      <c r="CS768" s="560"/>
      <c r="CT768" s="560"/>
      <c r="CU768" s="560"/>
      <c r="CV768" s="560"/>
      <c r="CW768" s="560"/>
      <c r="CX768" s="560"/>
      <c r="CY768" s="560"/>
      <c r="CZ768" s="560"/>
      <c r="DA768" s="214"/>
    </row>
    <row r="769" spans="1:105" s="16" customFormat="1" ht="15" customHeight="1" x14ac:dyDescent="0.3">
      <c r="A769" s="643" t="s">
        <v>634</v>
      </c>
      <c r="B769" s="643"/>
      <c r="C769" s="643"/>
      <c r="D769" s="643"/>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c r="AA769" s="643"/>
      <c r="AB769" s="643"/>
      <c r="AC769" s="643"/>
      <c r="AD769" s="643"/>
      <c r="AE769" s="643"/>
      <c r="AF769" s="643"/>
      <c r="AG769" s="643"/>
      <c r="AH769" s="643"/>
      <c r="AI769" s="643"/>
      <c r="AJ769" s="643"/>
      <c r="AK769" s="643"/>
      <c r="AL769" s="643"/>
      <c r="AM769" s="643"/>
      <c r="AN769" s="643"/>
      <c r="AO769" s="643"/>
      <c r="AP769" s="643"/>
      <c r="AQ769" s="643"/>
      <c r="AR769" s="643"/>
      <c r="AS769" s="643"/>
      <c r="AT769" s="643"/>
      <c r="AU769" s="643"/>
      <c r="AV769" s="643"/>
      <c r="AW769" s="643"/>
      <c r="AX769" s="643"/>
      <c r="AY769" s="643"/>
      <c r="AZ769" s="643"/>
      <c r="BA769" s="643"/>
      <c r="BB769" s="643"/>
      <c r="BC769" s="643"/>
      <c r="BD769" s="643"/>
      <c r="BE769" s="643"/>
      <c r="BF769" s="643"/>
      <c r="BG769" s="643"/>
      <c r="BH769" s="643"/>
      <c r="BI769" s="643"/>
      <c r="BJ769" s="643"/>
      <c r="BK769" s="643"/>
      <c r="BL769" s="643"/>
      <c r="BM769" s="643"/>
      <c r="BN769" s="643"/>
      <c r="BO769" s="643"/>
      <c r="BP769" s="643"/>
      <c r="BQ769" s="643"/>
      <c r="BR769" s="643"/>
      <c r="BS769" s="643"/>
      <c r="BT769" s="643"/>
      <c r="BU769" s="643"/>
      <c r="BV769" s="643"/>
      <c r="BW769" s="643"/>
      <c r="BX769" s="643"/>
      <c r="BY769" s="643"/>
      <c r="BZ769" s="643"/>
      <c r="CA769" s="643"/>
      <c r="CB769" s="643"/>
      <c r="CC769" s="643"/>
      <c r="CD769" s="643"/>
      <c r="CE769" s="643"/>
      <c r="CF769" s="643"/>
      <c r="CG769" s="643"/>
      <c r="CH769" s="643"/>
      <c r="CI769" s="643"/>
      <c r="CJ769" s="643"/>
      <c r="CK769" s="643"/>
      <c r="CL769" s="643"/>
      <c r="CM769" s="643"/>
      <c r="CN769" s="643"/>
      <c r="CO769" s="643"/>
      <c r="CP769" s="643"/>
      <c r="CQ769" s="643"/>
      <c r="CR769" s="643"/>
      <c r="CS769" s="643"/>
      <c r="CT769" s="643"/>
      <c r="CU769" s="643"/>
      <c r="CV769" s="643"/>
      <c r="CW769" s="643"/>
      <c r="CX769" s="643"/>
      <c r="CY769" s="643"/>
      <c r="CZ769" s="643"/>
      <c r="DA769" s="214"/>
    </row>
    <row r="770" spans="1:105" s="16" customFormat="1" ht="16.2" customHeight="1" x14ac:dyDescent="0.3">
      <c r="A770" s="630"/>
      <c r="B770" s="631"/>
      <c r="C770" s="631"/>
      <c r="D770" s="631"/>
      <c r="E770" s="631"/>
      <c r="F770" s="631"/>
      <c r="G770" s="632"/>
      <c r="H770" s="651"/>
      <c r="I770" s="652"/>
      <c r="J770" s="652"/>
      <c r="K770" s="652"/>
      <c r="L770" s="652"/>
      <c r="M770" s="652"/>
      <c r="N770" s="652"/>
      <c r="O770" s="652"/>
      <c r="P770" s="652"/>
      <c r="Q770" s="652"/>
      <c r="R770" s="652"/>
      <c r="S770" s="652"/>
      <c r="T770" s="652"/>
      <c r="U770" s="652"/>
      <c r="V770" s="652"/>
      <c r="W770" s="652"/>
      <c r="X770" s="652"/>
      <c r="Y770" s="652"/>
      <c r="Z770" s="652"/>
      <c r="AA770" s="652"/>
      <c r="AB770" s="652"/>
      <c r="AC770" s="652"/>
      <c r="AD770" s="652"/>
      <c r="AE770" s="652"/>
      <c r="AF770" s="652"/>
      <c r="AG770" s="652"/>
      <c r="AH770" s="652"/>
      <c r="AI770" s="652"/>
      <c r="AJ770" s="652"/>
      <c r="AK770" s="652"/>
      <c r="AL770" s="652"/>
      <c r="AM770" s="652"/>
      <c r="AN770" s="652"/>
      <c r="AO770" s="652"/>
      <c r="AP770" s="652"/>
      <c r="AQ770" s="652"/>
      <c r="AR770" s="652"/>
      <c r="AS770" s="652"/>
      <c r="AT770" s="653"/>
      <c r="AU770" s="475"/>
      <c r="AV770" s="476"/>
      <c r="AW770" s="476"/>
      <c r="AX770" s="476"/>
      <c r="AY770" s="476"/>
      <c r="AZ770" s="476"/>
      <c r="BA770" s="476"/>
      <c r="BB770" s="477"/>
      <c r="BC770" s="544"/>
      <c r="BD770" s="545"/>
      <c r="BE770" s="545"/>
      <c r="BF770" s="545"/>
      <c r="BG770" s="545"/>
      <c r="BH770" s="545"/>
      <c r="BI770" s="545"/>
      <c r="BJ770" s="545"/>
      <c r="BK770" s="545"/>
      <c r="BL770" s="545"/>
      <c r="BM770" s="545"/>
      <c r="BN770" s="545"/>
      <c r="BO770" s="545"/>
      <c r="BP770" s="545"/>
      <c r="BQ770" s="545"/>
      <c r="BR770" s="546"/>
      <c r="BS770" s="639"/>
      <c r="BT770" s="640"/>
      <c r="BU770" s="640"/>
      <c r="BV770" s="640"/>
      <c r="BW770" s="640"/>
      <c r="BX770" s="640"/>
      <c r="BY770" s="640"/>
      <c r="BZ770" s="640"/>
      <c r="CA770" s="640"/>
      <c r="CB770" s="640"/>
      <c r="CC770" s="640"/>
      <c r="CD770" s="640"/>
      <c r="CE770" s="640"/>
      <c r="CF770" s="640"/>
      <c r="CG770" s="640"/>
      <c r="CH770" s="641"/>
      <c r="CI770" s="627"/>
      <c r="CJ770" s="628"/>
      <c r="CK770" s="628"/>
      <c r="CL770" s="628"/>
      <c r="CM770" s="628"/>
      <c r="CN770" s="628"/>
      <c r="CO770" s="628"/>
      <c r="CP770" s="628"/>
      <c r="CQ770" s="628"/>
      <c r="CR770" s="628"/>
      <c r="CS770" s="628"/>
      <c r="CT770" s="628"/>
      <c r="CU770" s="628"/>
      <c r="CV770" s="628"/>
      <c r="CW770" s="628"/>
      <c r="CX770" s="628"/>
      <c r="CY770" s="628"/>
      <c r="CZ770" s="629"/>
      <c r="DA770" s="214"/>
    </row>
    <row r="771" spans="1:105" s="16" customFormat="1" ht="15" customHeight="1" x14ac:dyDescent="0.3">
      <c r="A771" s="630"/>
      <c r="B771" s="631"/>
      <c r="C771" s="631"/>
      <c r="D771" s="631"/>
      <c r="E771" s="631"/>
      <c r="F771" s="631"/>
      <c r="G771" s="632"/>
      <c r="H771" s="651" t="s">
        <v>689</v>
      </c>
      <c r="I771" s="652"/>
      <c r="J771" s="652"/>
      <c r="K771" s="652"/>
      <c r="L771" s="652"/>
      <c r="M771" s="652"/>
      <c r="N771" s="652"/>
      <c r="O771" s="652"/>
      <c r="P771" s="652"/>
      <c r="Q771" s="652"/>
      <c r="R771" s="652"/>
      <c r="S771" s="652"/>
      <c r="T771" s="652"/>
      <c r="U771" s="652"/>
      <c r="V771" s="652"/>
      <c r="W771" s="652"/>
      <c r="X771" s="652"/>
      <c r="Y771" s="652"/>
      <c r="Z771" s="652"/>
      <c r="AA771" s="652"/>
      <c r="AB771" s="652"/>
      <c r="AC771" s="652"/>
      <c r="AD771" s="652"/>
      <c r="AE771" s="652"/>
      <c r="AF771" s="652"/>
      <c r="AG771" s="652"/>
      <c r="AH771" s="652"/>
      <c r="AI771" s="652"/>
      <c r="AJ771" s="652"/>
      <c r="AK771" s="652"/>
      <c r="AL771" s="652"/>
      <c r="AM771" s="652"/>
      <c r="AN771" s="652"/>
      <c r="AO771" s="652"/>
      <c r="AP771" s="652"/>
      <c r="AQ771" s="652"/>
      <c r="AR771" s="652"/>
      <c r="AS771" s="652"/>
      <c r="AT771" s="653"/>
      <c r="AU771" s="541"/>
      <c r="AV771" s="542"/>
      <c r="AW771" s="542"/>
      <c r="AX771" s="542"/>
      <c r="AY771" s="542"/>
      <c r="AZ771" s="542"/>
      <c r="BA771" s="542"/>
      <c r="BB771" s="543"/>
      <c r="BC771" s="647">
        <v>1000</v>
      </c>
      <c r="BD771" s="637"/>
      <c r="BE771" s="637"/>
      <c r="BF771" s="637"/>
      <c r="BG771" s="637"/>
      <c r="BH771" s="637"/>
      <c r="BI771" s="637"/>
      <c r="BJ771" s="637"/>
      <c r="BK771" s="637"/>
      <c r="BL771" s="637"/>
      <c r="BM771" s="637"/>
      <c r="BN771" s="637"/>
      <c r="BO771" s="637"/>
      <c r="BP771" s="637"/>
      <c r="BQ771" s="637"/>
      <c r="BR771" s="638"/>
      <c r="BS771" s="644">
        <f>CI771/BC771</f>
        <v>45</v>
      </c>
      <c r="BT771" s="645"/>
      <c r="BU771" s="645"/>
      <c r="BV771" s="645"/>
      <c r="BW771" s="645"/>
      <c r="BX771" s="645"/>
      <c r="BY771" s="645"/>
      <c r="BZ771" s="645"/>
      <c r="CA771" s="645"/>
      <c r="CB771" s="645"/>
      <c r="CC771" s="645"/>
      <c r="CD771" s="645"/>
      <c r="CE771" s="645"/>
      <c r="CF771" s="645"/>
      <c r="CG771" s="645"/>
      <c r="CH771" s="646"/>
      <c r="CI771" s="636">
        <f>20000+20000+5000</f>
        <v>45000</v>
      </c>
      <c r="CJ771" s="654"/>
      <c r="CK771" s="654"/>
      <c r="CL771" s="654"/>
      <c r="CM771" s="654"/>
      <c r="CN771" s="654"/>
      <c r="CO771" s="654"/>
      <c r="CP771" s="654"/>
      <c r="CQ771" s="654"/>
      <c r="CR771" s="654"/>
      <c r="CS771" s="654"/>
      <c r="CT771" s="654"/>
      <c r="CU771" s="654"/>
      <c r="CV771" s="654"/>
      <c r="CW771" s="654"/>
      <c r="CX771" s="654"/>
      <c r="CY771" s="654"/>
      <c r="CZ771" s="655"/>
      <c r="DA771" s="214"/>
    </row>
    <row r="772" spans="1:105" s="16" customFormat="1" ht="15" hidden="1" customHeight="1" x14ac:dyDescent="0.3">
      <c r="A772" s="630" t="s">
        <v>441</v>
      </c>
      <c r="B772" s="631"/>
      <c r="C772" s="631"/>
      <c r="D772" s="631"/>
      <c r="E772" s="631"/>
      <c r="F772" s="631"/>
      <c r="G772" s="632"/>
      <c r="H772" s="584" t="s">
        <v>729</v>
      </c>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5"/>
      <c r="AL772" s="585"/>
      <c r="AM772" s="585"/>
      <c r="AN772" s="585"/>
      <c r="AO772" s="585"/>
      <c r="AP772" s="585"/>
      <c r="AQ772" s="585"/>
      <c r="AR772" s="585"/>
      <c r="AS772" s="585"/>
      <c r="AT772" s="586"/>
      <c r="AU772" s="475" t="s">
        <v>730</v>
      </c>
      <c r="AV772" s="476"/>
      <c r="AW772" s="476"/>
      <c r="AX772" s="476"/>
      <c r="AY772" s="476"/>
      <c r="AZ772" s="476"/>
      <c r="BA772" s="476"/>
      <c r="BB772" s="477"/>
      <c r="BC772" s="544">
        <v>15</v>
      </c>
      <c r="BD772" s="545"/>
      <c r="BE772" s="545"/>
      <c r="BF772" s="545"/>
      <c r="BG772" s="545"/>
      <c r="BH772" s="545"/>
      <c r="BI772" s="545"/>
      <c r="BJ772" s="545"/>
      <c r="BK772" s="545"/>
      <c r="BL772" s="545"/>
      <c r="BM772" s="545"/>
      <c r="BN772" s="545"/>
      <c r="BO772" s="545"/>
      <c r="BP772" s="545"/>
      <c r="BQ772" s="545"/>
      <c r="BR772" s="546"/>
      <c r="BS772" s="639">
        <v>33.619999999999997</v>
      </c>
      <c r="BT772" s="640"/>
      <c r="BU772" s="640"/>
      <c r="BV772" s="640"/>
      <c r="BW772" s="640"/>
      <c r="BX772" s="640"/>
      <c r="BY772" s="640"/>
      <c r="BZ772" s="640"/>
      <c r="CA772" s="640"/>
      <c r="CB772" s="640"/>
      <c r="CC772" s="640"/>
      <c r="CD772" s="640"/>
      <c r="CE772" s="640"/>
      <c r="CF772" s="640"/>
      <c r="CG772" s="640"/>
      <c r="CH772" s="641"/>
      <c r="CI772" s="627">
        <f>BC772*BS772+62.67</f>
        <v>566.96999999999991</v>
      </c>
      <c r="CJ772" s="628"/>
      <c r="CK772" s="628"/>
      <c r="CL772" s="628"/>
      <c r="CM772" s="628"/>
      <c r="CN772" s="628"/>
      <c r="CO772" s="628"/>
      <c r="CP772" s="628"/>
      <c r="CQ772" s="628"/>
      <c r="CR772" s="628"/>
      <c r="CS772" s="628"/>
      <c r="CT772" s="628"/>
      <c r="CU772" s="628"/>
      <c r="CV772" s="628"/>
      <c r="CW772" s="628"/>
      <c r="CX772" s="628"/>
      <c r="CY772" s="628"/>
      <c r="CZ772" s="629"/>
      <c r="DA772" s="214"/>
    </row>
    <row r="773" spans="1:105" s="16" customFormat="1" ht="15" hidden="1" customHeight="1" x14ac:dyDescent="0.3">
      <c r="A773" s="630" t="s">
        <v>444</v>
      </c>
      <c r="B773" s="631"/>
      <c r="C773" s="631"/>
      <c r="D773" s="631"/>
      <c r="E773" s="631"/>
      <c r="F773" s="631"/>
      <c r="G773" s="632"/>
      <c r="H773" s="584" t="s">
        <v>731</v>
      </c>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5"/>
      <c r="AL773" s="585"/>
      <c r="AM773" s="585"/>
      <c r="AN773" s="585"/>
      <c r="AO773" s="585"/>
      <c r="AP773" s="585"/>
      <c r="AQ773" s="585"/>
      <c r="AR773" s="585"/>
      <c r="AS773" s="585"/>
      <c r="AT773" s="586"/>
      <c r="AU773" s="475" t="s">
        <v>730</v>
      </c>
      <c r="AV773" s="476"/>
      <c r="AW773" s="476"/>
      <c r="AX773" s="476"/>
      <c r="AY773" s="476"/>
      <c r="AZ773" s="476"/>
      <c r="BA773" s="476"/>
      <c r="BB773" s="477"/>
      <c r="BC773" s="544">
        <v>5</v>
      </c>
      <c r="BD773" s="545"/>
      <c r="BE773" s="545"/>
      <c r="BF773" s="545"/>
      <c r="BG773" s="545"/>
      <c r="BH773" s="545"/>
      <c r="BI773" s="545"/>
      <c r="BJ773" s="545"/>
      <c r="BK773" s="545"/>
      <c r="BL773" s="545"/>
      <c r="BM773" s="545"/>
      <c r="BN773" s="545"/>
      <c r="BO773" s="545"/>
      <c r="BP773" s="545"/>
      <c r="BQ773" s="545"/>
      <c r="BR773" s="546"/>
      <c r="BS773" s="639">
        <v>6.35</v>
      </c>
      <c r="BT773" s="640"/>
      <c r="BU773" s="640"/>
      <c r="BV773" s="640"/>
      <c r="BW773" s="640"/>
      <c r="BX773" s="640"/>
      <c r="BY773" s="640"/>
      <c r="BZ773" s="640"/>
      <c r="CA773" s="640"/>
      <c r="CB773" s="640"/>
      <c r="CC773" s="640"/>
      <c r="CD773" s="640"/>
      <c r="CE773" s="640"/>
      <c r="CF773" s="640"/>
      <c r="CG773" s="640"/>
      <c r="CH773" s="641"/>
      <c r="CI773" s="627">
        <f t="shared" ref="CI773:CI817" si="27">BC773*BS773</f>
        <v>31.75</v>
      </c>
      <c r="CJ773" s="628"/>
      <c r="CK773" s="628"/>
      <c r="CL773" s="628"/>
      <c r="CM773" s="628"/>
      <c r="CN773" s="628"/>
      <c r="CO773" s="628"/>
      <c r="CP773" s="628"/>
      <c r="CQ773" s="628"/>
      <c r="CR773" s="628"/>
      <c r="CS773" s="628"/>
      <c r="CT773" s="628"/>
      <c r="CU773" s="628"/>
      <c r="CV773" s="628"/>
      <c r="CW773" s="628"/>
      <c r="CX773" s="628"/>
      <c r="CY773" s="628"/>
      <c r="CZ773" s="629"/>
      <c r="DA773" s="214"/>
    </row>
    <row r="774" spans="1:105" s="16" customFormat="1" ht="15" hidden="1" customHeight="1" x14ac:dyDescent="0.3">
      <c r="A774" s="630" t="s">
        <v>446</v>
      </c>
      <c r="B774" s="631"/>
      <c r="C774" s="631"/>
      <c r="D774" s="631"/>
      <c r="E774" s="631"/>
      <c r="F774" s="631"/>
      <c r="G774" s="632"/>
      <c r="H774" s="584" t="s">
        <v>732</v>
      </c>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5"/>
      <c r="AL774" s="585"/>
      <c r="AM774" s="585"/>
      <c r="AN774" s="585"/>
      <c r="AO774" s="585"/>
      <c r="AP774" s="585"/>
      <c r="AQ774" s="585"/>
      <c r="AR774" s="585"/>
      <c r="AS774" s="585"/>
      <c r="AT774" s="586"/>
      <c r="AU774" s="475" t="s">
        <v>690</v>
      </c>
      <c r="AV774" s="476"/>
      <c r="AW774" s="476"/>
      <c r="AX774" s="476"/>
      <c r="AY774" s="476"/>
      <c r="AZ774" s="476"/>
      <c r="BA774" s="476"/>
      <c r="BB774" s="477"/>
      <c r="BC774" s="544">
        <v>40</v>
      </c>
      <c r="BD774" s="545"/>
      <c r="BE774" s="545"/>
      <c r="BF774" s="545"/>
      <c r="BG774" s="545"/>
      <c r="BH774" s="545"/>
      <c r="BI774" s="545"/>
      <c r="BJ774" s="545"/>
      <c r="BK774" s="545"/>
      <c r="BL774" s="545"/>
      <c r="BM774" s="545"/>
      <c r="BN774" s="545"/>
      <c r="BO774" s="545"/>
      <c r="BP774" s="545"/>
      <c r="BQ774" s="545"/>
      <c r="BR774" s="546"/>
      <c r="BS774" s="639">
        <v>6.6550000000000002</v>
      </c>
      <c r="BT774" s="640"/>
      <c r="BU774" s="640"/>
      <c r="BV774" s="640"/>
      <c r="BW774" s="640"/>
      <c r="BX774" s="640"/>
      <c r="BY774" s="640"/>
      <c r="BZ774" s="640"/>
      <c r="CA774" s="640"/>
      <c r="CB774" s="640"/>
      <c r="CC774" s="640"/>
      <c r="CD774" s="640"/>
      <c r="CE774" s="640"/>
      <c r="CF774" s="640"/>
      <c r="CG774" s="640"/>
      <c r="CH774" s="641"/>
      <c r="CI774" s="627">
        <f t="shared" si="27"/>
        <v>266.2</v>
      </c>
      <c r="CJ774" s="628"/>
      <c r="CK774" s="628"/>
      <c r="CL774" s="628"/>
      <c r="CM774" s="628"/>
      <c r="CN774" s="628"/>
      <c r="CO774" s="628"/>
      <c r="CP774" s="628"/>
      <c r="CQ774" s="628"/>
      <c r="CR774" s="628"/>
      <c r="CS774" s="628"/>
      <c r="CT774" s="628"/>
      <c r="CU774" s="628"/>
      <c r="CV774" s="628"/>
      <c r="CW774" s="628"/>
      <c r="CX774" s="628"/>
      <c r="CY774" s="628"/>
      <c r="CZ774" s="629"/>
      <c r="DA774" s="214"/>
    </row>
    <row r="775" spans="1:105" s="16" customFormat="1" ht="15" hidden="1" customHeight="1" x14ac:dyDescent="0.3">
      <c r="A775" s="630" t="s">
        <v>551</v>
      </c>
      <c r="B775" s="631"/>
      <c r="C775" s="631"/>
      <c r="D775" s="631"/>
      <c r="E775" s="631"/>
      <c r="F775" s="631"/>
      <c r="G775" s="632"/>
      <c r="H775" s="584" t="s">
        <v>733</v>
      </c>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5"/>
      <c r="AL775" s="585"/>
      <c r="AM775" s="585"/>
      <c r="AN775" s="585"/>
      <c r="AO775" s="585"/>
      <c r="AP775" s="585"/>
      <c r="AQ775" s="585"/>
      <c r="AR775" s="585"/>
      <c r="AS775" s="585"/>
      <c r="AT775" s="586"/>
      <c r="AU775" s="475" t="s">
        <v>734</v>
      </c>
      <c r="AV775" s="476"/>
      <c r="AW775" s="476"/>
      <c r="AX775" s="476"/>
      <c r="AY775" s="476"/>
      <c r="AZ775" s="476"/>
      <c r="BA775" s="476"/>
      <c r="BB775" s="477"/>
      <c r="BC775" s="544">
        <v>30</v>
      </c>
      <c r="BD775" s="545"/>
      <c r="BE775" s="545"/>
      <c r="BF775" s="545"/>
      <c r="BG775" s="545"/>
      <c r="BH775" s="545"/>
      <c r="BI775" s="545"/>
      <c r="BJ775" s="545"/>
      <c r="BK775" s="545"/>
      <c r="BL775" s="545"/>
      <c r="BM775" s="545"/>
      <c r="BN775" s="545"/>
      <c r="BO775" s="545"/>
      <c r="BP775" s="545"/>
      <c r="BQ775" s="545"/>
      <c r="BR775" s="546"/>
      <c r="BS775" s="639">
        <v>9.6</v>
      </c>
      <c r="BT775" s="640"/>
      <c r="BU775" s="640"/>
      <c r="BV775" s="640"/>
      <c r="BW775" s="640"/>
      <c r="BX775" s="640"/>
      <c r="BY775" s="640"/>
      <c r="BZ775" s="640"/>
      <c r="CA775" s="640"/>
      <c r="CB775" s="640"/>
      <c r="CC775" s="640"/>
      <c r="CD775" s="640"/>
      <c r="CE775" s="640"/>
      <c r="CF775" s="640"/>
      <c r="CG775" s="640"/>
      <c r="CH775" s="641"/>
      <c r="CI775" s="627">
        <f t="shared" si="27"/>
        <v>288</v>
      </c>
      <c r="CJ775" s="628"/>
      <c r="CK775" s="628"/>
      <c r="CL775" s="628"/>
      <c r="CM775" s="628"/>
      <c r="CN775" s="628"/>
      <c r="CO775" s="628"/>
      <c r="CP775" s="628"/>
      <c r="CQ775" s="628"/>
      <c r="CR775" s="628"/>
      <c r="CS775" s="628"/>
      <c r="CT775" s="628"/>
      <c r="CU775" s="628"/>
      <c r="CV775" s="628"/>
      <c r="CW775" s="628"/>
      <c r="CX775" s="628"/>
      <c r="CY775" s="628"/>
      <c r="CZ775" s="629"/>
      <c r="DA775" s="214"/>
    </row>
    <row r="776" spans="1:105" s="16" customFormat="1" ht="15" hidden="1" customHeight="1" x14ac:dyDescent="0.3">
      <c r="A776" s="630" t="s">
        <v>599</v>
      </c>
      <c r="B776" s="631"/>
      <c r="C776" s="631"/>
      <c r="D776" s="631"/>
      <c r="E776" s="631"/>
      <c r="F776" s="631"/>
      <c r="G776" s="632"/>
      <c r="H776" s="584" t="s">
        <v>735</v>
      </c>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5"/>
      <c r="AL776" s="585"/>
      <c r="AM776" s="585"/>
      <c r="AN776" s="585"/>
      <c r="AO776" s="585"/>
      <c r="AP776" s="585"/>
      <c r="AQ776" s="585"/>
      <c r="AR776" s="585"/>
      <c r="AS776" s="585"/>
      <c r="AT776" s="586"/>
      <c r="AU776" s="475" t="s">
        <v>734</v>
      </c>
      <c r="AV776" s="476"/>
      <c r="AW776" s="476"/>
      <c r="AX776" s="476"/>
      <c r="AY776" s="476"/>
      <c r="AZ776" s="476"/>
      <c r="BA776" s="476"/>
      <c r="BB776" s="477"/>
      <c r="BC776" s="544">
        <v>5</v>
      </c>
      <c r="BD776" s="545"/>
      <c r="BE776" s="545"/>
      <c r="BF776" s="545"/>
      <c r="BG776" s="545"/>
      <c r="BH776" s="545"/>
      <c r="BI776" s="545"/>
      <c r="BJ776" s="545"/>
      <c r="BK776" s="545"/>
      <c r="BL776" s="545"/>
      <c r="BM776" s="545"/>
      <c r="BN776" s="545"/>
      <c r="BO776" s="545"/>
      <c r="BP776" s="545"/>
      <c r="BQ776" s="545"/>
      <c r="BR776" s="546"/>
      <c r="BS776" s="639">
        <v>8.65</v>
      </c>
      <c r="BT776" s="640"/>
      <c r="BU776" s="640"/>
      <c r="BV776" s="640"/>
      <c r="BW776" s="640"/>
      <c r="BX776" s="640"/>
      <c r="BY776" s="640"/>
      <c r="BZ776" s="640"/>
      <c r="CA776" s="640"/>
      <c r="CB776" s="640"/>
      <c r="CC776" s="640"/>
      <c r="CD776" s="640"/>
      <c r="CE776" s="640"/>
      <c r="CF776" s="640"/>
      <c r="CG776" s="640"/>
      <c r="CH776" s="641"/>
      <c r="CI776" s="627">
        <f t="shared" si="27"/>
        <v>43.25</v>
      </c>
      <c r="CJ776" s="628"/>
      <c r="CK776" s="628"/>
      <c r="CL776" s="628"/>
      <c r="CM776" s="628"/>
      <c r="CN776" s="628"/>
      <c r="CO776" s="628"/>
      <c r="CP776" s="628"/>
      <c r="CQ776" s="628"/>
      <c r="CR776" s="628"/>
      <c r="CS776" s="628"/>
      <c r="CT776" s="628"/>
      <c r="CU776" s="628"/>
      <c r="CV776" s="628"/>
      <c r="CW776" s="628"/>
      <c r="CX776" s="628"/>
      <c r="CY776" s="628"/>
      <c r="CZ776" s="629"/>
      <c r="DA776" s="214"/>
    </row>
    <row r="777" spans="1:105" s="16" customFormat="1" ht="15" hidden="1" customHeight="1" x14ac:dyDescent="0.3">
      <c r="A777" s="630" t="s">
        <v>642</v>
      </c>
      <c r="B777" s="631"/>
      <c r="C777" s="631"/>
      <c r="D777" s="631"/>
      <c r="E777" s="631"/>
      <c r="F777" s="631"/>
      <c r="G777" s="632"/>
      <c r="H777" s="584" t="s">
        <v>736</v>
      </c>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5"/>
      <c r="AL777" s="585"/>
      <c r="AM777" s="585"/>
      <c r="AN777" s="585"/>
      <c r="AO777" s="585"/>
      <c r="AP777" s="585"/>
      <c r="AQ777" s="585"/>
      <c r="AR777" s="585"/>
      <c r="AS777" s="585"/>
      <c r="AT777" s="586"/>
      <c r="AU777" s="475" t="s">
        <v>730</v>
      </c>
      <c r="AV777" s="476"/>
      <c r="AW777" s="476"/>
      <c r="AX777" s="476"/>
      <c r="AY777" s="476"/>
      <c r="AZ777" s="476"/>
      <c r="BA777" s="476"/>
      <c r="BB777" s="477"/>
      <c r="BC777" s="544">
        <v>5</v>
      </c>
      <c r="BD777" s="545"/>
      <c r="BE777" s="545"/>
      <c r="BF777" s="545"/>
      <c r="BG777" s="545"/>
      <c r="BH777" s="545"/>
      <c r="BI777" s="545"/>
      <c r="BJ777" s="545"/>
      <c r="BK777" s="545"/>
      <c r="BL777" s="545"/>
      <c r="BM777" s="545"/>
      <c r="BN777" s="545"/>
      <c r="BO777" s="545"/>
      <c r="BP777" s="545"/>
      <c r="BQ777" s="545"/>
      <c r="BR777" s="546"/>
      <c r="BS777" s="639">
        <v>23</v>
      </c>
      <c r="BT777" s="640"/>
      <c r="BU777" s="640"/>
      <c r="BV777" s="640"/>
      <c r="BW777" s="640"/>
      <c r="BX777" s="640"/>
      <c r="BY777" s="640"/>
      <c r="BZ777" s="640"/>
      <c r="CA777" s="640"/>
      <c r="CB777" s="640"/>
      <c r="CC777" s="640"/>
      <c r="CD777" s="640"/>
      <c r="CE777" s="640"/>
      <c r="CF777" s="640"/>
      <c r="CG777" s="640"/>
      <c r="CH777" s="641"/>
      <c r="CI777" s="627">
        <f t="shared" si="27"/>
        <v>115</v>
      </c>
      <c r="CJ777" s="628"/>
      <c r="CK777" s="628"/>
      <c r="CL777" s="628"/>
      <c r="CM777" s="628"/>
      <c r="CN777" s="628"/>
      <c r="CO777" s="628"/>
      <c r="CP777" s="628"/>
      <c r="CQ777" s="628"/>
      <c r="CR777" s="628"/>
      <c r="CS777" s="628"/>
      <c r="CT777" s="628"/>
      <c r="CU777" s="628"/>
      <c r="CV777" s="628"/>
      <c r="CW777" s="628"/>
      <c r="CX777" s="628"/>
      <c r="CY777" s="628"/>
      <c r="CZ777" s="629"/>
      <c r="DA777" s="214"/>
    </row>
    <row r="778" spans="1:105" s="16" customFormat="1" ht="15" hidden="1" customHeight="1" x14ac:dyDescent="0.3">
      <c r="A778" s="630" t="s">
        <v>648</v>
      </c>
      <c r="B778" s="631"/>
      <c r="C778" s="631"/>
      <c r="D778" s="631"/>
      <c r="E778" s="631"/>
      <c r="F778" s="631"/>
      <c r="G778" s="632"/>
      <c r="H778" s="584" t="s">
        <v>737</v>
      </c>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5"/>
      <c r="AL778" s="585"/>
      <c r="AM778" s="585"/>
      <c r="AN778" s="585"/>
      <c r="AO778" s="585"/>
      <c r="AP778" s="585"/>
      <c r="AQ778" s="585"/>
      <c r="AR778" s="585"/>
      <c r="AS778" s="585"/>
      <c r="AT778" s="586"/>
      <c r="AU778" s="475" t="s">
        <v>730</v>
      </c>
      <c r="AV778" s="476"/>
      <c r="AW778" s="476"/>
      <c r="AX778" s="476"/>
      <c r="AY778" s="476"/>
      <c r="AZ778" s="476"/>
      <c r="BA778" s="476"/>
      <c r="BB778" s="477"/>
      <c r="BC778" s="544">
        <v>2</v>
      </c>
      <c r="BD778" s="545"/>
      <c r="BE778" s="545"/>
      <c r="BF778" s="545"/>
      <c r="BG778" s="545"/>
      <c r="BH778" s="545"/>
      <c r="BI778" s="545"/>
      <c r="BJ778" s="545"/>
      <c r="BK778" s="545"/>
      <c r="BL778" s="545"/>
      <c r="BM778" s="545"/>
      <c r="BN778" s="545"/>
      <c r="BO778" s="545"/>
      <c r="BP778" s="545"/>
      <c r="BQ778" s="545"/>
      <c r="BR778" s="546"/>
      <c r="BS778" s="639">
        <v>250</v>
      </c>
      <c r="BT778" s="640"/>
      <c r="BU778" s="640"/>
      <c r="BV778" s="640"/>
      <c r="BW778" s="640"/>
      <c r="BX778" s="640"/>
      <c r="BY778" s="640"/>
      <c r="BZ778" s="640"/>
      <c r="CA778" s="640"/>
      <c r="CB778" s="640"/>
      <c r="CC778" s="640"/>
      <c r="CD778" s="640"/>
      <c r="CE778" s="640"/>
      <c r="CF778" s="640"/>
      <c r="CG778" s="640"/>
      <c r="CH778" s="641"/>
      <c r="CI778" s="627">
        <f t="shared" si="27"/>
        <v>500</v>
      </c>
      <c r="CJ778" s="628"/>
      <c r="CK778" s="628"/>
      <c r="CL778" s="628"/>
      <c r="CM778" s="628"/>
      <c r="CN778" s="628"/>
      <c r="CO778" s="628"/>
      <c r="CP778" s="628"/>
      <c r="CQ778" s="628"/>
      <c r="CR778" s="628"/>
      <c r="CS778" s="628"/>
      <c r="CT778" s="628"/>
      <c r="CU778" s="628"/>
      <c r="CV778" s="628"/>
      <c r="CW778" s="628"/>
      <c r="CX778" s="628"/>
      <c r="CY778" s="628"/>
      <c r="CZ778" s="629"/>
      <c r="DA778" s="214"/>
    </row>
    <row r="779" spans="1:105" s="16" customFormat="1" ht="15" hidden="1" customHeight="1" x14ac:dyDescent="0.3">
      <c r="A779" s="630" t="s">
        <v>650</v>
      </c>
      <c r="B779" s="631"/>
      <c r="C779" s="631"/>
      <c r="D779" s="631"/>
      <c r="E779" s="631"/>
      <c r="F779" s="631"/>
      <c r="G779" s="632"/>
      <c r="H779" s="584" t="s">
        <v>738</v>
      </c>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5"/>
      <c r="AL779" s="585"/>
      <c r="AM779" s="585"/>
      <c r="AN779" s="585"/>
      <c r="AO779" s="585"/>
      <c r="AP779" s="585"/>
      <c r="AQ779" s="585"/>
      <c r="AR779" s="585"/>
      <c r="AS779" s="585"/>
      <c r="AT779" s="586"/>
      <c r="AU779" s="475" t="s">
        <v>730</v>
      </c>
      <c r="AV779" s="476"/>
      <c r="AW779" s="476"/>
      <c r="AX779" s="476"/>
      <c r="AY779" s="476"/>
      <c r="AZ779" s="476"/>
      <c r="BA779" s="476"/>
      <c r="BB779" s="477"/>
      <c r="BC779" s="544">
        <v>2</v>
      </c>
      <c r="BD779" s="545"/>
      <c r="BE779" s="545"/>
      <c r="BF779" s="545"/>
      <c r="BG779" s="545"/>
      <c r="BH779" s="545"/>
      <c r="BI779" s="545"/>
      <c r="BJ779" s="545"/>
      <c r="BK779" s="545"/>
      <c r="BL779" s="545"/>
      <c r="BM779" s="545"/>
      <c r="BN779" s="545"/>
      <c r="BO779" s="545"/>
      <c r="BP779" s="545"/>
      <c r="BQ779" s="545"/>
      <c r="BR779" s="546"/>
      <c r="BS779" s="639">
        <v>45.76</v>
      </c>
      <c r="BT779" s="640"/>
      <c r="BU779" s="640"/>
      <c r="BV779" s="640"/>
      <c r="BW779" s="640"/>
      <c r="BX779" s="640"/>
      <c r="BY779" s="640"/>
      <c r="BZ779" s="640"/>
      <c r="CA779" s="640"/>
      <c r="CB779" s="640"/>
      <c r="CC779" s="640"/>
      <c r="CD779" s="640"/>
      <c r="CE779" s="640"/>
      <c r="CF779" s="640"/>
      <c r="CG779" s="640"/>
      <c r="CH779" s="641"/>
      <c r="CI779" s="627">
        <f t="shared" si="27"/>
        <v>91.52</v>
      </c>
      <c r="CJ779" s="628"/>
      <c r="CK779" s="628"/>
      <c r="CL779" s="628"/>
      <c r="CM779" s="628"/>
      <c r="CN779" s="628"/>
      <c r="CO779" s="628"/>
      <c r="CP779" s="628"/>
      <c r="CQ779" s="628"/>
      <c r="CR779" s="628"/>
      <c r="CS779" s="628"/>
      <c r="CT779" s="628"/>
      <c r="CU779" s="628"/>
      <c r="CV779" s="628"/>
      <c r="CW779" s="628"/>
      <c r="CX779" s="628"/>
      <c r="CY779" s="628"/>
      <c r="CZ779" s="629"/>
      <c r="DA779" s="214"/>
    </row>
    <row r="780" spans="1:105" s="16" customFormat="1" ht="15" hidden="1" customHeight="1" x14ac:dyDescent="0.3">
      <c r="A780" s="630" t="s">
        <v>651</v>
      </c>
      <c r="B780" s="631"/>
      <c r="C780" s="631"/>
      <c r="D780" s="631"/>
      <c r="E780" s="631"/>
      <c r="F780" s="631"/>
      <c r="G780" s="632"/>
      <c r="H780" s="584" t="s">
        <v>739</v>
      </c>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5"/>
      <c r="AL780" s="585"/>
      <c r="AM780" s="585"/>
      <c r="AN780" s="585"/>
      <c r="AO780" s="585"/>
      <c r="AP780" s="585"/>
      <c r="AQ780" s="585"/>
      <c r="AR780" s="585"/>
      <c r="AS780" s="585"/>
      <c r="AT780" s="586"/>
      <c r="AU780" s="475" t="s">
        <v>730</v>
      </c>
      <c r="AV780" s="476"/>
      <c r="AW780" s="476"/>
      <c r="AX780" s="476"/>
      <c r="AY780" s="476"/>
      <c r="AZ780" s="476"/>
      <c r="BA780" s="476"/>
      <c r="BB780" s="477"/>
      <c r="BC780" s="544">
        <v>5</v>
      </c>
      <c r="BD780" s="545"/>
      <c r="BE780" s="545"/>
      <c r="BF780" s="545"/>
      <c r="BG780" s="545"/>
      <c r="BH780" s="545"/>
      <c r="BI780" s="545"/>
      <c r="BJ780" s="545"/>
      <c r="BK780" s="545"/>
      <c r="BL780" s="545"/>
      <c r="BM780" s="545"/>
      <c r="BN780" s="545"/>
      <c r="BO780" s="545"/>
      <c r="BP780" s="545"/>
      <c r="BQ780" s="545"/>
      <c r="BR780" s="546"/>
      <c r="BS780" s="639">
        <v>310</v>
      </c>
      <c r="BT780" s="640"/>
      <c r="BU780" s="640"/>
      <c r="BV780" s="640"/>
      <c r="BW780" s="640"/>
      <c r="BX780" s="640"/>
      <c r="BY780" s="640"/>
      <c r="BZ780" s="640"/>
      <c r="CA780" s="640"/>
      <c r="CB780" s="640"/>
      <c r="CC780" s="640"/>
      <c r="CD780" s="640"/>
      <c r="CE780" s="640"/>
      <c r="CF780" s="640"/>
      <c r="CG780" s="640"/>
      <c r="CH780" s="641"/>
      <c r="CI780" s="627">
        <f t="shared" si="27"/>
        <v>1550</v>
      </c>
      <c r="CJ780" s="628"/>
      <c r="CK780" s="628"/>
      <c r="CL780" s="628"/>
      <c r="CM780" s="628"/>
      <c r="CN780" s="628"/>
      <c r="CO780" s="628"/>
      <c r="CP780" s="628"/>
      <c r="CQ780" s="628"/>
      <c r="CR780" s="628"/>
      <c r="CS780" s="628"/>
      <c r="CT780" s="628"/>
      <c r="CU780" s="628"/>
      <c r="CV780" s="628"/>
      <c r="CW780" s="628"/>
      <c r="CX780" s="628"/>
      <c r="CY780" s="628"/>
      <c r="CZ780" s="629"/>
      <c r="DA780" s="214"/>
    </row>
    <row r="781" spans="1:105" s="16" customFormat="1" ht="15" hidden="1" customHeight="1" x14ac:dyDescent="0.3">
      <c r="A781" s="630" t="s">
        <v>653</v>
      </c>
      <c r="B781" s="631"/>
      <c r="C781" s="631"/>
      <c r="D781" s="631"/>
      <c r="E781" s="631"/>
      <c r="F781" s="631"/>
      <c r="G781" s="632"/>
      <c r="H781" s="584" t="s">
        <v>740</v>
      </c>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c r="AN781" s="585"/>
      <c r="AO781" s="585"/>
      <c r="AP781" s="585"/>
      <c r="AQ781" s="585"/>
      <c r="AR781" s="585"/>
      <c r="AS781" s="585"/>
      <c r="AT781" s="586"/>
      <c r="AU781" s="475" t="s">
        <v>730</v>
      </c>
      <c r="AV781" s="476"/>
      <c r="AW781" s="476"/>
      <c r="AX781" s="476"/>
      <c r="AY781" s="476"/>
      <c r="AZ781" s="476"/>
      <c r="BA781" s="476"/>
      <c r="BB781" s="477"/>
      <c r="BC781" s="544">
        <v>1</v>
      </c>
      <c r="BD781" s="545"/>
      <c r="BE781" s="545"/>
      <c r="BF781" s="545"/>
      <c r="BG781" s="545"/>
      <c r="BH781" s="545"/>
      <c r="BI781" s="545"/>
      <c r="BJ781" s="545"/>
      <c r="BK781" s="545"/>
      <c r="BL781" s="545"/>
      <c r="BM781" s="545"/>
      <c r="BN781" s="545"/>
      <c r="BO781" s="545"/>
      <c r="BP781" s="545"/>
      <c r="BQ781" s="545"/>
      <c r="BR781" s="546"/>
      <c r="BS781" s="639">
        <v>27.88</v>
      </c>
      <c r="BT781" s="640"/>
      <c r="BU781" s="640"/>
      <c r="BV781" s="640"/>
      <c r="BW781" s="640"/>
      <c r="BX781" s="640"/>
      <c r="BY781" s="640"/>
      <c r="BZ781" s="640"/>
      <c r="CA781" s="640"/>
      <c r="CB781" s="640"/>
      <c r="CC781" s="640"/>
      <c r="CD781" s="640"/>
      <c r="CE781" s="640"/>
      <c r="CF781" s="640"/>
      <c r="CG781" s="640"/>
      <c r="CH781" s="641"/>
      <c r="CI781" s="627">
        <f t="shared" si="27"/>
        <v>27.88</v>
      </c>
      <c r="CJ781" s="628"/>
      <c r="CK781" s="628"/>
      <c r="CL781" s="628"/>
      <c r="CM781" s="628"/>
      <c r="CN781" s="628"/>
      <c r="CO781" s="628"/>
      <c r="CP781" s="628"/>
      <c r="CQ781" s="628"/>
      <c r="CR781" s="628"/>
      <c r="CS781" s="628"/>
      <c r="CT781" s="628"/>
      <c r="CU781" s="628"/>
      <c r="CV781" s="628"/>
      <c r="CW781" s="628"/>
      <c r="CX781" s="628"/>
      <c r="CY781" s="628"/>
      <c r="CZ781" s="629"/>
      <c r="DA781" s="214"/>
    </row>
    <row r="782" spans="1:105" s="16" customFormat="1" ht="15" hidden="1" customHeight="1" x14ac:dyDescent="0.3">
      <c r="A782" s="630" t="s">
        <v>654</v>
      </c>
      <c r="B782" s="631"/>
      <c r="C782" s="631"/>
      <c r="D782" s="631"/>
      <c r="E782" s="631"/>
      <c r="F782" s="631"/>
      <c r="G782" s="632"/>
      <c r="H782" s="584" t="s">
        <v>741</v>
      </c>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5"/>
      <c r="AL782" s="585"/>
      <c r="AM782" s="585"/>
      <c r="AN782" s="585"/>
      <c r="AO782" s="585"/>
      <c r="AP782" s="585"/>
      <c r="AQ782" s="585"/>
      <c r="AR782" s="585"/>
      <c r="AS782" s="585"/>
      <c r="AT782" s="586"/>
      <c r="AU782" s="475" t="s">
        <v>730</v>
      </c>
      <c r="AV782" s="476"/>
      <c r="AW782" s="476"/>
      <c r="AX782" s="476"/>
      <c r="AY782" s="476"/>
      <c r="AZ782" s="476"/>
      <c r="BA782" s="476"/>
      <c r="BB782" s="477"/>
      <c r="BC782" s="544">
        <v>5</v>
      </c>
      <c r="BD782" s="545"/>
      <c r="BE782" s="545"/>
      <c r="BF782" s="545"/>
      <c r="BG782" s="545"/>
      <c r="BH782" s="545"/>
      <c r="BI782" s="545"/>
      <c r="BJ782" s="545"/>
      <c r="BK782" s="545"/>
      <c r="BL782" s="545"/>
      <c r="BM782" s="545"/>
      <c r="BN782" s="545"/>
      <c r="BO782" s="545"/>
      <c r="BP782" s="545"/>
      <c r="BQ782" s="545"/>
      <c r="BR782" s="546"/>
      <c r="BS782" s="639">
        <v>69.08</v>
      </c>
      <c r="BT782" s="640"/>
      <c r="BU782" s="640"/>
      <c r="BV782" s="640"/>
      <c r="BW782" s="640"/>
      <c r="BX782" s="640"/>
      <c r="BY782" s="640"/>
      <c r="BZ782" s="640"/>
      <c r="CA782" s="640"/>
      <c r="CB782" s="640"/>
      <c r="CC782" s="640"/>
      <c r="CD782" s="640"/>
      <c r="CE782" s="640"/>
      <c r="CF782" s="640"/>
      <c r="CG782" s="640"/>
      <c r="CH782" s="641"/>
      <c r="CI782" s="627">
        <f t="shared" si="27"/>
        <v>345.4</v>
      </c>
      <c r="CJ782" s="628"/>
      <c r="CK782" s="628"/>
      <c r="CL782" s="628"/>
      <c r="CM782" s="628"/>
      <c r="CN782" s="628"/>
      <c r="CO782" s="628"/>
      <c r="CP782" s="628"/>
      <c r="CQ782" s="628"/>
      <c r="CR782" s="628"/>
      <c r="CS782" s="628"/>
      <c r="CT782" s="628"/>
      <c r="CU782" s="628"/>
      <c r="CV782" s="628"/>
      <c r="CW782" s="628"/>
      <c r="CX782" s="628"/>
      <c r="CY782" s="628"/>
      <c r="CZ782" s="629"/>
      <c r="DA782" s="214"/>
    </row>
    <row r="783" spans="1:105" s="16" customFormat="1" ht="15" hidden="1" customHeight="1" x14ac:dyDescent="0.3">
      <c r="A783" s="630" t="s">
        <v>655</v>
      </c>
      <c r="B783" s="631"/>
      <c r="C783" s="631"/>
      <c r="D783" s="631"/>
      <c r="E783" s="631"/>
      <c r="F783" s="631"/>
      <c r="G783" s="632"/>
      <c r="H783" s="584" t="s">
        <v>742</v>
      </c>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5"/>
      <c r="AL783" s="585"/>
      <c r="AM783" s="585"/>
      <c r="AN783" s="585"/>
      <c r="AO783" s="585"/>
      <c r="AP783" s="585"/>
      <c r="AQ783" s="585"/>
      <c r="AR783" s="585"/>
      <c r="AS783" s="585"/>
      <c r="AT783" s="586"/>
      <c r="AU783" s="475" t="s">
        <v>730</v>
      </c>
      <c r="AV783" s="476"/>
      <c r="AW783" s="476"/>
      <c r="AX783" s="476"/>
      <c r="AY783" s="476"/>
      <c r="AZ783" s="476"/>
      <c r="BA783" s="476"/>
      <c r="BB783" s="477"/>
      <c r="BC783" s="544">
        <v>15</v>
      </c>
      <c r="BD783" s="545"/>
      <c r="BE783" s="545"/>
      <c r="BF783" s="545"/>
      <c r="BG783" s="545"/>
      <c r="BH783" s="545"/>
      <c r="BI783" s="545"/>
      <c r="BJ783" s="545"/>
      <c r="BK783" s="545"/>
      <c r="BL783" s="545"/>
      <c r="BM783" s="545"/>
      <c r="BN783" s="545"/>
      <c r="BO783" s="545"/>
      <c r="BP783" s="545"/>
      <c r="BQ783" s="545"/>
      <c r="BR783" s="546"/>
      <c r="BS783" s="639">
        <v>17.440000000000001</v>
      </c>
      <c r="BT783" s="640"/>
      <c r="BU783" s="640"/>
      <c r="BV783" s="640"/>
      <c r="BW783" s="640"/>
      <c r="BX783" s="640"/>
      <c r="BY783" s="640"/>
      <c r="BZ783" s="640"/>
      <c r="CA783" s="640"/>
      <c r="CB783" s="640"/>
      <c r="CC783" s="640"/>
      <c r="CD783" s="640"/>
      <c r="CE783" s="640"/>
      <c r="CF783" s="640"/>
      <c r="CG783" s="640"/>
      <c r="CH783" s="641"/>
      <c r="CI783" s="627">
        <f t="shared" si="27"/>
        <v>261.60000000000002</v>
      </c>
      <c r="CJ783" s="628"/>
      <c r="CK783" s="628"/>
      <c r="CL783" s="628"/>
      <c r="CM783" s="628"/>
      <c r="CN783" s="628"/>
      <c r="CO783" s="628"/>
      <c r="CP783" s="628"/>
      <c r="CQ783" s="628"/>
      <c r="CR783" s="628"/>
      <c r="CS783" s="628"/>
      <c r="CT783" s="628"/>
      <c r="CU783" s="628"/>
      <c r="CV783" s="628"/>
      <c r="CW783" s="628"/>
      <c r="CX783" s="628"/>
      <c r="CY783" s="628"/>
      <c r="CZ783" s="629"/>
      <c r="DA783" s="214"/>
    </row>
    <row r="784" spans="1:105" s="16" customFormat="1" ht="15" hidden="1" customHeight="1" x14ac:dyDescent="0.3">
      <c r="A784" s="630" t="s">
        <v>656</v>
      </c>
      <c r="B784" s="631"/>
      <c r="C784" s="631"/>
      <c r="D784" s="631"/>
      <c r="E784" s="631"/>
      <c r="F784" s="631"/>
      <c r="G784" s="632"/>
      <c r="H784" s="584" t="s">
        <v>743</v>
      </c>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5"/>
      <c r="AL784" s="585"/>
      <c r="AM784" s="585"/>
      <c r="AN784" s="585"/>
      <c r="AO784" s="585"/>
      <c r="AP784" s="585"/>
      <c r="AQ784" s="585"/>
      <c r="AR784" s="585"/>
      <c r="AS784" s="585"/>
      <c r="AT784" s="586"/>
      <c r="AU784" s="475" t="s">
        <v>734</v>
      </c>
      <c r="AV784" s="476"/>
      <c r="AW784" s="476"/>
      <c r="AX784" s="476"/>
      <c r="AY784" s="476"/>
      <c r="AZ784" s="476"/>
      <c r="BA784" s="476"/>
      <c r="BB784" s="477"/>
      <c r="BC784" s="544">
        <v>10</v>
      </c>
      <c r="BD784" s="545"/>
      <c r="BE784" s="545"/>
      <c r="BF784" s="545"/>
      <c r="BG784" s="545"/>
      <c r="BH784" s="545"/>
      <c r="BI784" s="545"/>
      <c r="BJ784" s="545"/>
      <c r="BK784" s="545"/>
      <c r="BL784" s="545"/>
      <c r="BM784" s="545"/>
      <c r="BN784" s="545"/>
      <c r="BO784" s="545"/>
      <c r="BP784" s="545"/>
      <c r="BQ784" s="545"/>
      <c r="BR784" s="546"/>
      <c r="BS784" s="639">
        <v>52.910000000000004</v>
      </c>
      <c r="BT784" s="640"/>
      <c r="BU784" s="640"/>
      <c r="BV784" s="640"/>
      <c r="BW784" s="640"/>
      <c r="BX784" s="640"/>
      <c r="BY784" s="640"/>
      <c r="BZ784" s="640"/>
      <c r="CA784" s="640"/>
      <c r="CB784" s="640"/>
      <c r="CC784" s="640"/>
      <c r="CD784" s="640"/>
      <c r="CE784" s="640"/>
      <c r="CF784" s="640"/>
      <c r="CG784" s="640"/>
      <c r="CH784" s="641"/>
      <c r="CI784" s="627">
        <f t="shared" si="27"/>
        <v>529.1</v>
      </c>
      <c r="CJ784" s="628"/>
      <c r="CK784" s="628"/>
      <c r="CL784" s="628"/>
      <c r="CM784" s="628"/>
      <c r="CN784" s="628"/>
      <c r="CO784" s="628"/>
      <c r="CP784" s="628"/>
      <c r="CQ784" s="628"/>
      <c r="CR784" s="628"/>
      <c r="CS784" s="628"/>
      <c r="CT784" s="628"/>
      <c r="CU784" s="628"/>
      <c r="CV784" s="628"/>
      <c r="CW784" s="628"/>
      <c r="CX784" s="628"/>
      <c r="CY784" s="628"/>
      <c r="CZ784" s="629"/>
      <c r="DA784" s="214"/>
    </row>
    <row r="785" spans="1:105" s="16" customFormat="1" ht="15" hidden="1" customHeight="1" x14ac:dyDescent="0.3">
      <c r="A785" s="630" t="s">
        <v>657</v>
      </c>
      <c r="B785" s="631"/>
      <c r="C785" s="631"/>
      <c r="D785" s="631"/>
      <c r="E785" s="631"/>
      <c r="F785" s="631"/>
      <c r="G785" s="632"/>
      <c r="H785" s="584" t="s">
        <v>744</v>
      </c>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5"/>
      <c r="AL785" s="585"/>
      <c r="AM785" s="585"/>
      <c r="AN785" s="585"/>
      <c r="AO785" s="585"/>
      <c r="AP785" s="585"/>
      <c r="AQ785" s="585"/>
      <c r="AR785" s="585"/>
      <c r="AS785" s="585"/>
      <c r="AT785" s="586"/>
      <c r="AU785" s="475" t="s">
        <v>734</v>
      </c>
      <c r="AV785" s="476"/>
      <c r="AW785" s="476"/>
      <c r="AX785" s="476"/>
      <c r="AY785" s="476"/>
      <c r="AZ785" s="476"/>
      <c r="BA785" s="476"/>
      <c r="BB785" s="477"/>
      <c r="BC785" s="544">
        <v>15</v>
      </c>
      <c r="BD785" s="545"/>
      <c r="BE785" s="545"/>
      <c r="BF785" s="545"/>
      <c r="BG785" s="545"/>
      <c r="BH785" s="545"/>
      <c r="BI785" s="545"/>
      <c r="BJ785" s="545"/>
      <c r="BK785" s="545"/>
      <c r="BL785" s="545"/>
      <c r="BM785" s="545"/>
      <c r="BN785" s="545"/>
      <c r="BO785" s="545"/>
      <c r="BP785" s="545"/>
      <c r="BQ785" s="545"/>
      <c r="BR785" s="546"/>
      <c r="BS785" s="639">
        <v>13.8</v>
      </c>
      <c r="BT785" s="640"/>
      <c r="BU785" s="640"/>
      <c r="BV785" s="640"/>
      <c r="BW785" s="640"/>
      <c r="BX785" s="640"/>
      <c r="BY785" s="640"/>
      <c r="BZ785" s="640"/>
      <c r="CA785" s="640"/>
      <c r="CB785" s="640"/>
      <c r="CC785" s="640"/>
      <c r="CD785" s="640"/>
      <c r="CE785" s="640"/>
      <c r="CF785" s="640"/>
      <c r="CG785" s="640"/>
      <c r="CH785" s="641"/>
      <c r="CI785" s="627">
        <f t="shared" si="27"/>
        <v>207</v>
      </c>
      <c r="CJ785" s="628"/>
      <c r="CK785" s="628"/>
      <c r="CL785" s="628"/>
      <c r="CM785" s="628"/>
      <c r="CN785" s="628"/>
      <c r="CO785" s="628"/>
      <c r="CP785" s="628"/>
      <c r="CQ785" s="628"/>
      <c r="CR785" s="628"/>
      <c r="CS785" s="628"/>
      <c r="CT785" s="628"/>
      <c r="CU785" s="628"/>
      <c r="CV785" s="628"/>
      <c r="CW785" s="628"/>
      <c r="CX785" s="628"/>
      <c r="CY785" s="628"/>
      <c r="CZ785" s="629"/>
      <c r="DA785" s="214"/>
    </row>
    <row r="786" spans="1:105" s="16" customFormat="1" ht="15" hidden="1" customHeight="1" x14ac:dyDescent="0.3">
      <c r="A786" s="630" t="s">
        <v>659</v>
      </c>
      <c r="B786" s="631"/>
      <c r="C786" s="631"/>
      <c r="D786" s="631"/>
      <c r="E786" s="631"/>
      <c r="F786" s="631"/>
      <c r="G786" s="632"/>
      <c r="H786" s="584" t="s">
        <v>745</v>
      </c>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5"/>
      <c r="AL786" s="585"/>
      <c r="AM786" s="585"/>
      <c r="AN786" s="585"/>
      <c r="AO786" s="585"/>
      <c r="AP786" s="585"/>
      <c r="AQ786" s="585"/>
      <c r="AR786" s="585"/>
      <c r="AS786" s="585"/>
      <c r="AT786" s="586"/>
      <c r="AU786" s="475" t="s">
        <v>730</v>
      </c>
      <c r="AV786" s="476"/>
      <c r="AW786" s="476"/>
      <c r="AX786" s="476"/>
      <c r="AY786" s="476"/>
      <c r="AZ786" s="476"/>
      <c r="BA786" s="476"/>
      <c r="BB786" s="477"/>
      <c r="BC786" s="544">
        <v>10</v>
      </c>
      <c r="BD786" s="545"/>
      <c r="BE786" s="545"/>
      <c r="BF786" s="545"/>
      <c r="BG786" s="545"/>
      <c r="BH786" s="545"/>
      <c r="BI786" s="545"/>
      <c r="BJ786" s="545"/>
      <c r="BK786" s="545"/>
      <c r="BL786" s="545"/>
      <c r="BM786" s="545"/>
      <c r="BN786" s="545"/>
      <c r="BO786" s="545"/>
      <c r="BP786" s="545"/>
      <c r="BQ786" s="545"/>
      <c r="BR786" s="546"/>
      <c r="BS786" s="639">
        <v>19.21</v>
      </c>
      <c r="BT786" s="640"/>
      <c r="BU786" s="640"/>
      <c r="BV786" s="640"/>
      <c r="BW786" s="640"/>
      <c r="BX786" s="640"/>
      <c r="BY786" s="640"/>
      <c r="BZ786" s="640"/>
      <c r="CA786" s="640"/>
      <c r="CB786" s="640"/>
      <c r="CC786" s="640"/>
      <c r="CD786" s="640"/>
      <c r="CE786" s="640"/>
      <c r="CF786" s="640"/>
      <c r="CG786" s="640"/>
      <c r="CH786" s="641"/>
      <c r="CI786" s="627">
        <f t="shared" si="27"/>
        <v>192.10000000000002</v>
      </c>
      <c r="CJ786" s="628"/>
      <c r="CK786" s="628"/>
      <c r="CL786" s="628"/>
      <c r="CM786" s="628"/>
      <c r="CN786" s="628"/>
      <c r="CO786" s="628"/>
      <c r="CP786" s="628"/>
      <c r="CQ786" s="628"/>
      <c r="CR786" s="628"/>
      <c r="CS786" s="628"/>
      <c r="CT786" s="628"/>
      <c r="CU786" s="628"/>
      <c r="CV786" s="628"/>
      <c r="CW786" s="628"/>
      <c r="CX786" s="628"/>
      <c r="CY786" s="628"/>
      <c r="CZ786" s="629"/>
      <c r="DA786" s="214"/>
    </row>
    <row r="787" spans="1:105" s="16" customFormat="1" ht="15" hidden="1" customHeight="1" x14ac:dyDescent="0.3">
      <c r="A787" s="630" t="s">
        <v>664</v>
      </c>
      <c r="B787" s="631"/>
      <c r="C787" s="631"/>
      <c r="D787" s="631"/>
      <c r="E787" s="631"/>
      <c r="F787" s="631"/>
      <c r="G787" s="632"/>
      <c r="H787" s="584" t="s">
        <v>746</v>
      </c>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5"/>
      <c r="AL787" s="585"/>
      <c r="AM787" s="585"/>
      <c r="AN787" s="585"/>
      <c r="AO787" s="585"/>
      <c r="AP787" s="585"/>
      <c r="AQ787" s="585"/>
      <c r="AR787" s="585"/>
      <c r="AS787" s="585"/>
      <c r="AT787" s="586"/>
      <c r="AU787" s="475" t="s">
        <v>734</v>
      </c>
      <c r="AV787" s="476"/>
      <c r="AW787" s="476"/>
      <c r="AX787" s="476"/>
      <c r="AY787" s="476"/>
      <c r="AZ787" s="476"/>
      <c r="BA787" s="476"/>
      <c r="BB787" s="477"/>
      <c r="BC787" s="544">
        <v>40</v>
      </c>
      <c r="BD787" s="545"/>
      <c r="BE787" s="545"/>
      <c r="BF787" s="545"/>
      <c r="BG787" s="545"/>
      <c r="BH787" s="545"/>
      <c r="BI787" s="545"/>
      <c r="BJ787" s="545"/>
      <c r="BK787" s="545"/>
      <c r="BL787" s="545"/>
      <c r="BM787" s="545"/>
      <c r="BN787" s="545"/>
      <c r="BO787" s="545"/>
      <c r="BP787" s="545"/>
      <c r="BQ787" s="545"/>
      <c r="BR787" s="546"/>
      <c r="BS787" s="639">
        <v>14</v>
      </c>
      <c r="BT787" s="640"/>
      <c r="BU787" s="640"/>
      <c r="BV787" s="640"/>
      <c r="BW787" s="640"/>
      <c r="BX787" s="640"/>
      <c r="BY787" s="640"/>
      <c r="BZ787" s="640"/>
      <c r="CA787" s="640"/>
      <c r="CB787" s="640"/>
      <c r="CC787" s="640"/>
      <c r="CD787" s="640"/>
      <c r="CE787" s="640"/>
      <c r="CF787" s="640"/>
      <c r="CG787" s="640"/>
      <c r="CH787" s="641"/>
      <c r="CI787" s="627">
        <f t="shared" si="27"/>
        <v>560</v>
      </c>
      <c r="CJ787" s="628"/>
      <c r="CK787" s="628"/>
      <c r="CL787" s="628"/>
      <c r="CM787" s="628"/>
      <c r="CN787" s="628"/>
      <c r="CO787" s="628"/>
      <c r="CP787" s="628"/>
      <c r="CQ787" s="628"/>
      <c r="CR787" s="628"/>
      <c r="CS787" s="628"/>
      <c r="CT787" s="628"/>
      <c r="CU787" s="628"/>
      <c r="CV787" s="628"/>
      <c r="CW787" s="628"/>
      <c r="CX787" s="628"/>
      <c r="CY787" s="628"/>
      <c r="CZ787" s="629"/>
      <c r="DA787" s="214"/>
    </row>
    <row r="788" spans="1:105" s="16" customFormat="1" ht="15" hidden="1" customHeight="1" x14ac:dyDescent="0.3">
      <c r="A788" s="630" t="s">
        <v>662</v>
      </c>
      <c r="B788" s="631"/>
      <c r="C788" s="631"/>
      <c r="D788" s="631"/>
      <c r="E788" s="631"/>
      <c r="F788" s="631"/>
      <c r="G788" s="632"/>
      <c r="H788" s="584" t="s">
        <v>747</v>
      </c>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5"/>
      <c r="AL788" s="585"/>
      <c r="AM788" s="585"/>
      <c r="AN788" s="585"/>
      <c r="AO788" s="585"/>
      <c r="AP788" s="585"/>
      <c r="AQ788" s="585"/>
      <c r="AR788" s="585"/>
      <c r="AS788" s="585"/>
      <c r="AT788" s="586"/>
      <c r="AU788" s="475" t="s">
        <v>730</v>
      </c>
      <c r="AV788" s="476"/>
      <c r="AW788" s="476"/>
      <c r="AX788" s="476"/>
      <c r="AY788" s="476"/>
      <c r="AZ788" s="476"/>
      <c r="BA788" s="476"/>
      <c r="BB788" s="477"/>
      <c r="BC788" s="544">
        <v>2</v>
      </c>
      <c r="BD788" s="545"/>
      <c r="BE788" s="545"/>
      <c r="BF788" s="545"/>
      <c r="BG788" s="545"/>
      <c r="BH788" s="545"/>
      <c r="BI788" s="545"/>
      <c r="BJ788" s="545"/>
      <c r="BK788" s="545"/>
      <c r="BL788" s="545"/>
      <c r="BM788" s="545"/>
      <c r="BN788" s="545"/>
      <c r="BO788" s="545"/>
      <c r="BP788" s="545"/>
      <c r="BQ788" s="545"/>
      <c r="BR788" s="546"/>
      <c r="BS788" s="639">
        <v>104.48</v>
      </c>
      <c r="BT788" s="640"/>
      <c r="BU788" s="640"/>
      <c r="BV788" s="640"/>
      <c r="BW788" s="640"/>
      <c r="BX788" s="640"/>
      <c r="BY788" s="640"/>
      <c r="BZ788" s="640"/>
      <c r="CA788" s="640"/>
      <c r="CB788" s="640"/>
      <c r="CC788" s="640"/>
      <c r="CD788" s="640"/>
      <c r="CE788" s="640"/>
      <c r="CF788" s="640"/>
      <c r="CG788" s="640"/>
      <c r="CH788" s="641"/>
      <c r="CI788" s="627">
        <f t="shared" si="27"/>
        <v>208.96</v>
      </c>
      <c r="CJ788" s="628"/>
      <c r="CK788" s="628"/>
      <c r="CL788" s="628"/>
      <c r="CM788" s="628"/>
      <c r="CN788" s="628"/>
      <c r="CO788" s="628"/>
      <c r="CP788" s="628"/>
      <c r="CQ788" s="628"/>
      <c r="CR788" s="628"/>
      <c r="CS788" s="628"/>
      <c r="CT788" s="628"/>
      <c r="CU788" s="628"/>
      <c r="CV788" s="628"/>
      <c r="CW788" s="628"/>
      <c r="CX788" s="628"/>
      <c r="CY788" s="628"/>
      <c r="CZ788" s="629"/>
      <c r="DA788" s="214"/>
    </row>
    <row r="789" spans="1:105" s="16" customFormat="1" ht="15" hidden="1" customHeight="1" x14ac:dyDescent="0.3">
      <c r="A789" s="630" t="s">
        <v>666</v>
      </c>
      <c r="B789" s="631"/>
      <c r="C789" s="631"/>
      <c r="D789" s="631"/>
      <c r="E789" s="631"/>
      <c r="F789" s="631"/>
      <c r="G789" s="632"/>
      <c r="H789" s="584" t="s">
        <v>748</v>
      </c>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5"/>
      <c r="AL789" s="585"/>
      <c r="AM789" s="585"/>
      <c r="AN789" s="585"/>
      <c r="AO789" s="585"/>
      <c r="AP789" s="585"/>
      <c r="AQ789" s="585"/>
      <c r="AR789" s="585"/>
      <c r="AS789" s="585"/>
      <c r="AT789" s="586"/>
      <c r="AU789" s="475" t="s">
        <v>730</v>
      </c>
      <c r="AV789" s="476"/>
      <c r="AW789" s="476"/>
      <c r="AX789" s="476"/>
      <c r="AY789" s="476"/>
      <c r="AZ789" s="476"/>
      <c r="BA789" s="476"/>
      <c r="BB789" s="477"/>
      <c r="BC789" s="544">
        <v>2</v>
      </c>
      <c r="BD789" s="545"/>
      <c r="BE789" s="545"/>
      <c r="BF789" s="545"/>
      <c r="BG789" s="545"/>
      <c r="BH789" s="545"/>
      <c r="BI789" s="545"/>
      <c r="BJ789" s="545"/>
      <c r="BK789" s="545"/>
      <c r="BL789" s="545"/>
      <c r="BM789" s="545"/>
      <c r="BN789" s="545"/>
      <c r="BO789" s="545"/>
      <c r="BP789" s="545"/>
      <c r="BQ789" s="545"/>
      <c r="BR789" s="546"/>
      <c r="BS789" s="639">
        <v>370</v>
      </c>
      <c r="BT789" s="640"/>
      <c r="BU789" s="640"/>
      <c r="BV789" s="640"/>
      <c r="BW789" s="640"/>
      <c r="BX789" s="640"/>
      <c r="BY789" s="640"/>
      <c r="BZ789" s="640"/>
      <c r="CA789" s="640"/>
      <c r="CB789" s="640"/>
      <c r="CC789" s="640"/>
      <c r="CD789" s="640"/>
      <c r="CE789" s="640"/>
      <c r="CF789" s="640"/>
      <c r="CG789" s="640"/>
      <c r="CH789" s="641"/>
      <c r="CI789" s="627">
        <f t="shared" si="27"/>
        <v>740</v>
      </c>
      <c r="CJ789" s="628"/>
      <c r="CK789" s="628"/>
      <c r="CL789" s="628"/>
      <c r="CM789" s="628"/>
      <c r="CN789" s="628"/>
      <c r="CO789" s="628"/>
      <c r="CP789" s="628"/>
      <c r="CQ789" s="628"/>
      <c r="CR789" s="628"/>
      <c r="CS789" s="628"/>
      <c r="CT789" s="628"/>
      <c r="CU789" s="628"/>
      <c r="CV789" s="628"/>
      <c r="CW789" s="628"/>
      <c r="CX789" s="628"/>
      <c r="CY789" s="628"/>
      <c r="CZ789" s="629"/>
      <c r="DA789" s="214"/>
    </row>
    <row r="790" spans="1:105" s="16" customFormat="1" ht="15" hidden="1" customHeight="1" x14ac:dyDescent="0.3">
      <c r="A790" s="630" t="s">
        <v>667</v>
      </c>
      <c r="B790" s="631"/>
      <c r="C790" s="631"/>
      <c r="D790" s="631"/>
      <c r="E790" s="631"/>
      <c r="F790" s="631"/>
      <c r="G790" s="632"/>
      <c r="H790" s="584" t="s">
        <v>749</v>
      </c>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5"/>
      <c r="AL790" s="585"/>
      <c r="AM790" s="585"/>
      <c r="AN790" s="585"/>
      <c r="AO790" s="585"/>
      <c r="AP790" s="585"/>
      <c r="AQ790" s="585"/>
      <c r="AR790" s="585"/>
      <c r="AS790" s="585"/>
      <c r="AT790" s="586"/>
      <c r="AU790" s="475" t="s">
        <v>730</v>
      </c>
      <c r="AV790" s="476"/>
      <c r="AW790" s="476"/>
      <c r="AX790" s="476"/>
      <c r="AY790" s="476"/>
      <c r="AZ790" s="476"/>
      <c r="BA790" s="476"/>
      <c r="BB790" s="477"/>
      <c r="BC790" s="544">
        <v>10</v>
      </c>
      <c r="BD790" s="545"/>
      <c r="BE790" s="545"/>
      <c r="BF790" s="545"/>
      <c r="BG790" s="545"/>
      <c r="BH790" s="545"/>
      <c r="BI790" s="545"/>
      <c r="BJ790" s="545"/>
      <c r="BK790" s="545"/>
      <c r="BL790" s="545"/>
      <c r="BM790" s="545"/>
      <c r="BN790" s="545"/>
      <c r="BO790" s="545"/>
      <c r="BP790" s="545"/>
      <c r="BQ790" s="545"/>
      <c r="BR790" s="546"/>
      <c r="BS790" s="639">
        <v>29.48</v>
      </c>
      <c r="BT790" s="640"/>
      <c r="BU790" s="640"/>
      <c r="BV790" s="640"/>
      <c r="BW790" s="640"/>
      <c r="BX790" s="640"/>
      <c r="BY790" s="640"/>
      <c r="BZ790" s="640"/>
      <c r="CA790" s="640"/>
      <c r="CB790" s="640"/>
      <c r="CC790" s="640"/>
      <c r="CD790" s="640"/>
      <c r="CE790" s="640"/>
      <c r="CF790" s="640"/>
      <c r="CG790" s="640"/>
      <c r="CH790" s="641"/>
      <c r="CI790" s="627">
        <f t="shared" si="27"/>
        <v>294.8</v>
      </c>
      <c r="CJ790" s="628"/>
      <c r="CK790" s="628"/>
      <c r="CL790" s="628"/>
      <c r="CM790" s="628"/>
      <c r="CN790" s="628"/>
      <c r="CO790" s="628"/>
      <c r="CP790" s="628"/>
      <c r="CQ790" s="628"/>
      <c r="CR790" s="628"/>
      <c r="CS790" s="628"/>
      <c r="CT790" s="628"/>
      <c r="CU790" s="628"/>
      <c r="CV790" s="628"/>
      <c r="CW790" s="628"/>
      <c r="CX790" s="628"/>
      <c r="CY790" s="628"/>
      <c r="CZ790" s="629"/>
      <c r="DA790" s="214"/>
    </row>
    <row r="791" spans="1:105" s="16" customFormat="1" ht="15" hidden="1" customHeight="1" x14ac:dyDescent="0.3">
      <c r="A791" s="630" t="s">
        <v>670</v>
      </c>
      <c r="B791" s="631"/>
      <c r="C791" s="631"/>
      <c r="D791" s="631"/>
      <c r="E791" s="631"/>
      <c r="F791" s="631"/>
      <c r="G791" s="632"/>
      <c r="H791" s="584" t="s">
        <v>750</v>
      </c>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5"/>
      <c r="AL791" s="585"/>
      <c r="AM791" s="585"/>
      <c r="AN791" s="585"/>
      <c r="AO791" s="585"/>
      <c r="AP791" s="585"/>
      <c r="AQ791" s="585"/>
      <c r="AR791" s="585"/>
      <c r="AS791" s="585"/>
      <c r="AT791" s="586"/>
      <c r="AU791" s="475" t="s">
        <v>730</v>
      </c>
      <c r="AV791" s="476"/>
      <c r="AW791" s="476"/>
      <c r="AX791" s="476"/>
      <c r="AY791" s="476"/>
      <c r="AZ791" s="476"/>
      <c r="BA791" s="476"/>
      <c r="BB791" s="477"/>
      <c r="BC791" s="544">
        <v>8</v>
      </c>
      <c r="BD791" s="545"/>
      <c r="BE791" s="545"/>
      <c r="BF791" s="545"/>
      <c r="BG791" s="545"/>
      <c r="BH791" s="545"/>
      <c r="BI791" s="545"/>
      <c r="BJ791" s="545"/>
      <c r="BK791" s="545"/>
      <c r="BL791" s="545"/>
      <c r="BM791" s="545"/>
      <c r="BN791" s="545"/>
      <c r="BO791" s="545"/>
      <c r="BP791" s="545"/>
      <c r="BQ791" s="545"/>
      <c r="BR791" s="546"/>
      <c r="BS791" s="639">
        <v>54</v>
      </c>
      <c r="BT791" s="640"/>
      <c r="BU791" s="640"/>
      <c r="BV791" s="640"/>
      <c r="BW791" s="640"/>
      <c r="BX791" s="640"/>
      <c r="BY791" s="640"/>
      <c r="BZ791" s="640"/>
      <c r="CA791" s="640"/>
      <c r="CB791" s="640"/>
      <c r="CC791" s="640"/>
      <c r="CD791" s="640"/>
      <c r="CE791" s="640"/>
      <c r="CF791" s="640"/>
      <c r="CG791" s="640"/>
      <c r="CH791" s="641"/>
      <c r="CI791" s="627">
        <f t="shared" si="27"/>
        <v>432</v>
      </c>
      <c r="CJ791" s="628"/>
      <c r="CK791" s="628"/>
      <c r="CL791" s="628"/>
      <c r="CM791" s="628"/>
      <c r="CN791" s="628"/>
      <c r="CO791" s="628"/>
      <c r="CP791" s="628"/>
      <c r="CQ791" s="628"/>
      <c r="CR791" s="628"/>
      <c r="CS791" s="628"/>
      <c r="CT791" s="628"/>
      <c r="CU791" s="628"/>
      <c r="CV791" s="628"/>
      <c r="CW791" s="628"/>
      <c r="CX791" s="628"/>
      <c r="CY791" s="628"/>
      <c r="CZ791" s="629"/>
      <c r="DA791" s="214"/>
    </row>
    <row r="792" spans="1:105" s="16" customFormat="1" ht="15" hidden="1" customHeight="1" x14ac:dyDescent="0.3">
      <c r="A792" s="630" t="s">
        <v>672</v>
      </c>
      <c r="B792" s="631"/>
      <c r="C792" s="631"/>
      <c r="D792" s="631"/>
      <c r="E792" s="631"/>
      <c r="F792" s="631"/>
      <c r="G792" s="632"/>
      <c r="H792" s="584" t="s">
        <v>751</v>
      </c>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5"/>
      <c r="AL792" s="585"/>
      <c r="AM792" s="585"/>
      <c r="AN792" s="585"/>
      <c r="AO792" s="585"/>
      <c r="AP792" s="585"/>
      <c r="AQ792" s="585"/>
      <c r="AR792" s="585"/>
      <c r="AS792" s="585"/>
      <c r="AT792" s="586"/>
      <c r="AU792" s="475" t="s">
        <v>730</v>
      </c>
      <c r="AV792" s="476"/>
      <c r="AW792" s="476"/>
      <c r="AX792" s="476"/>
      <c r="AY792" s="476"/>
      <c r="AZ792" s="476"/>
      <c r="BA792" s="476"/>
      <c r="BB792" s="477"/>
      <c r="BC792" s="544">
        <v>2</v>
      </c>
      <c r="BD792" s="545"/>
      <c r="BE792" s="545"/>
      <c r="BF792" s="545"/>
      <c r="BG792" s="545"/>
      <c r="BH792" s="545"/>
      <c r="BI792" s="545"/>
      <c r="BJ792" s="545"/>
      <c r="BK792" s="545"/>
      <c r="BL792" s="545"/>
      <c r="BM792" s="545"/>
      <c r="BN792" s="545"/>
      <c r="BO792" s="545"/>
      <c r="BP792" s="545"/>
      <c r="BQ792" s="545"/>
      <c r="BR792" s="546"/>
      <c r="BS792" s="639">
        <v>300</v>
      </c>
      <c r="BT792" s="640"/>
      <c r="BU792" s="640"/>
      <c r="BV792" s="640"/>
      <c r="BW792" s="640"/>
      <c r="BX792" s="640"/>
      <c r="BY792" s="640"/>
      <c r="BZ792" s="640"/>
      <c r="CA792" s="640"/>
      <c r="CB792" s="640"/>
      <c r="CC792" s="640"/>
      <c r="CD792" s="640"/>
      <c r="CE792" s="640"/>
      <c r="CF792" s="640"/>
      <c r="CG792" s="640"/>
      <c r="CH792" s="641"/>
      <c r="CI792" s="627">
        <f t="shared" si="27"/>
        <v>600</v>
      </c>
      <c r="CJ792" s="628"/>
      <c r="CK792" s="628"/>
      <c r="CL792" s="628"/>
      <c r="CM792" s="628"/>
      <c r="CN792" s="628"/>
      <c r="CO792" s="628"/>
      <c r="CP792" s="628"/>
      <c r="CQ792" s="628"/>
      <c r="CR792" s="628"/>
      <c r="CS792" s="628"/>
      <c r="CT792" s="628"/>
      <c r="CU792" s="628"/>
      <c r="CV792" s="628"/>
      <c r="CW792" s="628"/>
      <c r="CX792" s="628"/>
      <c r="CY792" s="628"/>
      <c r="CZ792" s="629"/>
      <c r="DA792" s="214"/>
    </row>
    <row r="793" spans="1:105" s="16" customFormat="1" ht="15" hidden="1" customHeight="1" x14ac:dyDescent="0.3">
      <c r="A793" s="630" t="s">
        <v>677</v>
      </c>
      <c r="B793" s="631"/>
      <c r="C793" s="631"/>
      <c r="D793" s="631"/>
      <c r="E793" s="631"/>
      <c r="F793" s="631"/>
      <c r="G793" s="632"/>
      <c r="H793" s="584" t="s">
        <v>752</v>
      </c>
      <c r="I793" s="585"/>
      <c r="J793" s="585"/>
      <c r="K793" s="585"/>
      <c r="L793" s="585"/>
      <c r="M793" s="585"/>
      <c r="N793" s="585"/>
      <c r="O793" s="585"/>
      <c r="P793" s="585"/>
      <c r="Q793" s="585"/>
      <c r="R793" s="585"/>
      <c r="S793" s="585"/>
      <c r="T793" s="585"/>
      <c r="U793" s="585"/>
      <c r="V793" s="585"/>
      <c r="W793" s="585"/>
      <c r="X793" s="585"/>
      <c r="Y793" s="585"/>
      <c r="Z793" s="585"/>
      <c r="AA793" s="585"/>
      <c r="AB793" s="585"/>
      <c r="AC793" s="585"/>
      <c r="AD793" s="585"/>
      <c r="AE793" s="585"/>
      <c r="AF793" s="585"/>
      <c r="AG793" s="585"/>
      <c r="AH793" s="585"/>
      <c r="AI793" s="585"/>
      <c r="AJ793" s="585"/>
      <c r="AK793" s="585"/>
      <c r="AL793" s="585"/>
      <c r="AM793" s="585"/>
      <c r="AN793" s="585"/>
      <c r="AO793" s="585"/>
      <c r="AP793" s="585"/>
      <c r="AQ793" s="585"/>
      <c r="AR793" s="585"/>
      <c r="AS793" s="585"/>
      <c r="AT793" s="586"/>
      <c r="AU793" s="475" t="s">
        <v>690</v>
      </c>
      <c r="AV793" s="476"/>
      <c r="AW793" s="476"/>
      <c r="AX793" s="476"/>
      <c r="AY793" s="476"/>
      <c r="AZ793" s="476"/>
      <c r="BA793" s="476"/>
      <c r="BB793" s="477"/>
      <c r="BC793" s="544">
        <v>20</v>
      </c>
      <c r="BD793" s="545"/>
      <c r="BE793" s="545"/>
      <c r="BF793" s="545"/>
      <c r="BG793" s="545"/>
      <c r="BH793" s="545"/>
      <c r="BI793" s="545"/>
      <c r="BJ793" s="545"/>
      <c r="BK793" s="545"/>
      <c r="BL793" s="545"/>
      <c r="BM793" s="545"/>
      <c r="BN793" s="545"/>
      <c r="BO793" s="545"/>
      <c r="BP793" s="545"/>
      <c r="BQ793" s="545"/>
      <c r="BR793" s="546"/>
      <c r="BS793" s="639">
        <v>17.440000000000001</v>
      </c>
      <c r="BT793" s="640"/>
      <c r="BU793" s="640"/>
      <c r="BV793" s="640"/>
      <c r="BW793" s="640"/>
      <c r="BX793" s="640"/>
      <c r="BY793" s="640"/>
      <c r="BZ793" s="640"/>
      <c r="CA793" s="640"/>
      <c r="CB793" s="640"/>
      <c r="CC793" s="640"/>
      <c r="CD793" s="640"/>
      <c r="CE793" s="640"/>
      <c r="CF793" s="640"/>
      <c r="CG793" s="640"/>
      <c r="CH793" s="641"/>
      <c r="CI793" s="627">
        <f t="shared" si="27"/>
        <v>348.8</v>
      </c>
      <c r="CJ793" s="628"/>
      <c r="CK793" s="628"/>
      <c r="CL793" s="628"/>
      <c r="CM793" s="628"/>
      <c r="CN793" s="628"/>
      <c r="CO793" s="628"/>
      <c r="CP793" s="628"/>
      <c r="CQ793" s="628"/>
      <c r="CR793" s="628"/>
      <c r="CS793" s="628"/>
      <c r="CT793" s="628"/>
      <c r="CU793" s="628"/>
      <c r="CV793" s="628"/>
      <c r="CW793" s="628"/>
      <c r="CX793" s="628"/>
      <c r="CY793" s="628"/>
      <c r="CZ793" s="629"/>
      <c r="DA793" s="214"/>
    </row>
    <row r="794" spans="1:105" s="16" customFormat="1" ht="15" hidden="1" customHeight="1" x14ac:dyDescent="0.3">
      <c r="A794" s="630" t="s">
        <v>668</v>
      </c>
      <c r="B794" s="631"/>
      <c r="C794" s="631"/>
      <c r="D794" s="631"/>
      <c r="E794" s="631"/>
      <c r="F794" s="631"/>
      <c r="G794" s="632"/>
      <c r="H794" s="584" t="s">
        <v>753</v>
      </c>
      <c r="I794" s="585"/>
      <c r="J794" s="585"/>
      <c r="K794" s="585"/>
      <c r="L794" s="585"/>
      <c r="M794" s="585"/>
      <c r="N794" s="585"/>
      <c r="O794" s="585"/>
      <c r="P794" s="585"/>
      <c r="Q794" s="585"/>
      <c r="R794" s="585"/>
      <c r="S794" s="585"/>
      <c r="T794" s="585"/>
      <c r="U794" s="585"/>
      <c r="V794" s="585"/>
      <c r="W794" s="585"/>
      <c r="X794" s="585"/>
      <c r="Y794" s="585"/>
      <c r="Z794" s="585"/>
      <c r="AA794" s="585"/>
      <c r="AB794" s="585"/>
      <c r="AC794" s="585"/>
      <c r="AD794" s="585"/>
      <c r="AE794" s="585"/>
      <c r="AF794" s="585"/>
      <c r="AG794" s="585"/>
      <c r="AH794" s="585"/>
      <c r="AI794" s="585"/>
      <c r="AJ794" s="585"/>
      <c r="AK794" s="585"/>
      <c r="AL794" s="585"/>
      <c r="AM794" s="585"/>
      <c r="AN794" s="585"/>
      <c r="AO794" s="585"/>
      <c r="AP794" s="585"/>
      <c r="AQ794" s="585"/>
      <c r="AR794" s="585"/>
      <c r="AS794" s="585"/>
      <c r="AT794" s="586"/>
      <c r="AU794" s="475" t="s">
        <v>734</v>
      </c>
      <c r="AV794" s="476"/>
      <c r="AW794" s="476"/>
      <c r="AX794" s="476"/>
      <c r="AY794" s="476"/>
      <c r="AZ794" s="476"/>
      <c r="BA794" s="476"/>
      <c r="BB794" s="477"/>
      <c r="BC794" s="544">
        <v>30</v>
      </c>
      <c r="BD794" s="545"/>
      <c r="BE794" s="545"/>
      <c r="BF794" s="545"/>
      <c r="BG794" s="545"/>
      <c r="BH794" s="545"/>
      <c r="BI794" s="545"/>
      <c r="BJ794" s="545"/>
      <c r="BK794" s="545"/>
      <c r="BL794" s="545"/>
      <c r="BM794" s="545"/>
      <c r="BN794" s="545"/>
      <c r="BO794" s="545"/>
      <c r="BP794" s="545"/>
      <c r="BQ794" s="545"/>
      <c r="BR794" s="546"/>
      <c r="BS794" s="639">
        <v>9.9</v>
      </c>
      <c r="BT794" s="640"/>
      <c r="BU794" s="640"/>
      <c r="BV794" s="640"/>
      <c r="BW794" s="640"/>
      <c r="BX794" s="640"/>
      <c r="BY794" s="640"/>
      <c r="BZ794" s="640"/>
      <c r="CA794" s="640"/>
      <c r="CB794" s="640"/>
      <c r="CC794" s="640"/>
      <c r="CD794" s="640"/>
      <c r="CE794" s="640"/>
      <c r="CF794" s="640"/>
      <c r="CG794" s="640"/>
      <c r="CH794" s="641"/>
      <c r="CI794" s="627">
        <f t="shared" si="27"/>
        <v>297</v>
      </c>
      <c r="CJ794" s="628"/>
      <c r="CK794" s="628"/>
      <c r="CL794" s="628"/>
      <c r="CM794" s="628"/>
      <c r="CN794" s="628"/>
      <c r="CO794" s="628"/>
      <c r="CP794" s="628"/>
      <c r="CQ794" s="628"/>
      <c r="CR794" s="628"/>
      <c r="CS794" s="628"/>
      <c r="CT794" s="628"/>
      <c r="CU794" s="628"/>
      <c r="CV794" s="628"/>
      <c r="CW794" s="628"/>
      <c r="CX794" s="628"/>
      <c r="CY794" s="628"/>
      <c r="CZ794" s="629"/>
      <c r="DA794" s="214"/>
    </row>
    <row r="795" spans="1:105" s="16" customFormat="1" ht="15" hidden="1" customHeight="1" x14ac:dyDescent="0.3">
      <c r="A795" s="630" t="s">
        <v>754</v>
      </c>
      <c r="B795" s="631"/>
      <c r="C795" s="631"/>
      <c r="D795" s="631"/>
      <c r="E795" s="631"/>
      <c r="F795" s="631"/>
      <c r="G795" s="632"/>
      <c r="H795" s="584" t="s">
        <v>755</v>
      </c>
      <c r="I795" s="585"/>
      <c r="J795" s="585"/>
      <c r="K795" s="585"/>
      <c r="L795" s="585"/>
      <c r="M795" s="585"/>
      <c r="N795" s="585"/>
      <c r="O795" s="585"/>
      <c r="P795" s="585"/>
      <c r="Q795" s="585"/>
      <c r="R795" s="585"/>
      <c r="S795" s="585"/>
      <c r="T795" s="585"/>
      <c r="U795" s="585"/>
      <c r="V795" s="585"/>
      <c r="W795" s="585"/>
      <c r="X795" s="585"/>
      <c r="Y795" s="585"/>
      <c r="Z795" s="585"/>
      <c r="AA795" s="585"/>
      <c r="AB795" s="585"/>
      <c r="AC795" s="585"/>
      <c r="AD795" s="585"/>
      <c r="AE795" s="585"/>
      <c r="AF795" s="585"/>
      <c r="AG795" s="585"/>
      <c r="AH795" s="585"/>
      <c r="AI795" s="585"/>
      <c r="AJ795" s="585"/>
      <c r="AK795" s="585"/>
      <c r="AL795" s="585"/>
      <c r="AM795" s="585"/>
      <c r="AN795" s="585"/>
      <c r="AO795" s="585"/>
      <c r="AP795" s="585"/>
      <c r="AQ795" s="585"/>
      <c r="AR795" s="585"/>
      <c r="AS795" s="585"/>
      <c r="AT795" s="586"/>
      <c r="AU795" s="475" t="s">
        <v>730</v>
      </c>
      <c r="AV795" s="476"/>
      <c r="AW795" s="476"/>
      <c r="AX795" s="476"/>
      <c r="AY795" s="476"/>
      <c r="AZ795" s="476"/>
      <c r="BA795" s="476"/>
      <c r="BB795" s="477"/>
      <c r="BC795" s="544">
        <v>2</v>
      </c>
      <c r="BD795" s="545"/>
      <c r="BE795" s="545"/>
      <c r="BF795" s="545"/>
      <c r="BG795" s="545"/>
      <c r="BH795" s="545"/>
      <c r="BI795" s="545"/>
      <c r="BJ795" s="545"/>
      <c r="BK795" s="545"/>
      <c r="BL795" s="545"/>
      <c r="BM795" s="545"/>
      <c r="BN795" s="545"/>
      <c r="BO795" s="545"/>
      <c r="BP795" s="545"/>
      <c r="BQ795" s="545"/>
      <c r="BR795" s="546"/>
      <c r="BS795" s="639">
        <v>48.88</v>
      </c>
      <c r="BT795" s="640"/>
      <c r="BU795" s="640"/>
      <c r="BV795" s="640"/>
      <c r="BW795" s="640"/>
      <c r="BX795" s="640"/>
      <c r="BY795" s="640"/>
      <c r="BZ795" s="640"/>
      <c r="CA795" s="640"/>
      <c r="CB795" s="640"/>
      <c r="CC795" s="640"/>
      <c r="CD795" s="640"/>
      <c r="CE795" s="640"/>
      <c r="CF795" s="640"/>
      <c r="CG795" s="640"/>
      <c r="CH795" s="641"/>
      <c r="CI795" s="627">
        <f t="shared" si="27"/>
        <v>97.76</v>
      </c>
      <c r="CJ795" s="628"/>
      <c r="CK795" s="628"/>
      <c r="CL795" s="628"/>
      <c r="CM795" s="628"/>
      <c r="CN795" s="628"/>
      <c r="CO795" s="628"/>
      <c r="CP795" s="628"/>
      <c r="CQ795" s="628"/>
      <c r="CR795" s="628"/>
      <c r="CS795" s="628"/>
      <c r="CT795" s="628"/>
      <c r="CU795" s="628"/>
      <c r="CV795" s="628"/>
      <c r="CW795" s="628"/>
      <c r="CX795" s="628"/>
      <c r="CY795" s="628"/>
      <c r="CZ795" s="629"/>
      <c r="DA795" s="214"/>
    </row>
    <row r="796" spans="1:105" s="16" customFormat="1" ht="15" hidden="1" customHeight="1" x14ac:dyDescent="0.3">
      <c r="A796" s="630" t="s">
        <v>756</v>
      </c>
      <c r="B796" s="631"/>
      <c r="C796" s="631"/>
      <c r="D796" s="631"/>
      <c r="E796" s="631"/>
      <c r="F796" s="631"/>
      <c r="G796" s="632"/>
      <c r="H796" s="584" t="s">
        <v>757</v>
      </c>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5"/>
      <c r="AL796" s="585"/>
      <c r="AM796" s="585"/>
      <c r="AN796" s="585"/>
      <c r="AO796" s="585"/>
      <c r="AP796" s="585"/>
      <c r="AQ796" s="585"/>
      <c r="AR796" s="585"/>
      <c r="AS796" s="585"/>
      <c r="AT796" s="586"/>
      <c r="AU796" s="475" t="s">
        <v>730</v>
      </c>
      <c r="AV796" s="476"/>
      <c r="AW796" s="476"/>
      <c r="AX796" s="476"/>
      <c r="AY796" s="476"/>
      <c r="AZ796" s="476"/>
      <c r="BA796" s="476"/>
      <c r="BB796" s="477"/>
      <c r="BC796" s="544">
        <v>5</v>
      </c>
      <c r="BD796" s="545"/>
      <c r="BE796" s="545"/>
      <c r="BF796" s="545"/>
      <c r="BG796" s="545"/>
      <c r="BH796" s="545"/>
      <c r="BI796" s="545"/>
      <c r="BJ796" s="545"/>
      <c r="BK796" s="545"/>
      <c r="BL796" s="545"/>
      <c r="BM796" s="545"/>
      <c r="BN796" s="545"/>
      <c r="BO796" s="545"/>
      <c r="BP796" s="545"/>
      <c r="BQ796" s="545"/>
      <c r="BR796" s="546"/>
      <c r="BS796" s="639">
        <v>47.5</v>
      </c>
      <c r="BT796" s="640"/>
      <c r="BU796" s="640"/>
      <c r="BV796" s="640"/>
      <c r="BW796" s="640"/>
      <c r="BX796" s="640"/>
      <c r="BY796" s="640"/>
      <c r="BZ796" s="640"/>
      <c r="CA796" s="640"/>
      <c r="CB796" s="640"/>
      <c r="CC796" s="640"/>
      <c r="CD796" s="640"/>
      <c r="CE796" s="640"/>
      <c r="CF796" s="640"/>
      <c r="CG796" s="640"/>
      <c r="CH796" s="641"/>
      <c r="CI796" s="627">
        <f t="shared" si="27"/>
        <v>237.5</v>
      </c>
      <c r="CJ796" s="628"/>
      <c r="CK796" s="628"/>
      <c r="CL796" s="628"/>
      <c r="CM796" s="628"/>
      <c r="CN796" s="628"/>
      <c r="CO796" s="628"/>
      <c r="CP796" s="628"/>
      <c r="CQ796" s="628"/>
      <c r="CR796" s="628"/>
      <c r="CS796" s="628"/>
      <c r="CT796" s="628"/>
      <c r="CU796" s="628"/>
      <c r="CV796" s="628"/>
      <c r="CW796" s="628"/>
      <c r="CX796" s="628"/>
      <c r="CY796" s="628"/>
      <c r="CZ796" s="629"/>
      <c r="DA796" s="214"/>
    </row>
    <row r="797" spans="1:105" s="16" customFormat="1" ht="15" hidden="1" customHeight="1" x14ac:dyDescent="0.3">
      <c r="A797" s="630" t="s">
        <v>674</v>
      </c>
      <c r="B797" s="631"/>
      <c r="C797" s="631"/>
      <c r="D797" s="631"/>
      <c r="E797" s="631"/>
      <c r="F797" s="631"/>
      <c r="G797" s="632"/>
      <c r="H797" s="584" t="s">
        <v>758</v>
      </c>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5"/>
      <c r="AL797" s="585"/>
      <c r="AM797" s="585"/>
      <c r="AN797" s="585"/>
      <c r="AO797" s="585"/>
      <c r="AP797" s="585"/>
      <c r="AQ797" s="585"/>
      <c r="AR797" s="585"/>
      <c r="AS797" s="585"/>
      <c r="AT797" s="586"/>
      <c r="AU797" s="475" t="s">
        <v>730</v>
      </c>
      <c r="AV797" s="476"/>
      <c r="AW797" s="476"/>
      <c r="AX797" s="476"/>
      <c r="AY797" s="476"/>
      <c r="AZ797" s="476"/>
      <c r="BA797" s="476"/>
      <c r="BB797" s="477"/>
      <c r="BC797" s="544">
        <v>10</v>
      </c>
      <c r="BD797" s="545"/>
      <c r="BE797" s="545"/>
      <c r="BF797" s="545"/>
      <c r="BG797" s="545"/>
      <c r="BH797" s="545"/>
      <c r="BI797" s="545"/>
      <c r="BJ797" s="545"/>
      <c r="BK797" s="545"/>
      <c r="BL797" s="545"/>
      <c r="BM797" s="545"/>
      <c r="BN797" s="545"/>
      <c r="BO797" s="545"/>
      <c r="BP797" s="545"/>
      <c r="BQ797" s="545"/>
      <c r="BR797" s="546"/>
      <c r="BS797" s="639">
        <v>46.72</v>
      </c>
      <c r="BT797" s="640"/>
      <c r="BU797" s="640"/>
      <c r="BV797" s="640"/>
      <c r="BW797" s="640"/>
      <c r="BX797" s="640"/>
      <c r="BY797" s="640"/>
      <c r="BZ797" s="640"/>
      <c r="CA797" s="640"/>
      <c r="CB797" s="640"/>
      <c r="CC797" s="640"/>
      <c r="CD797" s="640"/>
      <c r="CE797" s="640"/>
      <c r="CF797" s="640"/>
      <c r="CG797" s="640"/>
      <c r="CH797" s="641"/>
      <c r="CI797" s="627">
        <f t="shared" si="27"/>
        <v>467.2</v>
      </c>
      <c r="CJ797" s="628"/>
      <c r="CK797" s="628"/>
      <c r="CL797" s="628"/>
      <c r="CM797" s="628"/>
      <c r="CN797" s="628"/>
      <c r="CO797" s="628"/>
      <c r="CP797" s="628"/>
      <c r="CQ797" s="628"/>
      <c r="CR797" s="628"/>
      <c r="CS797" s="628"/>
      <c r="CT797" s="628"/>
      <c r="CU797" s="628"/>
      <c r="CV797" s="628"/>
      <c r="CW797" s="628"/>
      <c r="CX797" s="628"/>
      <c r="CY797" s="628"/>
      <c r="CZ797" s="629"/>
      <c r="DA797" s="214"/>
    </row>
    <row r="798" spans="1:105" s="16" customFormat="1" ht="15" hidden="1" customHeight="1" x14ac:dyDescent="0.3">
      <c r="A798" s="630" t="s">
        <v>675</v>
      </c>
      <c r="B798" s="631"/>
      <c r="C798" s="631"/>
      <c r="D798" s="631"/>
      <c r="E798" s="631"/>
      <c r="F798" s="631"/>
      <c r="G798" s="632"/>
      <c r="H798" s="584" t="s">
        <v>759</v>
      </c>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5"/>
      <c r="AL798" s="585"/>
      <c r="AM798" s="585"/>
      <c r="AN798" s="585"/>
      <c r="AO798" s="585"/>
      <c r="AP798" s="585"/>
      <c r="AQ798" s="585"/>
      <c r="AR798" s="585"/>
      <c r="AS798" s="585"/>
      <c r="AT798" s="586"/>
      <c r="AU798" s="475" t="s">
        <v>730</v>
      </c>
      <c r="AV798" s="476"/>
      <c r="AW798" s="476"/>
      <c r="AX798" s="476"/>
      <c r="AY798" s="476"/>
      <c r="AZ798" s="476"/>
      <c r="BA798" s="476"/>
      <c r="BB798" s="477"/>
      <c r="BC798" s="544">
        <v>5</v>
      </c>
      <c r="BD798" s="545"/>
      <c r="BE798" s="545"/>
      <c r="BF798" s="545"/>
      <c r="BG798" s="545"/>
      <c r="BH798" s="545"/>
      <c r="BI798" s="545"/>
      <c r="BJ798" s="545"/>
      <c r="BK798" s="545"/>
      <c r="BL798" s="545"/>
      <c r="BM798" s="545"/>
      <c r="BN798" s="545"/>
      <c r="BO798" s="545"/>
      <c r="BP798" s="545"/>
      <c r="BQ798" s="545"/>
      <c r="BR798" s="546"/>
      <c r="BS798" s="639">
        <v>45.160000000000004</v>
      </c>
      <c r="BT798" s="640"/>
      <c r="BU798" s="640"/>
      <c r="BV798" s="640"/>
      <c r="BW798" s="640"/>
      <c r="BX798" s="640"/>
      <c r="BY798" s="640"/>
      <c r="BZ798" s="640"/>
      <c r="CA798" s="640"/>
      <c r="CB798" s="640"/>
      <c r="CC798" s="640"/>
      <c r="CD798" s="640"/>
      <c r="CE798" s="640"/>
      <c r="CF798" s="640"/>
      <c r="CG798" s="640"/>
      <c r="CH798" s="641"/>
      <c r="CI798" s="627">
        <f t="shared" si="27"/>
        <v>225.8</v>
      </c>
      <c r="CJ798" s="628"/>
      <c r="CK798" s="628"/>
      <c r="CL798" s="628"/>
      <c r="CM798" s="628"/>
      <c r="CN798" s="628"/>
      <c r="CO798" s="628"/>
      <c r="CP798" s="628"/>
      <c r="CQ798" s="628"/>
      <c r="CR798" s="628"/>
      <c r="CS798" s="628"/>
      <c r="CT798" s="628"/>
      <c r="CU798" s="628"/>
      <c r="CV798" s="628"/>
      <c r="CW798" s="628"/>
      <c r="CX798" s="628"/>
      <c r="CY798" s="628"/>
      <c r="CZ798" s="629"/>
      <c r="DA798" s="214"/>
    </row>
    <row r="799" spans="1:105" s="16" customFormat="1" ht="15" hidden="1" customHeight="1" x14ac:dyDescent="0.3">
      <c r="A799" s="630" t="s">
        <v>760</v>
      </c>
      <c r="B799" s="631"/>
      <c r="C799" s="631"/>
      <c r="D799" s="631"/>
      <c r="E799" s="631"/>
      <c r="F799" s="631"/>
      <c r="G799" s="632"/>
      <c r="H799" s="584" t="s">
        <v>761</v>
      </c>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5"/>
      <c r="AL799" s="585"/>
      <c r="AM799" s="585"/>
      <c r="AN799" s="585"/>
      <c r="AO799" s="585"/>
      <c r="AP799" s="585"/>
      <c r="AQ799" s="585"/>
      <c r="AR799" s="585"/>
      <c r="AS799" s="585"/>
      <c r="AT799" s="586"/>
      <c r="AU799" s="475" t="s">
        <v>730</v>
      </c>
      <c r="AV799" s="476"/>
      <c r="AW799" s="476"/>
      <c r="AX799" s="476"/>
      <c r="AY799" s="476"/>
      <c r="AZ799" s="476"/>
      <c r="BA799" s="476"/>
      <c r="BB799" s="477"/>
      <c r="BC799" s="544">
        <v>10</v>
      </c>
      <c r="BD799" s="545"/>
      <c r="BE799" s="545"/>
      <c r="BF799" s="545"/>
      <c r="BG799" s="545"/>
      <c r="BH799" s="545"/>
      <c r="BI799" s="545"/>
      <c r="BJ799" s="545"/>
      <c r="BK799" s="545"/>
      <c r="BL799" s="545"/>
      <c r="BM799" s="545"/>
      <c r="BN799" s="545"/>
      <c r="BO799" s="545"/>
      <c r="BP799" s="545"/>
      <c r="BQ799" s="545"/>
      <c r="BR799" s="546"/>
      <c r="BS799" s="639">
        <v>5.26</v>
      </c>
      <c r="BT799" s="640"/>
      <c r="BU799" s="640"/>
      <c r="BV799" s="640"/>
      <c r="BW799" s="640"/>
      <c r="BX799" s="640"/>
      <c r="BY799" s="640"/>
      <c r="BZ799" s="640"/>
      <c r="CA799" s="640"/>
      <c r="CB799" s="640"/>
      <c r="CC799" s="640"/>
      <c r="CD799" s="640"/>
      <c r="CE799" s="640"/>
      <c r="CF799" s="640"/>
      <c r="CG799" s="640"/>
      <c r="CH799" s="641"/>
      <c r="CI799" s="627">
        <f t="shared" si="27"/>
        <v>52.599999999999994</v>
      </c>
      <c r="CJ799" s="628"/>
      <c r="CK799" s="628"/>
      <c r="CL799" s="628"/>
      <c r="CM799" s="628"/>
      <c r="CN799" s="628"/>
      <c r="CO799" s="628"/>
      <c r="CP799" s="628"/>
      <c r="CQ799" s="628"/>
      <c r="CR799" s="628"/>
      <c r="CS799" s="628"/>
      <c r="CT799" s="628"/>
      <c r="CU799" s="628"/>
      <c r="CV799" s="628"/>
      <c r="CW799" s="628"/>
      <c r="CX799" s="628"/>
      <c r="CY799" s="628"/>
      <c r="CZ799" s="629"/>
      <c r="DA799" s="214"/>
    </row>
    <row r="800" spans="1:105" s="16" customFormat="1" ht="15" hidden="1" customHeight="1" x14ac:dyDescent="0.3">
      <c r="A800" s="630" t="s">
        <v>762</v>
      </c>
      <c r="B800" s="631"/>
      <c r="C800" s="631"/>
      <c r="D800" s="631"/>
      <c r="E800" s="631"/>
      <c r="F800" s="631"/>
      <c r="G800" s="632"/>
      <c r="H800" s="584" t="s">
        <v>763</v>
      </c>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5"/>
      <c r="AL800" s="585"/>
      <c r="AM800" s="585"/>
      <c r="AN800" s="585"/>
      <c r="AO800" s="585"/>
      <c r="AP800" s="585"/>
      <c r="AQ800" s="585"/>
      <c r="AR800" s="585"/>
      <c r="AS800" s="585"/>
      <c r="AT800" s="586"/>
      <c r="AU800" s="475" t="s">
        <v>734</v>
      </c>
      <c r="AV800" s="476"/>
      <c r="AW800" s="476"/>
      <c r="AX800" s="476"/>
      <c r="AY800" s="476"/>
      <c r="AZ800" s="476"/>
      <c r="BA800" s="476"/>
      <c r="BB800" s="477"/>
      <c r="BC800" s="544">
        <v>10</v>
      </c>
      <c r="BD800" s="545"/>
      <c r="BE800" s="545"/>
      <c r="BF800" s="545"/>
      <c r="BG800" s="545"/>
      <c r="BH800" s="545"/>
      <c r="BI800" s="545"/>
      <c r="BJ800" s="545"/>
      <c r="BK800" s="545"/>
      <c r="BL800" s="545"/>
      <c r="BM800" s="545"/>
      <c r="BN800" s="545"/>
      <c r="BO800" s="545"/>
      <c r="BP800" s="545"/>
      <c r="BQ800" s="545"/>
      <c r="BR800" s="546"/>
      <c r="BS800" s="639">
        <v>12.25</v>
      </c>
      <c r="BT800" s="640"/>
      <c r="BU800" s="640"/>
      <c r="BV800" s="640"/>
      <c r="BW800" s="640"/>
      <c r="BX800" s="640"/>
      <c r="BY800" s="640"/>
      <c r="BZ800" s="640"/>
      <c r="CA800" s="640"/>
      <c r="CB800" s="640"/>
      <c r="CC800" s="640"/>
      <c r="CD800" s="640"/>
      <c r="CE800" s="640"/>
      <c r="CF800" s="640"/>
      <c r="CG800" s="640"/>
      <c r="CH800" s="641"/>
      <c r="CI800" s="627">
        <f t="shared" si="27"/>
        <v>122.5</v>
      </c>
      <c r="CJ800" s="628"/>
      <c r="CK800" s="628"/>
      <c r="CL800" s="628"/>
      <c r="CM800" s="628"/>
      <c r="CN800" s="628"/>
      <c r="CO800" s="628"/>
      <c r="CP800" s="628"/>
      <c r="CQ800" s="628"/>
      <c r="CR800" s="628"/>
      <c r="CS800" s="628"/>
      <c r="CT800" s="628"/>
      <c r="CU800" s="628"/>
      <c r="CV800" s="628"/>
      <c r="CW800" s="628"/>
      <c r="CX800" s="628"/>
      <c r="CY800" s="628"/>
      <c r="CZ800" s="629"/>
      <c r="DA800" s="214"/>
    </row>
    <row r="801" spans="1:105" s="16" customFormat="1" ht="15" hidden="1" customHeight="1" x14ac:dyDescent="0.3">
      <c r="A801" s="630" t="s">
        <v>764</v>
      </c>
      <c r="B801" s="631"/>
      <c r="C801" s="631"/>
      <c r="D801" s="631"/>
      <c r="E801" s="631"/>
      <c r="F801" s="631"/>
      <c r="G801" s="632"/>
      <c r="H801" s="584" t="s">
        <v>765</v>
      </c>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5"/>
      <c r="AL801" s="585"/>
      <c r="AM801" s="585"/>
      <c r="AN801" s="585"/>
      <c r="AO801" s="585"/>
      <c r="AP801" s="585"/>
      <c r="AQ801" s="585"/>
      <c r="AR801" s="585"/>
      <c r="AS801" s="585"/>
      <c r="AT801" s="586"/>
      <c r="AU801" s="475" t="s">
        <v>690</v>
      </c>
      <c r="AV801" s="476"/>
      <c r="AW801" s="476"/>
      <c r="AX801" s="476"/>
      <c r="AY801" s="476"/>
      <c r="AZ801" s="476"/>
      <c r="BA801" s="476"/>
      <c r="BB801" s="477"/>
      <c r="BC801" s="544">
        <v>600</v>
      </c>
      <c r="BD801" s="545"/>
      <c r="BE801" s="545"/>
      <c r="BF801" s="545"/>
      <c r="BG801" s="545"/>
      <c r="BH801" s="545"/>
      <c r="BI801" s="545"/>
      <c r="BJ801" s="545"/>
      <c r="BK801" s="545"/>
      <c r="BL801" s="545"/>
      <c r="BM801" s="545"/>
      <c r="BN801" s="545"/>
      <c r="BO801" s="545"/>
      <c r="BP801" s="545"/>
      <c r="BQ801" s="545"/>
      <c r="BR801" s="546"/>
      <c r="BS801" s="639">
        <v>5.2</v>
      </c>
      <c r="BT801" s="640"/>
      <c r="BU801" s="640"/>
      <c r="BV801" s="640"/>
      <c r="BW801" s="640"/>
      <c r="BX801" s="640"/>
      <c r="BY801" s="640"/>
      <c r="BZ801" s="640"/>
      <c r="CA801" s="640"/>
      <c r="CB801" s="640"/>
      <c r="CC801" s="640"/>
      <c r="CD801" s="640"/>
      <c r="CE801" s="640"/>
      <c r="CF801" s="640"/>
      <c r="CG801" s="640"/>
      <c r="CH801" s="641"/>
      <c r="CI801" s="627">
        <f t="shared" si="27"/>
        <v>3120</v>
      </c>
      <c r="CJ801" s="628"/>
      <c r="CK801" s="628"/>
      <c r="CL801" s="628"/>
      <c r="CM801" s="628"/>
      <c r="CN801" s="628"/>
      <c r="CO801" s="628"/>
      <c r="CP801" s="628"/>
      <c r="CQ801" s="628"/>
      <c r="CR801" s="628"/>
      <c r="CS801" s="628"/>
      <c r="CT801" s="628"/>
      <c r="CU801" s="628"/>
      <c r="CV801" s="628"/>
      <c r="CW801" s="628"/>
      <c r="CX801" s="628"/>
      <c r="CY801" s="628"/>
      <c r="CZ801" s="629"/>
      <c r="DA801" s="214"/>
    </row>
    <row r="802" spans="1:105" s="16" customFormat="1" ht="15" hidden="1" customHeight="1" x14ac:dyDescent="0.3">
      <c r="A802" s="630" t="s">
        <v>766</v>
      </c>
      <c r="B802" s="631"/>
      <c r="C802" s="631"/>
      <c r="D802" s="631"/>
      <c r="E802" s="631"/>
      <c r="F802" s="631"/>
      <c r="G802" s="632"/>
      <c r="H802" s="584" t="s">
        <v>767</v>
      </c>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5"/>
      <c r="AL802" s="585"/>
      <c r="AM802" s="585"/>
      <c r="AN802" s="585"/>
      <c r="AO802" s="585"/>
      <c r="AP802" s="585"/>
      <c r="AQ802" s="585"/>
      <c r="AR802" s="585"/>
      <c r="AS802" s="585"/>
      <c r="AT802" s="586"/>
      <c r="AU802" s="475" t="s">
        <v>730</v>
      </c>
      <c r="AV802" s="476"/>
      <c r="AW802" s="476"/>
      <c r="AX802" s="476"/>
      <c r="AY802" s="476"/>
      <c r="AZ802" s="476"/>
      <c r="BA802" s="476"/>
      <c r="BB802" s="477"/>
      <c r="BC802" s="544">
        <v>10</v>
      </c>
      <c r="BD802" s="545"/>
      <c r="BE802" s="545"/>
      <c r="BF802" s="545"/>
      <c r="BG802" s="545"/>
      <c r="BH802" s="545"/>
      <c r="BI802" s="545"/>
      <c r="BJ802" s="545"/>
      <c r="BK802" s="545"/>
      <c r="BL802" s="545"/>
      <c r="BM802" s="545"/>
      <c r="BN802" s="545"/>
      <c r="BO802" s="545"/>
      <c r="BP802" s="545"/>
      <c r="BQ802" s="545"/>
      <c r="BR802" s="546"/>
      <c r="BS802" s="639">
        <v>180</v>
      </c>
      <c r="BT802" s="640"/>
      <c r="BU802" s="640"/>
      <c r="BV802" s="640"/>
      <c r="BW802" s="640"/>
      <c r="BX802" s="640"/>
      <c r="BY802" s="640"/>
      <c r="BZ802" s="640"/>
      <c r="CA802" s="640"/>
      <c r="CB802" s="640"/>
      <c r="CC802" s="640"/>
      <c r="CD802" s="640"/>
      <c r="CE802" s="640"/>
      <c r="CF802" s="640"/>
      <c r="CG802" s="640"/>
      <c r="CH802" s="641"/>
      <c r="CI802" s="627">
        <f t="shared" si="27"/>
        <v>1800</v>
      </c>
      <c r="CJ802" s="628"/>
      <c r="CK802" s="628"/>
      <c r="CL802" s="628"/>
      <c r="CM802" s="628"/>
      <c r="CN802" s="628"/>
      <c r="CO802" s="628"/>
      <c r="CP802" s="628"/>
      <c r="CQ802" s="628"/>
      <c r="CR802" s="628"/>
      <c r="CS802" s="628"/>
      <c r="CT802" s="628"/>
      <c r="CU802" s="628"/>
      <c r="CV802" s="628"/>
      <c r="CW802" s="628"/>
      <c r="CX802" s="628"/>
      <c r="CY802" s="628"/>
      <c r="CZ802" s="629"/>
      <c r="DA802" s="214"/>
    </row>
    <row r="803" spans="1:105" s="16" customFormat="1" ht="15" hidden="1" customHeight="1" x14ac:dyDescent="0.3">
      <c r="A803" s="630" t="s">
        <v>768</v>
      </c>
      <c r="B803" s="631"/>
      <c r="C803" s="631"/>
      <c r="D803" s="631"/>
      <c r="E803" s="631"/>
      <c r="F803" s="631"/>
      <c r="G803" s="632"/>
      <c r="H803" s="584" t="s">
        <v>769</v>
      </c>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5"/>
      <c r="AL803" s="585"/>
      <c r="AM803" s="585"/>
      <c r="AN803" s="585"/>
      <c r="AO803" s="585"/>
      <c r="AP803" s="585"/>
      <c r="AQ803" s="585"/>
      <c r="AR803" s="585"/>
      <c r="AS803" s="585"/>
      <c r="AT803" s="586"/>
      <c r="AU803" s="475" t="s">
        <v>734</v>
      </c>
      <c r="AV803" s="476"/>
      <c r="AW803" s="476"/>
      <c r="AX803" s="476"/>
      <c r="AY803" s="476"/>
      <c r="AZ803" s="476"/>
      <c r="BA803" s="476"/>
      <c r="BB803" s="477"/>
      <c r="BC803" s="544">
        <v>20</v>
      </c>
      <c r="BD803" s="545"/>
      <c r="BE803" s="545"/>
      <c r="BF803" s="545"/>
      <c r="BG803" s="545"/>
      <c r="BH803" s="545"/>
      <c r="BI803" s="545"/>
      <c r="BJ803" s="545"/>
      <c r="BK803" s="545"/>
      <c r="BL803" s="545"/>
      <c r="BM803" s="545"/>
      <c r="BN803" s="545"/>
      <c r="BO803" s="545"/>
      <c r="BP803" s="545"/>
      <c r="BQ803" s="545"/>
      <c r="BR803" s="546"/>
      <c r="BS803" s="639">
        <v>10.199999999999999</v>
      </c>
      <c r="BT803" s="640"/>
      <c r="BU803" s="640"/>
      <c r="BV803" s="640"/>
      <c r="BW803" s="640"/>
      <c r="BX803" s="640"/>
      <c r="BY803" s="640"/>
      <c r="BZ803" s="640"/>
      <c r="CA803" s="640"/>
      <c r="CB803" s="640"/>
      <c r="CC803" s="640"/>
      <c r="CD803" s="640"/>
      <c r="CE803" s="640"/>
      <c r="CF803" s="640"/>
      <c r="CG803" s="640"/>
      <c r="CH803" s="641"/>
      <c r="CI803" s="627">
        <f t="shared" si="27"/>
        <v>204</v>
      </c>
      <c r="CJ803" s="628"/>
      <c r="CK803" s="628"/>
      <c r="CL803" s="628"/>
      <c r="CM803" s="628"/>
      <c r="CN803" s="628"/>
      <c r="CO803" s="628"/>
      <c r="CP803" s="628"/>
      <c r="CQ803" s="628"/>
      <c r="CR803" s="628"/>
      <c r="CS803" s="628"/>
      <c r="CT803" s="628"/>
      <c r="CU803" s="628"/>
      <c r="CV803" s="628"/>
      <c r="CW803" s="628"/>
      <c r="CX803" s="628"/>
      <c r="CY803" s="628"/>
      <c r="CZ803" s="629"/>
      <c r="DA803" s="214"/>
    </row>
    <row r="804" spans="1:105" s="16" customFormat="1" ht="15" hidden="1" customHeight="1" x14ac:dyDescent="0.3">
      <c r="A804" s="630" t="s">
        <v>770</v>
      </c>
      <c r="B804" s="631"/>
      <c r="C804" s="631"/>
      <c r="D804" s="631"/>
      <c r="E804" s="631"/>
      <c r="F804" s="631"/>
      <c r="G804" s="632"/>
      <c r="H804" s="584" t="s">
        <v>771</v>
      </c>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5"/>
      <c r="AL804" s="585"/>
      <c r="AM804" s="585"/>
      <c r="AN804" s="585"/>
      <c r="AO804" s="585"/>
      <c r="AP804" s="585"/>
      <c r="AQ804" s="585"/>
      <c r="AR804" s="585"/>
      <c r="AS804" s="585"/>
      <c r="AT804" s="586"/>
      <c r="AU804" s="475" t="s">
        <v>734</v>
      </c>
      <c r="AV804" s="476"/>
      <c r="AW804" s="476"/>
      <c r="AX804" s="476"/>
      <c r="AY804" s="476"/>
      <c r="AZ804" s="476"/>
      <c r="BA804" s="476"/>
      <c r="BB804" s="477"/>
      <c r="BC804" s="544">
        <v>6</v>
      </c>
      <c r="BD804" s="545"/>
      <c r="BE804" s="545"/>
      <c r="BF804" s="545"/>
      <c r="BG804" s="545"/>
      <c r="BH804" s="545"/>
      <c r="BI804" s="545"/>
      <c r="BJ804" s="545"/>
      <c r="BK804" s="545"/>
      <c r="BL804" s="545"/>
      <c r="BM804" s="545"/>
      <c r="BN804" s="545"/>
      <c r="BO804" s="545"/>
      <c r="BP804" s="545"/>
      <c r="BQ804" s="545"/>
      <c r="BR804" s="546"/>
      <c r="BS804" s="639">
        <v>18.96</v>
      </c>
      <c r="BT804" s="640"/>
      <c r="BU804" s="640"/>
      <c r="BV804" s="640"/>
      <c r="BW804" s="640"/>
      <c r="BX804" s="640"/>
      <c r="BY804" s="640"/>
      <c r="BZ804" s="640"/>
      <c r="CA804" s="640"/>
      <c r="CB804" s="640"/>
      <c r="CC804" s="640"/>
      <c r="CD804" s="640"/>
      <c r="CE804" s="640"/>
      <c r="CF804" s="640"/>
      <c r="CG804" s="640"/>
      <c r="CH804" s="641"/>
      <c r="CI804" s="627">
        <f t="shared" si="27"/>
        <v>113.76</v>
      </c>
      <c r="CJ804" s="628"/>
      <c r="CK804" s="628"/>
      <c r="CL804" s="628"/>
      <c r="CM804" s="628"/>
      <c r="CN804" s="628"/>
      <c r="CO804" s="628"/>
      <c r="CP804" s="628"/>
      <c r="CQ804" s="628"/>
      <c r="CR804" s="628"/>
      <c r="CS804" s="628"/>
      <c r="CT804" s="628"/>
      <c r="CU804" s="628"/>
      <c r="CV804" s="628"/>
      <c r="CW804" s="628"/>
      <c r="CX804" s="628"/>
      <c r="CY804" s="628"/>
      <c r="CZ804" s="629"/>
      <c r="DA804" s="214"/>
    </row>
    <row r="805" spans="1:105" s="16" customFormat="1" ht="15" hidden="1" customHeight="1" x14ac:dyDescent="0.3">
      <c r="A805" s="630" t="s">
        <v>772</v>
      </c>
      <c r="B805" s="631"/>
      <c r="C805" s="631"/>
      <c r="D805" s="631"/>
      <c r="E805" s="631"/>
      <c r="F805" s="631"/>
      <c r="G805" s="632"/>
      <c r="H805" s="584" t="s">
        <v>773</v>
      </c>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5"/>
      <c r="AL805" s="585"/>
      <c r="AM805" s="585"/>
      <c r="AN805" s="585"/>
      <c r="AO805" s="585"/>
      <c r="AP805" s="585"/>
      <c r="AQ805" s="585"/>
      <c r="AR805" s="585"/>
      <c r="AS805" s="585"/>
      <c r="AT805" s="586"/>
      <c r="AU805" s="475"/>
      <c r="AV805" s="476"/>
      <c r="AW805" s="476"/>
      <c r="AX805" s="476"/>
      <c r="AY805" s="476"/>
      <c r="AZ805" s="476"/>
      <c r="BA805" s="476"/>
      <c r="BB805" s="477"/>
      <c r="BC805" s="544">
        <v>15</v>
      </c>
      <c r="BD805" s="545"/>
      <c r="BE805" s="545"/>
      <c r="BF805" s="545"/>
      <c r="BG805" s="545"/>
      <c r="BH805" s="545"/>
      <c r="BI805" s="545"/>
      <c r="BJ805" s="545"/>
      <c r="BK805" s="545"/>
      <c r="BL805" s="545"/>
      <c r="BM805" s="545"/>
      <c r="BN805" s="545"/>
      <c r="BO805" s="545"/>
      <c r="BP805" s="545"/>
      <c r="BQ805" s="545"/>
      <c r="BR805" s="546"/>
      <c r="BS805" s="639">
        <v>25.886666666666667</v>
      </c>
      <c r="BT805" s="640"/>
      <c r="BU805" s="640"/>
      <c r="BV805" s="640"/>
      <c r="BW805" s="640"/>
      <c r="BX805" s="640"/>
      <c r="BY805" s="640"/>
      <c r="BZ805" s="640"/>
      <c r="CA805" s="640"/>
      <c r="CB805" s="640"/>
      <c r="CC805" s="640"/>
      <c r="CD805" s="640"/>
      <c r="CE805" s="640"/>
      <c r="CF805" s="640"/>
      <c r="CG805" s="640"/>
      <c r="CH805" s="641"/>
      <c r="CI805" s="627">
        <f t="shared" si="27"/>
        <v>388.3</v>
      </c>
      <c r="CJ805" s="628"/>
      <c r="CK805" s="628"/>
      <c r="CL805" s="628"/>
      <c r="CM805" s="628"/>
      <c r="CN805" s="628"/>
      <c r="CO805" s="628"/>
      <c r="CP805" s="628"/>
      <c r="CQ805" s="628"/>
      <c r="CR805" s="628"/>
      <c r="CS805" s="628"/>
      <c r="CT805" s="628"/>
      <c r="CU805" s="628"/>
      <c r="CV805" s="628"/>
      <c r="CW805" s="628"/>
      <c r="CX805" s="628"/>
      <c r="CY805" s="628"/>
      <c r="CZ805" s="629"/>
      <c r="DA805" s="214"/>
    </row>
    <row r="806" spans="1:105" s="16" customFormat="1" ht="15" hidden="1" customHeight="1" x14ac:dyDescent="0.3">
      <c r="A806" s="630" t="s">
        <v>774</v>
      </c>
      <c r="B806" s="631"/>
      <c r="C806" s="631"/>
      <c r="D806" s="631"/>
      <c r="E806" s="631"/>
      <c r="F806" s="631"/>
      <c r="G806" s="632"/>
      <c r="H806" s="584" t="s">
        <v>775</v>
      </c>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5"/>
      <c r="AL806" s="585"/>
      <c r="AM806" s="585"/>
      <c r="AN806" s="585"/>
      <c r="AO806" s="585"/>
      <c r="AP806" s="585"/>
      <c r="AQ806" s="585"/>
      <c r="AR806" s="585"/>
      <c r="AS806" s="585"/>
      <c r="AT806" s="586"/>
      <c r="AU806" s="475" t="s">
        <v>730</v>
      </c>
      <c r="AV806" s="476"/>
      <c r="AW806" s="476"/>
      <c r="AX806" s="476"/>
      <c r="AY806" s="476"/>
      <c r="AZ806" s="476"/>
      <c r="BA806" s="476"/>
      <c r="BB806" s="477"/>
      <c r="BC806" s="544">
        <v>10</v>
      </c>
      <c r="BD806" s="545"/>
      <c r="BE806" s="545"/>
      <c r="BF806" s="545"/>
      <c r="BG806" s="545"/>
      <c r="BH806" s="545"/>
      <c r="BI806" s="545"/>
      <c r="BJ806" s="545"/>
      <c r="BK806" s="545"/>
      <c r="BL806" s="545"/>
      <c r="BM806" s="545"/>
      <c r="BN806" s="545"/>
      <c r="BO806" s="545"/>
      <c r="BP806" s="545"/>
      <c r="BQ806" s="545"/>
      <c r="BR806" s="546"/>
      <c r="BS806" s="639">
        <v>153</v>
      </c>
      <c r="BT806" s="640"/>
      <c r="BU806" s="640"/>
      <c r="BV806" s="640"/>
      <c r="BW806" s="640"/>
      <c r="BX806" s="640"/>
      <c r="BY806" s="640"/>
      <c r="BZ806" s="640"/>
      <c r="CA806" s="640"/>
      <c r="CB806" s="640"/>
      <c r="CC806" s="640"/>
      <c r="CD806" s="640"/>
      <c r="CE806" s="640"/>
      <c r="CF806" s="640"/>
      <c r="CG806" s="640"/>
      <c r="CH806" s="641"/>
      <c r="CI806" s="627">
        <f t="shared" si="27"/>
        <v>1530</v>
      </c>
      <c r="CJ806" s="628"/>
      <c r="CK806" s="628"/>
      <c r="CL806" s="628"/>
      <c r="CM806" s="628"/>
      <c r="CN806" s="628"/>
      <c r="CO806" s="628"/>
      <c r="CP806" s="628"/>
      <c r="CQ806" s="628"/>
      <c r="CR806" s="628"/>
      <c r="CS806" s="628"/>
      <c r="CT806" s="628"/>
      <c r="CU806" s="628"/>
      <c r="CV806" s="628"/>
      <c r="CW806" s="628"/>
      <c r="CX806" s="628"/>
      <c r="CY806" s="628"/>
      <c r="CZ806" s="629"/>
      <c r="DA806" s="214"/>
    </row>
    <row r="807" spans="1:105" s="16" customFormat="1" ht="15" hidden="1" customHeight="1" x14ac:dyDescent="0.3">
      <c r="A807" s="630" t="s">
        <v>776</v>
      </c>
      <c r="B807" s="631"/>
      <c r="C807" s="631"/>
      <c r="D807" s="631"/>
      <c r="E807" s="631"/>
      <c r="F807" s="631"/>
      <c r="G807" s="632"/>
      <c r="H807" s="584" t="s">
        <v>777</v>
      </c>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5"/>
      <c r="AL807" s="585"/>
      <c r="AM807" s="585"/>
      <c r="AN807" s="585"/>
      <c r="AO807" s="585"/>
      <c r="AP807" s="585"/>
      <c r="AQ807" s="585"/>
      <c r="AR807" s="585"/>
      <c r="AS807" s="585"/>
      <c r="AT807" s="586"/>
      <c r="AU807" s="475" t="s">
        <v>730</v>
      </c>
      <c r="AV807" s="476"/>
      <c r="AW807" s="476"/>
      <c r="AX807" s="476"/>
      <c r="AY807" s="476"/>
      <c r="AZ807" s="476"/>
      <c r="BA807" s="476"/>
      <c r="BB807" s="477"/>
      <c r="BC807" s="544">
        <v>3</v>
      </c>
      <c r="BD807" s="545"/>
      <c r="BE807" s="545"/>
      <c r="BF807" s="545"/>
      <c r="BG807" s="545"/>
      <c r="BH807" s="545"/>
      <c r="BI807" s="545"/>
      <c r="BJ807" s="545"/>
      <c r="BK807" s="545"/>
      <c r="BL807" s="545"/>
      <c r="BM807" s="545"/>
      <c r="BN807" s="545"/>
      <c r="BO807" s="545"/>
      <c r="BP807" s="545"/>
      <c r="BQ807" s="545"/>
      <c r="BR807" s="546"/>
      <c r="BS807" s="639">
        <v>260</v>
      </c>
      <c r="BT807" s="640"/>
      <c r="BU807" s="640"/>
      <c r="BV807" s="640"/>
      <c r="BW807" s="640"/>
      <c r="BX807" s="640"/>
      <c r="BY807" s="640"/>
      <c r="BZ807" s="640"/>
      <c r="CA807" s="640"/>
      <c r="CB807" s="640"/>
      <c r="CC807" s="640"/>
      <c r="CD807" s="640"/>
      <c r="CE807" s="640"/>
      <c r="CF807" s="640"/>
      <c r="CG807" s="640"/>
      <c r="CH807" s="641"/>
      <c r="CI807" s="627">
        <f t="shared" si="27"/>
        <v>780</v>
      </c>
      <c r="CJ807" s="628"/>
      <c r="CK807" s="628"/>
      <c r="CL807" s="628"/>
      <c r="CM807" s="628"/>
      <c r="CN807" s="628"/>
      <c r="CO807" s="628"/>
      <c r="CP807" s="628"/>
      <c r="CQ807" s="628"/>
      <c r="CR807" s="628"/>
      <c r="CS807" s="628"/>
      <c r="CT807" s="628"/>
      <c r="CU807" s="628"/>
      <c r="CV807" s="628"/>
      <c r="CW807" s="628"/>
      <c r="CX807" s="628"/>
      <c r="CY807" s="628"/>
      <c r="CZ807" s="629"/>
      <c r="DA807" s="214"/>
    </row>
    <row r="808" spans="1:105" s="16" customFormat="1" ht="15" hidden="1" customHeight="1" x14ac:dyDescent="0.3">
      <c r="A808" s="630" t="s">
        <v>778</v>
      </c>
      <c r="B808" s="631"/>
      <c r="C808" s="631"/>
      <c r="D808" s="631"/>
      <c r="E808" s="631"/>
      <c r="F808" s="631"/>
      <c r="G808" s="632"/>
      <c r="H808" s="584" t="s">
        <v>779</v>
      </c>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5"/>
      <c r="AL808" s="585"/>
      <c r="AM808" s="585"/>
      <c r="AN808" s="585"/>
      <c r="AO808" s="585"/>
      <c r="AP808" s="585"/>
      <c r="AQ808" s="585"/>
      <c r="AR808" s="585"/>
      <c r="AS808" s="585"/>
      <c r="AT808" s="586"/>
      <c r="AU808" s="475" t="s">
        <v>730</v>
      </c>
      <c r="AV808" s="476"/>
      <c r="AW808" s="476"/>
      <c r="AX808" s="476"/>
      <c r="AY808" s="476"/>
      <c r="AZ808" s="476"/>
      <c r="BA808" s="476"/>
      <c r="BB808" s="477"/>
      <c r="BC808" s="544">
        <v>2</v>
      </c>
      <c r="BD808" s="545"/>
      <c r="BE808" s="545"/>
      <c r="BF808" s="545"/>
      <c r="BG808" s="545"/>
      <c r="BH808" s="545"/>
      <c r="BI808" s="545"/>
      <c r="BJ808" s="545"/>
      <c r="BK808" s="545"/>
      <c r="BL808" s="545"/>
      <c r="BM808" s="545"/>
      <c r="BN808" s="545"/>
      <c r="BO808" s="545"/>
      <c r="BP808" s="545"/>
      <c r="BQ808" s="545"/>
      <c r="BR808" s="546"/>
      <c r="BS808" s="639">
        <v>430</v>
      </c>
      <c r="BT808" s="640"/>
      <c r="BU808" s="640"/>
      <c r="BV808" s="640"/>
      <c r="BW808" s="640"/>
      <c r="BX808" s="640"/>
      <c r="BY808" s="640"/>
      <c r="BZ808" s="640"/>
      <c r="CA808" s="640"/>
      <c r="CB808" s="640"/>
      <c r="CC808" s="640"/>
      <c r="CD808" s="640"/>
      <c r="CE808" s="640"/>
      <c r="CF808" s="640"/>
      <c r="CG808" s="640"/>
      <c r="CH808" s="641"/>
      <c r="CI808" s="627">
        <f t="shared" si="27"/>
        <v>860</v>
      </c>
      <c r="CJ808" s="628"/>
      <c r="CK808" s="628"/>
      <c r="CL808" s="628"/>
      <c r="CM808" s="628"/>
      <c r="CN808" s="628"/>
      <c r="CO808" s="628"/>
      <c r="CP808" s="628"/>
      <c r="CQ808" s="628"/>
      <c r="CR808" s="628"/>
      <c r="CS808" s="628"/>
      <c r="CT808" s="628"/>
      <c r="CU808" s="628"/>
      <c r="CV808" s="628"/>
      <c r="CW808" s="628"/>
      <c r="CX808" s="628"/>
      <c r="CY808" s="628"/>
      <c r="CZ808" s="629"/>
      <c r="DA808" s="214"/>
    </row>
    <row r="809" spans="1:105" s="16" customFormat="1" ht="15" hidden="1" customHeight="1" x14ac:dyDescent="0.3">
      <c r="A809" s="630" t="s">
        <v>780</v>
      </c>
      <c r="B809" s="631"/>
      <c r="C809" s="631"/>
      <c r="D809" s="631"/>
      <c r="E809" s="631"/>
      <c r="F809" s="631"/>
      <c r="G809" s="632"/>
      <c r="H809" s="584" t="s">
        <v>781</v>
      </c>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5"/>
      <c r="AL809" s="585"/>
      <c r="AM809" s="585"/>
      <c r="AN809" s="585"/>
      <c r="AO809" s="585"/>
      <c r="AP809" s="585"/>
      <c r="AQ809" s="585"/>
      <c r="AR809" s="585"/>
      <c r="AS809" s="585"/>
      <c r="AT809" s="586"/>
      <c r="AU809" s="475" t="s">
        <v>730</v>
      </c>
      <c r="AV809" s="476"/>
      <c r="AW809" s="476"/>
      <c r="AX809" s="476"/>
      <c r="AY809" s="476"/>
      <c r="AZ809" s="476"/>
      <c r="BA809" s="476"/>
      <c r="BB809" s="477"/>
      <c r="BC809" s="544">
        <v>3</v>
      </c>
      <c r="BD809" s="545"/>
      <c r="BE809" s="545"/>
      <c r="BF809" s="545"/>
      <c r="BG809" s="545"/>
      <c r="BH809" s="545"/>
      <c r="BI809" s="545"/>
      <c r="BJ809" s="545"/>
      <c r="BK809" s="545"/>
      <c r="BL809" s="545"/>
      <c r="BM809" s="545"/>
      <c r="BN809" s="545"/>
      <c r="BO809" s="545"/>
      <c r="BP809" s="545"/>
      <c r="BQ809" s="545"/>
      <c r="BR809" s="546"/>
      <c r="BS809" s="639">
        <v>44.18</v>
      </c>
      <c r="BT809" s="640"/>
      <c r="BU809" s="640"/>
      <c r="BV809" s="640"/>
      <c r="BW809" s="640"/>
      <c r="BX809" s="640"/>
      <c r="BY809" s="640"/>
      <c r="BZ809" s="640"/>
      <c r="CA809" s="640"/>
      <c r="CB809" s="640"/>
      <c r="CC809" s="640"/>
      <c r="CD809" s="640"/>
      <c r="CE809" s="640"/>
      <c r="CF809" s="640"/>
      <c r="CG809" s="640"/>
      <c r="CH809" s="641"/>
      <c r="CI809" s="627">
        <f t="shared" si="27"/>
        <v>132.54</v>
      </c>
      <c r="CJ809" s="628"/>
      <c r="CK809" s="628"/>
      <c r="CL809" s="628"/>
      <c r="CM809" s="628"/>
      <c r="CN809" s="628"/>
      <c r="CO809" s="628"/>
      <c r="CP809" s="628"/>
      <c r="CQ809" s="628"/>
      <c r="CR809" s="628"/>
      <c r="CS809" s="628"/>
      <c r="CT809" s="628"/>
      <c r="CU809" s="628"/>
      <c r="CV809" s="628"/>
      <c r="CW809" s="628"/>
      <c r="CX809" s="628"/>
      <c r="CY809" s="628"/>
      <c r="CZ809" s="629"/>
      <c r="DA809" s="214"/>
    </row>
    <row r="810" spans="1:105" s="16" customFormat="1" ht="15" hidden="1" customHeight="1" x14ac:dyDescent="0.3">
      <c r="A810" s="630" t="s">
        <v>782</v>
      </c>
      <c r="B810" s="631"/>
      <c r="C810" s="631"/>
      <c r="D810" s="631"/>
      <c r="E810" s="631"/>
      <c r="F810" s="631"/>
      <c r="G810" s="632"/>
      <c r="H810" s="584" t="s">
        <v>783</v>
      </c>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5"/>
      <c r="AL810" s="585"/>
      <c r="AM810" s="585"/>
      <c r="AN810" s="585"/>
      <c r="AO810" s="585"/>
      <c r="AP810" s="585"/>
      <c r="AQ810" s="585"/>
      <c r="AR810" s="585"/>
      <c r="AS810" s="585"/>
      <c r="AT810" s="586"/>
      <c r="AU810" s="475" t="s">
        <v>730</v>
      </c>
      <c r="AV810" s="476"/>
      <c r="AW810" s="476"/>
      <c r="AX810" s="476"/>
      <c r="AY810" s="476"/>
      <c r="AZ810" s="476"/>
      <c r="BA810" s="476"/>
      <c r="BB810" s="477"/>
      <c r="BC810" s="544">
        <v>10</v>
      </c>
      <c r="BD810" s="545"/>
      <c r="BE810" s="545"/>
      <c r="BF810" s="545"/>
      <c r="BG810" s="545"/>
      <c r="BH810" s="545"/>
      <c r="BI810" s="545"/>
      <c r="BJ810" s="545"/>
      <c r="BK810" s="545"/>
      <c r="BL810" s="545"/>
      <c r="BM810" s="545"/>
      <c r="BN810" s="545"/>
      <c r="BO810" s="545"/>
      <c r="BP810" s="545"/>
      <c r="BQ810" s="545"/>
      <c r="BR810" s="546"/>
      <c r="BS810" s="639">
        <v>2.65</v>
      </c>
      <c r="BT810" s="640"/>
      <c r="BU810" s="640"/>
      <c r="BV810" s="640"/>
      <c r="BW810" s="640"/>
      <c r="BX810" s="640"/>
      <c r="BY810" s="640"/>
      <c r="BZ810" s="640"/>
      <c r="CA810" s="640"/>
      <c r="CB810" s="640"/>
      <c r="CC810" s="640"/>
      <c r="CD810" s="640"/>
      <c r="CE810" s="640"/>
      <c r="CF810" s="640"/>
      <c r="CG810" s="640"/>
      <c r="CH810" s="641"/>
      <c r="CI810" s="627">
        <f t="shared" si="27"/>
        <v>26.5</v>
      </c>
      <c r="CJ810" s="628"/>
      <c r="CK810" s="628"/>
      <c r="CL810" s="628"/>
      <c r="CM810" s="628"/>
      <c r="CN810" s="628"/>
      <c r="CO810" s="628"/>
      <c r="CP810" s="628"/>
      <c r="CQ810" s="628"/>
      <c r="CR810" s="628"/>
      <c r="CS810" s="628"/>
      <c r="CT810" s="628"/>
      <c r="CU810" s="628"/>
      <c r="CV810" s="628"/>
      <c r="CW810" s="628"/>
      <c r="CX810" s="628"/>
      <c r="CY810" s="628"/>
      <c r="CZ810" s="629"/>
      <c r="DA810" s="214"/>
    </row>
    <row r="811" spans="1:105" s="16" customFormat="1" ht="15" hidden="1" customHeight="1" x14ac:dyDescent="0.3">
      <c r="A811" s="630" t="s">
        <v>784</v>
      </c>
      <c r="B811" s="631"/>
      <c r="C811" s="631"/>
      <c r="D811" s="631"/>
      <c r="E811" s="631"/>
      <c r="F811" s="631"/>
      <c r="G811" s="632"/>
      <c r="H811" s="584" t="s">
        <v>785</v>
      </c>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5"/>
      <c r="AL811" s="585"/>
      <c r="AM811" s="585"/>
      <c r="AN811" s="585"/>
      <c r="AO811" s="585"/>
      <c r="AP811" s="585"/>
      <c r="AQ811" s="585"/>
      <c r="AR811" s="585"/>
      <c r="AS811" s="585"/>
      <c r="AT811" s="586"/>
      <c r="AU811" s="475" t="s">
        <v>730</v>
      </c>
      <c r="AV811" s="476"/>
      <c r="AW811" s="476"/>
      <c r="AX811" s="476"/>
      <c r="AY811" s="476"/>
      <c r="AZ811" s="476"/>
      <c r="BA811" s="476"/>
      <c r="BB811" s="477"/>
      <c r="BC811" s="544">
        <v>15</v>
      </c>
      <c r="BD811" s="545"/>
      <c r="BE811" s="545"/>
      <c r="BF811" s="545"/>
      <c r="BG811" s="545"/>
      <c r="BH811" s="545"/>
      <c r="BI811" s="545"/>
      <c r="BJ811" s="545"/>
      <c r="BK811" s="545"/>
      <c r="BL811" s="545"/>
      <c r="BM811" s="545"/>
      <c r="BN811" s="545"/>
      <c r="BO811" s="545"/>
      <c r="BP811" s="545"/>
      <c r="BQ811" s="545"/>
      <c r="BR811" s="546"/>
      <c r="BS811" s="639">
        <v>27.6</v>
      </c>
      <c r="BT811" s="640"/>
      <c r="BU811" s="640"/>
      <c r="BV811" s="640"/>
      <c r="BW811" s="640"/>
      <c r="BX811" s="640"/>
      <c r="BY811" s="640"/>
      <c r="BZ811" s="640"/>
      <c r="CA811" s="640"/>
      <c r="CB811" s="640"/>
      <c r="CC811" s="640"/>
      <c r="CD811" s="640"/>
      <c r="CE811" s="640"/>
      <c r="CF811" s="640"/>
      <c r="CG811" s="640"/>
      <c r="CH811" s="641"/>
      <c r="CI811" s="627">
        <f t="shared" si="27"/>
        <v>414</v>
      </c>
      <c r="CJ811" s="628"/>
      <c r="CK811" s="628"/>
      <c r="CL811" s="628"/>
      <c r="CM811" s="628"/>
      <c r="CN811" s="628"/>
      <c r="CO811" s="628"/>
      <c r="CP811" s="628"/>
      <c r="CQ811" s="628"/>
      <c r="CR811" s="628"/>
      <c r="CS811" s="628"/>
      <c r="CT811" s="628"/>
      <c r="CU811" s="628"/>
      <c r="CV811" s="628"/>
      <c r="CW811" s="628"/>
      <c r="CX811" s="628"/>
      <c r="CY811" s="628"/>
      <c r="CZ811" s="629"/>
      <c r="DA811" s="214"/>
    </row>
    <row r="812" spans="1:105" s="16" customFormat="1" ht="15" hidden="1" customHeight="1" x14ac:dyDescent="0.3">
      <c r="A812" s="630" t="s">
        <v>786</v>
      </c>
      <c r="B812" s="631"/>
      <c r="C812" s="631"/>
      <c r="D812" s="631"/>
      <c r="E812" s="631"/>
      <c r="F812" s="631"/>
      <c r="G812" s="632"/>
      <c r="H812" s="584" t="s">
        <v>787</v>
      </c>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5"/>
      <c r="AL812" s="585"/>
      <c r="AM812" s="585"/>
      <c r="AN812" s="585"/>
      <c r="AO812" s="585"/>
      <c r="AP812" s="585"/>
      <c r="AQ812" s="585"/>
      <c r="AR812" s="585"/>
      <c r="AS812" s="585"/>
      <c r="AT812" s="586"/>
      <c r="AU812" s="475" t="s">
        <v>730</v>
      </c>
      <c r="AV812" s="476"/>
      <c r="AW812" s="476"/>
      <c r="AX812" s="476"/>
      <c r="AY812" s="476"/>
      <c r="AZ812" s="476"/>
      <c r="BA812" s="476"/>
      <c r="BB812" s="477"/>
      <c r="BC812" s="544">
        <v>36</v>
      </c>
      <c r="BD812" s="545"/>
      <c r="BE812" s="545"/>
      <c r="BF812" s="545"/>
      <c r="BG812" s="545"/>
      <c r="BH812" s="545"/>
      <c r="BI812" s="545"/>
      <c r="BJ812" s="545"/>
      <c r="BK812" s="545"/>
      <c r="BL812" s="545"/>
      <c r="BM812" s="545"/>
      <c r="BN812" s="545"/>
      <c r="BO812" s="545"/>
      <c r="BP812" s="545"/>
      <c r="BQ812" s="545"/>
      <c r="BR812" s="546"/>
      <c r="BS812" s="639">
        <v>7.8000000000000007</v>
      </c>
      <c r="BT812" s="640"/>
      <c r="BU812" s="640"/>
      <c r="BV812" s="640"/>
      <c r="BW812" s="640"/>
      <c r="BX812" s="640"/>
      <c r="BY812" s="640"/>
      <c r="BZ812" s="640"/>
      <c r="CA812" s="640"/>
      <c r="CB812" s="640"/>
      <c r="CC812" s="640"/>
      <c r="CD812" s="640"/>
      <c r="CE812" s="640"/>
      <c r="CF812" s="640"/>
      <c r="CG812" s="640"/>
      <c r="CH812" s="641"/>
      <c r="CI812" s="627">
        <f t="shared" si="27"/>
        <v>280.8</v>
      </c>
      <c r="CJ812" s="628"/>
      <c r="CK812" s="628"/>
      <c r="CL812" s="628"/>
      <c r="CM812" s="628"/>
      <c r="CN812" s="628"/>
      <c r="CO812" s="628"/>
      <c r="CP812" s="628"/>
      <c r="CQ812" s="628"/>
      <c r="CR812" s="628"/>
      <c r="CS812" s="628"/>
      <c r="CT812" s="628"/>
      <c r="CU812" s="628"/>
      <c r="CV812" s="628"/>
      <c r="CW812" s="628"/>
      <c r="CX812" s="628"/>
      <c r="CY812" s="628"/>
      <c r="CZ812" s="629"/>
      <c r="DA812" s="214"/>
    </row>
    <row r="813" spans="1:105" s="16" customFormat="1" ht="15" hidden="1" customHeight="1" x14ac:dyDescent="0.3">
      <c r="A813" s="630" t="s">
        <v>788</v>
      </c>
      <c r="B813" s="631"/>
      <c r="C813" s="631"/>
      <c r="D813" s="631"/>
      <c r="E813" s="631"/>
      <c r="F813" s="631"/>
      <c r="G813" s="632"/>
      <c r="H813" s="584" t="s">
        <v>789</v>
      </c>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5"/>
      <c r="AL813" s="585"/>
      <c r="AM813" s="585"/>
      <c r="AN813" s="585"/>
      <c r="AO813" s="585"/>
      <c r="AP813" s="585"/>
      <c r="AQ813" s="585"/>
      <c r="AR813" s="585"/>
      <c r="AS813" s="585"/>
      <c r="AT813" s="586"/>
      <c r="AU813" s="475" t="s">
        <v>730</v>
      </c>
      <c r="AV813" s="476"/>
      <c r="AW813" s="476"/>
      <c r="AX813" s="476"/>
      <c r="AY813" s="476"/>
      <c r="AZ813" s="476"/>
      <c r="BA813" s="476"/>
      <c r="BB813" s="477"/>
      <c r="BC813" s="544">
        <v>10</v>
      </c>
      <c r="BD813" s="545"/>
      <c r="BE813" s="545"/>
      <c r="BF813" s="545"/>
      <c r="BG813" s="545"/>
      <c r="BH813" s="545"/>
      <c r="BI813" s="545"/>
      <c r="BJ813" s="545"/>
      <c r="BK813" s="545"/>
      <c r="BL813" s="545"/>
      <c r="BM813" s="545"/>
      <c r="BN813" s="545"/>
      <c r="BO813" s="545"/>
      <c r="BP813" s="545"/>
      <c r="BQ813" s="545"/>
      <c r="BR813" s="546"/>
      <c r="BS813" s="639">
        <v>19.73</v>
      </c>
      <c r="BT813" s="640"/>
      <c r="BU813" s="640"/>
      <c r="BV813" s="640"/>
      <c r="BW813" s="640"/>
      <c r="BX813" s="640"/>
      <c r="BY813" s="640"/>
      <c r="BZ813" s="640"/>
      <c r="CA813" s="640"/>
      <c r="CB813" s="640"/>
      <c r="CC813" s="640"/>
      <c r="CD813" s="640"/>
      <c r="CE813" s="640"/>
      <c r="CF813" s="640"/>
      <c r="CG813" s="640"/>
      <c r="CH813" s="641"/>
      <c r="CI813" s="627">
        <f t="shared" si="27"/>
        <v>197.3</v>
      </c>
      <c r="CJ813" s="628"/>
      <c r="CK813" s="628"/>
      <c r="CL813" s="628"/>
      <c r="CM813" s="628"/>
      <c r="CN813" s="628"/>
      <c r="CO813" s="628"/>
      <c r="CP813" s="628"/>
      <c r="CQ813" s="628"/>
      <c r="CR813" s="628"/>
      <c r="CS813" s="628"/>
      <c r="CT813" s="628"/>
      <c r="CU813" s="628"/>
      <c r="CV813" s="628"/>
      <c r="CW813" s="628"/>
      <c r="CX813" s="628"/>
      <c r="CY813" s="628"/>
      <c r="CZ813" s="629"/>
      <c r="DA813" s="214"/>
    </row>
    <row r="814" spans="1:105" s="16" customFormat="1" ht="15" hidden="1" customHeight="1" x14ac:dyDescent="0.3">
      <c r="A814" s="630" t="s">
        <v>790</v>
      </c>
      <c r="B814" s="631"/>
      <c r="C814" s="631"/>
      <c r="D814" s="631"/>
      <c r="E814" s="631"/>
      <c r="F814" s="631"/>
      <c r="G814" s="632"/>
      <c r="H814" s="584" t="s">
        <v>791</v>
      </c>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5"/>
      <c r="AL814" s="585"/>
      <c r="AM814" s="585"/>
      <c r="AN814" s="585"/>
      <c r="AO814" s="585"/>
      <c r="AP814" s="585"/>
      <c r="AQ814" s="585"/>
      <c r="AR814" s="585"/>
      <c r="AS814" s="585"/>
      <c r="AT814" s="586"/>
      <c r="AU814" s="475" t="s">
        <v>730</v>
      </c>
      <c r="AV814" s="476"/>
      <c r="AW814" s="476"/>
      <c r="AX814" s="476"/>
      <c r="AY814" s="476"/>
      <c r="AZ814" s="476"/>
      <c r="BA814" s="476"/>
      <c r="BB814" s="477"/>
      <c r="BC814" s="544">
        <v>10</v>
      </c>
      <c r="BD814" s="545"/>
      <c r="BE814" s="545"/>
      <c r="BF814" s="545"/>
      <c r="BG814" s="545"/>
      <c r="BH814" s="545"/>
      <c r="BI814" s="545"/>
      <c r="BJ814" s="545"/>
      <c r="BK814" s="545"/>
      <c r="BL814" s="545"/>
      <c r="BM814" s="545"/>
      <c r="BN814" s="545"/>
      <c r="BO814" s="545"/>
      <c r="BP814" s="545"/>
      <c r="BQ814" s="545"/>
      <c r="BR814" s="546"/>
      <c r="BS814" s="639">
        <v>5.08</v>
      </c>
      <c r="BT814" s="640"/>
      <c r="BU814" s="640"/>
      <c r="BV814" s="640"/>
      <c r="BW814" s="640"/>
      <c r="BX814" s="640"/>
      <c r="BY814" s="640"/>
      <c r="BZ814" s="640"/>
      <c r="CA814" s="640"/>
      <c r="CB814" s="640"/>
      <c r="CC814" s="640"/>
      <c r="CD814" s="640"/>
      <c r="CE814" s="640"/>
      <c r="CF814" s="640"/>
      <c r="CG814" s="640"/>
      <c r="CH814" s="641"/>
      <c r="CI814" s="627">
        <f t="shared" si="27"/>
        <v>50.8</v>
      </c>
      <c r="CJ814" s="628"/>
      <c r="CK814" s="628"/>
      <c r="CL814" s="628"/>
      <c r="CM814" s="628"/>
      <c r="CN814" s="628"/>
      <c r="CO814" s="628"/>
      <c r="CP814" s="628"/>
      <c r="CQ814" s="628"/>
      <c r="CR814" s="628"/>
      <c r="CS814" s="628"/>
      <c r="CT814" s="628"/>
      <c r="CU814" s="628"/>
      <c r="CV814" s="628"/>
      <c r="CW814" s="628"/>
      <c r="CX814" s="628"/>
      <c r="CY814" s="628"/>
      <c r="CZ814" s="629"/>
      <c r="DA814" s="214"/>
    </row>
    <row r="815" spans="1:105" s="16" customFormat="1" ht="15" hidden="1" customHeight="1" x14ac:dyDescent="0.3">
      <c r="A815" s="630" t="s">
        <v>792</v>
      </c>
      <c r="B815" s="631"/>
      <c r="C815" s="631"/>
      <c r="D815" s="631"/>
      <c r="E815" s="631"/>
      <c r="F815" s="631"/>
      <c r="G815" s="632"/>
      <c r="H815" s="584" t="s">
        <v>793</v>
      </c>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5"/>
      <c r="AL815" s="585"/>
      <c r="AM815" s="585"/>
      <c r="AN815" s="585"/>
      <c r="AO815" s="585"/>
      <c r="AP815" s="585"/>
      <c r="AQ815" s="585"/>
      <c r="AR815" s="585"/>
      <c r="AS815" s="585"/>
      <c r="AT815" s="586"/>
      <c r="AU815" s="475" t="s">
        <v>690</v>
      </c>
      <c r="AV815" s="476"/>
      <c r="AW815" s="476"/>
      <c r="AX815" s="476"/>
      <c r="AY815" s="476"/>
      <c r="AZ815" s="476"/>
      <c r="BA815" s="476"/>
      <c r="BB815" s="477"/>
      <c r="BC815" s="544">
        <v>15</v>
      </c>
      <c r="BD815" s="545"/>
      <c r="BE815" s="545"/>
      <c r="BF815" s="545"/>
      <c r="BG815" s="545"/>
      <c r="BH815" s="545"/>
      <c r="BI815" s="545"/>
      <c r="BJ815" s="545"/>
      <c r="BK815" s="545"/>
      <c r="BL815" s="545"/>
      <c r="BM815" s="545"/>
      <c r="BN815" s="545"/>
      <c r="BO815" s="545"/>
      <c r="BP815" s="545"/>
      <c r="BQ815" s="545"/>
      <c r="BR815" s="546"/>
      <c r="BS815" s="639">
        <v>6.5</v>
      </c>
      <c r="BT815" s="640"/>
      <c r="BU815" s="640"/>
      <c r="BV815" s="640"/>
      <c r="BW815" s="640"/>
      <c r="BX815" s="640"/>
      <c r="BY815" s="640"/>
      <c r="BZ815" s="640"/>
      <c r="CA815" s="640"/>
      <c r="CB815" s="640"/>
      <c r="CC815" s="640"/>
      <c r="CD815" s="640"/>
      <c r="CE815" s="640"/>
      <c r="CF815" s="640"/>
      <c r="CG815" s="640"/>
      <c r="CH815" s="641"/>
      <c r="CI815" s="627">
        <f t="shared" si="27"/>
        <v>97.5</v>
      </c>
      <c r="CJ815" s="628"/>
      <c r="CK815" s="628"/>
      <c r="CL815" s="628"/>
      <c r="CM815" s="628"/>
      <c r="CN815" s="628"/>
      <c r="CO815" s="628"/>
      <c r="CP815" s="628"/>
      <c r="CQ815" s="628"/>
      <c r="CR815" s="628"/>
      <c r="CS815" s="628"/>
      <c r="CT815" s="628"/>
      <c r="CU815" s="628"/>
      <c r="CV815" s="628"/>
      <c r="CW815" s="628"/>
      <c r="CX815" s="628"/>
      <c r="CY815" s="628"/>
      <c r="CZ815" s="629"/>
      <c r="DA815" s="214"/>
    </row>
    <row r="816" spans="1:105" s="16" customFormat="1" ht="15" hidden="1" customHeight="1" x14ac:dyDescent="0.3">
      <c r="A816" s="630" t="s">
        <v>794</v>
      </c>
      <c r="B816" s="631"/>
      <c r="C816" s="631"/>
      <c r="D816" s="631"/>
      <c r="E816" s="631"/>
      <c r="F816" s="631"/>
      <c r="G816" s="632"/>
      <c r="H816" s="584" t="s">
        <v>795</v>
      </c>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5"/>
      <c r="AL816" s="585"/>
      <c r="AM816" s="585"/>
      <c r="AN816" s="585"/>
      <c r="AO816" s="585"/>
      <c r="AP816" s="585"/>
      <c r="AQ816" s="585"/>
      <c r="AR816" s="585"/>
      <c r="AS816" s="585"/>
      <c r="AT816" s="586"/>
      <c r="AU816" s="475" t="s">
        <v>690</v>
      </c>
      <c r="AV816" s="476"/>
      <c r="AW816" s="476"/>
      <c r="AX816" s="476"/>
      <c r="AY816" s="476"/>
      <c r="AZ816" s="476"/>
      <c r="BA816" s="476"/>
      <c r="BB816" s="477"/>
      <c r="BC816" s="544">
        <v>45</v>
      </c>
      <c r="BD816" s="545"/>
      <c r="BE816" s="545"/>
      <c r="BF816" s="545"/>
      <c r="BG816" s="545"/>
      <c r="BH816" s="545"/>
      <c r="BI816" s="545"/>
      <c r="BJ816" s="545"/>
      <c r="BK816" s="545"/>
      <c r="BL816" s="545"/>
      <c r="BM816" s="545"/>
      <c r="BN816" s="545"/>
      <c r="BO816" s="545"/>
      <c r="BP816" s="545"/>
      <c r="BQ816" s="545"/>
      <c r="BR816" s="546"/>
      <c r="BS816" s="639">
        <v>2.5714285714285716</v>
      </c>
      <c r="BT816" s="640"/>
      <c r="BU816" s="640"/>
      <c r="BV816" s="640"/>
      <c r="BW816" s="640"/>
      <c r="BX816" s="640"/>
      <c r="BY816" s="640"/>
      <c r="BZ816" s="640"/>
      <c r="CA816" s="640"/>
      <c r="CB816" s="640"/>
      <c r="CC816" s="640"/>
      <c r="CD816" s="640"/>
      <c r="CE816" s="640"/>
      <c r="CF816" s="640"/>
      <c r="CG816" s="640"/>
      <c r="CH816" s="641"/>
      <c r="CI816" s="627">
        <f t="shared" si="27"/>
        <v>115.71428571428572</v>
      </c>
      <c r="CJ816" s="628"/>
      <c r="CK816" s="628"/>
      <c r="CL816" s="628"/>
      <c r="CM816" s="628"/>
      <c r="CN816" s="628"/>
      <c r="CO816" s="628"/>
      <c r="CP816" s="628"/>
      <c r="CQ816" s="628"/>
      <c r="CR816" s="628"/>
      <c r="CS816" s="628"/>
      <c r="CT816" s="628"/>
      <c r="CU816" s="628"/>
      <c r="CV816" s="628"/>
      <c r="CW816" s="628"/>
      <c r="CX816" s="628"/>
      <c r="CY816" s="628"/>
      <c r="CZ816" s="629"/>
      <c r="DA816" s="214"/>
    </row>
    <row r="817" spans="1:105" s="16" customFormat="1" ht="15" hidden="1" customHeight="1" x14ac:dyDescent="0.3">
      <c r="A817" s="630" t="s">
        <v>796</v>
      </c>
      <c r="B817" s="631"/>
      <c r="C817" s="631"/>
      <c r="D817" s="631"/>
      <c r="E817" s="631"/>
      <c r="F817" s="631"/>
      <c r="G817" s="632"/>
      <c r="H817" s="584" t="s">
        <v>797</v>
      </c>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5"/>
      <c r="AL817" s="585"/>
      <c r="AM817" s="585"/>
      <c r="AN817" s="585"/>
      <c r="AO817" s="585"/>
      <c r="AP817" s="585"/>
      <c r="AQ817" s="585"/>
      <c r="AR817" s="585"/>
      <c r="AS817" s="585"/>
      <c r="AT817" s="586"/>
      <c r="AU817" s="475" t="s">
        <v>730</v>
      </c>
      <c r="AV817" s="476"/>
      <c r="AW817" s="476"/>
      <c r="AX817" s="476"/>
      <c r="AY817" s="476"/>
      <c r="AZ817" s="476"/>
      <c r="BA817" s="476"/>
      <c r="BB817" s="477"/>
      <c r="BC817" s="544">
        <v>5</v>
      </c>
      <c r="BD817" s="545"/>
      <c r="BE817" s="545"/>
      <c r="BF817" s="545"/>
      <c r="BG817" s="545"/>
      <c r="BH817" s="545"/>
      <c r="BI817" s="545"/>
      <c r="BJ817" s="545"/>
      <c r="BK817" s="545"/>
      <c r="BL817" s="545"/>
      <c r="BM817" s="545"/>
      <c r="BN817" s="545"/>
      <c r="BO817" s="545"/>
      <c r="BP817" s="545"/>
      <c r="BQ817" s="545"/>
      <c r="BR817" s="546"/>
      <c r="BS817" s="639">
        <v>37.619999999999997</v>
      </c>
      <c r="BT817" s="640"/>
      <c r="BU817" s="640"/>
      <c r="BV817" s="640"/>
      <c r="BW817" s="640"/>
      <c r="BX817" s="640"/>
      <c r="BY817" s="640"/>
      <c r="BZ817" s="640"/>
      <c r="CA817" s="640"/>
      <c r="CB817" s="640"/>
      <c r="CC817" s="640"/>
      <c r="CD817" s="640"/>
      <c r="CE817" s="640"/>
      <c r="CF817" s="640"/>
      <c r="CG817" s="640"/>
      <c r="CH817" s="641"/>
      <c r="CI817" s="627">
        <f t="shared" si="27"/>
        <v>188.1</v>
      </c>
      <c r="CJ817" s="628"/>
      <c r="CK817" s="628"/>
      <c r="CL817" s="628"/>
      <c r="CM817" s="628"/>
      <c r="CN817" s="628"/>
      <c r="CO817" s="628"/>
      <c r="CP817" s="628"/>
      <c r="CQ817" s="628"/>
      <c r="CR817" s="628"/>
      <c r="CS817" s="628"/>
      <c r="CT817" s="628"/>
      <c r="CU817" s="628"/>
      <c r="CV817" s="628"/>
      <c r="CW817" s="628"/>
      <c r="CX817" s="628"/>
      <c r="CY817" s="628"/>
      <c r="CZ817" s="629"/>
      <c r="DA817" s="214"/>
    </row>
    <row r="818" spans="1:105" s="16" customFormat="1" ht="15" customHeight="1" x14ac:dyDescent="0.3">
      <c r="A818" s="630"/>
      <c r="B818" s="631"/>
      <c r="C818" s="631"/>
      <c r="D818" s="631"/>
      <c r="E818" s="631"/>
      <c r="F818" s="631"/>
      <c r="G818" s="632"/>
      <c r="H818" s="651"/>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c r="AI818" s="652"/>
      <c r="AJ818" s="652"/>
      <c r="AK818" s="652"/>
      <c r="AL818" s="652"/>
      <c r="AM818" s="652"/>
      <c r="AN818" s="652"/>
      <c r="AO818" s="652"/>
      <c r="AP818" s="652"/>
      <c r="AQ818" s="652"/>
      <c r="AR818" s="652"/>
      <c r="AS818" s="652"/>
      <c r="AT818" s="653"/>
      <c r="AU818" s="475"/>
      <c r="AV818" s="476"/>
      <c r="AW818" s="476"/>
      <c r="AX818" s="476"/>
      <c r="AY818" s="476"/>
      <c r="AZ818" s="476"/>
      <c r="BA818" s="476"/>
      <c r="BB818" s="477"/>
      <c r="BC818" s="544"/>
      <c r="BD818" s="545"/>
      <c r="BE818" s="545"/>
      <c r="BF818" s="545"/>
      <c r="BG818" s="545"/>
      <c r="BH818" s="545"/>
      <c r="BI818" s="545"/>
      <c r="BJ818" s="545"/>
      <c r="BK818" s="545"/>
      <c r="BL818" s="545"/>
      <c r="BM818" s="545"/>
      <c r="BN818" s="545"/>
      <c r="BO818" s="545"/>
      <c r="BP818" s="545"/>
      <c r="BQ818" s="545"/>
      <c r="BR818" s="546"/>
      <c r="BS818" s="639"/>
      <c r="BT818" s="640"/>
      <c r="BU818" s="640"/>
      <c r="BV818" s="640"/>
      <c r="BW818" s="640"/>
      <c r="BX818" s="640"/>
      <c r="BY818" s="640"/>
      <c r="BZ818" s="640"/>
      <c r="CA818" s="640"/>
      <c r="CB818" s="640"/>
      <c r="CC818" s="640"/>
      <c r="CD818" s="640"/>
      <c r="CE818" s="640"/>
      <c r="CF818" s="640"/>
      <c r="CG818" s="640"/>
      <c r="CH818" s="641"/>
      <c r="CI818" s="627"/>
      <c r="CJ818" s="628"/>
      <c r="CK818" s="628"/>
      <c r="CL818" s="628"/>
      <c r="CM818" s="628"/>
      <c r="CN818" s="628"/>
      <c r="CO818" s="628"/>
      <c r="CP818" s="628"/>
      <c r="CQ818" s="628"/>
      <c r="CR818" s="628"/>
      <c r="CS818" s="628"/>
      <c r="CT818" s="628"/>
      <c r="CU818" s="628"/>
      <c r="CV818" s="628"/>
      <c r="CW818" s="628"/>
      <c r="CX818" s="628"/>
      <c r="CY818" s="628"/>
      <c r="CZ818" s="629"/>
      <c r="DA818" s="214"/>
    </row>
    <row r="819" spans="1:105" s="16" customFormat="1" ht="15" customHeight="1" x14ac:dyDescent="0.3">
      <c r="A819" s="630"/>
      <c r="B819" s="631"/>
      <c r="C819" s="631"/>
      <c r="D819" s="631"/>
      <c r="E819" s="631"/>
      <c r="F819" s="631"/>
      <c r="G819" s="632"/>
      <c r="H819" s="651" t="s">
        <v>691</v>
      </c>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c r="AI819" s="652"/>
      <c r="AJ819" s="652"/>
      <c r="AK819" s="652"/>
      <c r="AL819" s="652"/>
      <c r="AM819" s="652"/>
      <c r="AN819" s="652"/>
      <c r="AO819" s="652"/>
      <c r="AP819" s="652"/>
      <c r="AQ819" s="652"/>
      <c r="AR819" s="652"/>
      <c r="AS819" s="652"/>
      <c r="AT819" s="653"/>
      <c r="AU819" s="475"/>
      <c r="AV819" s="476"/>
      <c r="AW819" s="476"/>
      <c r="AX819" s="476"/>
      <c r="AY819" s="476"/>
      <c r="AZ819" s="476"/>
      <c r="BA819" s="476"/>
      <c r="BB819" s="477"/>
      <c r="BC819" s="647">
        <f>SUM(BC820:BR835)</f>
        <v>50</v>
      </c>
      <c r="BD819" s="637"/>
      <c r="BE819" s="637"/>
      <c r="BF819" s="637"/>
      <c r="BG819" s="637"/>
      <c r="BH819" s="637"/>
      <c r="BI819" s="637"/>
      <c r="BJ819" s="637"/>
      <c r="BK819" s="637"/>
      <c r="BL819" s="637"/>
      <c r="BM819" s="637"/>
      <c r="BN819" s="637"/>
      <c r="BO819" s="637"/>
      <c r="BP819" s="637"/>
      <c r="BQ819" s="637"/>
      <c r="BR819" s="638"/>
      <c r="BS819" s="644">
        <f>BS820</f>
        <v>687.97979999999995</v>
      </c>
      <c r="BT819" s="645"/>
      <c r="BU819" s="645"/>
      <c r="BV819" s="645"/>
      <c r="BW819" s="645"/>
      <c r="BX819" s="645"/>
      <c r="BY819" s="645"/>
      <c r="BZ819" s="645"/>
      <c r="CA819" s="645"/>
      <c r="CB819" s="645"/>
      <c r="CC819" s="645"/>
      <c r="CD819" s="645"/>
      <c r="CE819" s="645"/>
      <c r="CF819" s="645"/>
      <c r="CG819" s="645"/>
      <c r="CH819" s="646"/>
      <c r="CI819" s="636">
        <f>SUM(CI820:CZ835)</f>
        <v>34398.99</v>
      </c>
      <c r="CJ819" s="654"/>
      <c r="CK819" s="654"/>
      <c r="CL819" s="654"/>
      <c r="CM819" s="654"/>
      <c r="CN819" s="654"/>
      <c r="CO819" s="654"/>
      <c r="CP819" s="654"/>
      <c r="CQ819" s="654"/>
      <c r="CR819" s="654"/>
      <c r="CS819" s="654"/>
      <c r="CT819" s="654"/>
      <c r="CU819" s="654"/>
      <c r="CV819" s="654"/>
      <c r="CW819" s="654"/>
      <c r="CX819" s="654"/>
      <c r="CY819" s="654"/>
      <c r="CZ819" s="655"/>
      <c r="DA819" s="214"/>
    </row>
    <row r="820" spans="1:105" s="16" customFormat="1" ht="15" hidden="1" customHeight="1" x14ac:dyDescent="0.3">
      <c r="A820" s="630"/>
      <c r="B820" s="631"/>
      <c r="C820" s="631"/>
      <c r="D820" s="631"/>
      <c r="E820" s="631"/>
      <c r="F820" s="631"/>
      <c r="G820" s="632"/>
      <c r="H820" s="584" t="s">
        <v>932</v>
      </c>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5"/>
      <c r="AL820" s="585"/>
      <c r="AM820" s="585"/>
      <c r="AN820" s="585"/>
      <c r="AO820" s="585"/>
      <c r="AP820" s="585"/>
      <c r="AQ820" s="585"/>
      <c r="AR820" s="585"/>
      <c r="AS820" s="585"/>
      <c r="AT820" s="586"/>
      <c r="AU820" s="475" t="s">
        <v>690</v>
      </c>
      <c r="AV820" s="476"/>
      <c r="AW820" s="476"/>
      <c r="AX820" s="476"/>
      <c r="AY820" s="476"/>
      <c r="AZ820" s="476"/>
      <c r="BA820" s="476"/>
      <c r="BB820" s="477"/>
      <c r="BC820" s="627">
        <v>50</v>
      </c>
      <c r="BD820" s="628"/>
      <c r="BE820" s="628"/>
      <c r="BF820" s="628"/>
      <c r="BG820" s="628"/>
      <c r="BH820" s="628"/>
      <c r="BI820" s="628"/>
      <c r="BJ820" s="628"/>
      <c r="BK820" s="628"/>
      <c r="BL820" s="628"/>
      <c r="BM820" s="628"/>
      <c r="BN820" s="628"/>
      <c r="BO820" s="628"/>
      <c r="BP820" s="628"/>
      <c r="BQ820" s="628"/>
      <c r="BR820" s="629"/>
      <c r="BS820" s="681">
        <f>CI820/BC820</f>
        <v>687.97979999999995</v>
      </c>
      <c r="BT820" s="681"/>
      <c r="BU820" s="681"/>
      <c r="BV820" s="681"/>
      <c r="BW820" s="681"/>
      <c r="BX820" s="681"/>
      <c r="BY820" s="681"/>
      <c r="BZ820" s="681"/>
      <c r="CA820" s="681"/>
      <c r="CB820" s="681"/>
      <c r="CC820" s="681"/>
      <c r="CD820" s="681"/>
      <c r="CE820" s="681"/>
      <c r="CF820" s="681"/>
      <c r="CG820" s="681"/>
      <c r="CH820" s="681"/>
      <c r="CI820" s="627">
        <v>34398.99</v>
      </c>
      <c r="CJ820" s="628"/>
      <c r="CK820" s="628"/>
      <c r="CL820" s="628"/>
      <c r="CM820" s="628"/>
      <c r="CN820" s="628"/>
      <c r="CO820" s="628"/>
      <c r="CP820" s="628"/>
      <c r="CQ820" s="628"/>
      <c r="CR820" s="628"/>
      <c r="CS820" s="628"/>
      <c r="CT820" s="628"/>
      <c r="CU820" s="628"/>
      <c r="CV820" s="628"/>
      <c r="CW820" s="628"/>
      <c r="CX820" s="628"/>
      <c r="CY820" s="628"/>
      <c r="CZ820" s="629"/>
      <c r="DA820" s="214"/>
    </row>
    <row r="821" spans="1:105" s="16" customFormat="1" ht="15" hidden="1" customHeight="1" x14ac:dyDescent="0.3">
      <c r="A821" s="630"/>
      <c r="B821" s="631"/>
      <c r="C821" s="631"/>
      <c r="D821" s="631"/>
      <c r="E821" s="631"/>
      <c r="F821" s="631"/>
      <c r="G821" s="632"/>
      <c r="H821" s="584" t="s">
        <v>933</v>
      </c>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5"/>
      <c r="AL821" s="585"/>
      <c r="AM821" s="585"/>
      <c r="AN821" s="585"/>
      <c r="AO821" s="585"/>
      <c r="AP821" s="585"/>
      <c r="AQ821" s="585"/>
      <c r="AR821" s="585"/>
      <c r="AS821" s="585"/>
      <c r="AT821" s="586"/>
      <c r="AU821" s="475" t="s">
        <v>459</v>
      </c>
      <c r="AV821" s="476"/>
      <c r="AW821" s="476"/>
      <c r="AX821" s="476"/>
      <c r="AY821" s="476"/>
      <c r="AZ821" s="476"/>
      <c r="BA821" s="476"/>
      <c r="BB821" s="477"/>
      <c r="BC821" s="627">
        <v>0</v>
      </c>
      <c r="BD821" s="628"/>
      <c r="BE821" s="628"/>
      <c r="BF821" s="628"/>
      <c r="BG821" s="628"/>
      <c r="BH821" s="628"/>
      <c r="BI821" s="628"/>
      <c r="BJ821" s="628"/>
      <c r="BK821" s="628"/>
      <c r="BL821" s="628"/>
      <c r="BM821" s="628"/>
      <c r="BN821" s="628"/>
      <c r="BO821" s="628"/>
      <c r="BP821" s="628"/>
      <c r="BQ821" s="628"/>
      <c r="BR821" s="629"/>
      <c r="BS821" s="681" t="e">
        <f t="shared" ref="BS821:BS824" si="28">CI821/BC821</f>
        <v>#DIV/0!</v>
      </c>
      <c r="BT821" s="681"/>
      <c r="BU821" s="681"/>
      <c r="BV821" s="681"/>
      <c r="BW821" s="681"/>
      <c r="BX821" s="681"/>
      <c r="BY821" s="681"/>
      <c r="BZ821" s="681"/>
      <c r="CA821" s="681"/>
      <c r="CB821" s="681"/>
      <c r="CC821" s="681"/>
      <c r="CD821" s="681"/>
      <c r="CE821" s="681"/>
      <c r="CF821" s="681"/>
      <c r="CG821" s="681"/>
      <c r="CH821" s="681"/>
      <c r="CI821" s="627"/>
      <c r="CJ821" s="628"/>
      <c r="CK821" s="628"/>
      <c r="CL821" s="628"/>
      <c r="CM821" s="628"/>
      <c r="CN821" s="628"/>
      <c r="CO821" s="628"/>
      <c r="CP821" s="628"/>
      <c r="CQ821" s="628"/>
      <c r="CR821" s="628"/>
      <c r="CS821" s="628"/>
      <c r="CT821" s="628"/>
      <c r="CU821" s="628"/>
      <c r="CV821" s="628"/>
      <c r="CW821" s="628"/>
      <c r="CX821" s="628"/>
      <c r="CY821" s="628"/>
      <c r="CZ821" s="629"/>
      <c r="DA821" s="214"/>
    </row>
    <row r="822" spans="1:105" s="16" customFormat="1" ht="15" hidden="1" customHeight="1" x14ac:dyDescent="0.3">
      <c r="A822" s="630"/>
      <c r="B822" s="631"/>
      <c r="C822" s="631"/>
      <c r="D822" s="631"/>
      <c r="E822" s="631"/>
      <c r="F822" s="631"/>
      <c r="G822" s="632"/>
      <c r="H822" s="584" t="s">
        <v>934</v>
      </c>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5"/>
      <c r="AL822" s="585"/>
      <c r="AM822" s="585"/>
      <c r="AN822" s="585"/>
      <c r="AO822" s="585"/>
      <c r="AP822" s="585"/>
      <c r="AQ822" s="585"/>
      <c r="AR822" s="585"/>
      <c r="AS822" s="585"/>
      <c r="AT822" s="586"/>
      <c r="AU822" s="475" t="s">
        <v>690</v>
      </c>
      <c r="AV822" s="476"/>
      <c r="AW822" s="476"/>
      <c r="AX822" s="476"/>
      <c r="AY822" s="476"/>
      <c r="AZ822" s="476"/>
      <c r="BA822" s="476"/>
      <c r="BB822" s="477"/>
      <c r="BC822" s="627">
        <v>0</v>
      </c>
      <c r="BD822" s="628"/>
      <c r="BE822" s="628"/>
      <c r="BF822" s="628"/>
      <c r="BG822" s="628"/>
      <c r="BH822" s="628"/>
      <c r="BI822" s="628"/>
      <c r="BJ822" s="628"/>
      <c r="BK822" s="628"/>
      <c r="BL822" s="628"/>
      <c r="BM822" s="628"/>
      <c r="BN822" s="628"/>
      <c r="BO822" s="628"/>
      <c r="BP822" s="628"/>
      <c r="BQ822" s="628"/>
      <c r="BR822" s="629"/>
      <c r="BS822" s="681" t="e">
        <f t="shared" si="28"/>
        <v>#DIV/0!</v>
      </c>
      <c r="BT822" s="681"/>
      <c r="BU822" s="681"/>
      <c r="BV822" s="681"/>
      <c r="BW822" s="681"/>
      <c r="BX822" s="681"/>
      <c r="BY822" s="681"/>
      <c r="BZ822" s="681"/>
      <c r="CA822" s="681"/>
      <c r="CB822" s="681"/>
      <c r="CC822" s="681"/>
      <c r="CD822" s="681"/>
      <c r="CE822" s="681"/>
      <c r="CF822" s="681"/>
      <c r="CG822" s="681"/>
      <c r="CH822" s="681"/>
      <c r="CI822" s="627"/>
      <c r="CJ822" s="628"/>
      <c r="CK822" s="628"/>
      <c r="CL822" s="628"/>
      <c r="CM822" s="628"/>
      <c r="CN822" s="628"/>
      <c r="CO822" s="628"/>
      <c r="CP822" s="628"/>
      <c r="CQ822" s="628"/>
      <c r="CR822" s="628"/>
      <c r="CS822" s="628"/>
      <c r="CT822" s="628"/>
      <c r="CU822" s="628"/>
      <c r="CV822" s="628"/>
      <c r="CW822" s="628"/>
      <c r="CX822" s="628"/>
      <c r="CY822" s="628"/>
      <c r="CZ822" s="629"/>
      <c r="DA822" s="214"/>
    </row>
    <row r="823" spans="1:105" s="16" customFormat="1" ht="15" hidden="1" customHeight="1" x14ac:dyDescent="0.3">
      <c r="A823" s="630"/>
      <c r="B823" s="631"/>
      <c r="C823" s="631"/>
      <c r="D823" s="631"/>
      <c r="E823" s="631"/>
      <c r="F823" s="631"/>
      <c r="G823" s="632"/>
      <c r="H823" s="584" t="s">
        <v>935</v>
      </c>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5"/>
      <c r="AL823" s="585"/>
      <c r="AM823" s="585"/>
      <c r="AN823" s="585"/>
      <c r="AO823" s="585"/>
      <c r="AP823" s="585"/>
      <c r="AQ823" s="585"/>
      <c r="AR823" s="585"/>
      <c r="AS823" s="585"/>
      <c r="AT823" s="586"/>
      <c r="AU823" s="475" t="s">
        <v>459</v>
      </c>
      <c r="AV823" s="476"/>
      <c r="AW823" s="476"/>
      <c r="AX823" s="476"/>
      <c r="AY823" s="476"/>
      <c r="AZ823" s="476"/>
      <c r="BA823" s="476"/>
      <c r="BB823" s="477"/>
      <c r="BC823" s="627">
        <v>0</v>
      </c>
      <c r="BD823" s="628"/>
      <c r="BE823" s="628"/>
      <c r="BF823" s="628"/>
      <c r="BG823" s="628"/>
      <c r="BH823" s="628"/>
      <c r="BI823" s="628"/>
      <c r="BJ823" s="628"/>
      <c r="BK823" s="628"/>
      <c r="BL823" s="628"/>
      <c r="BM823" s="628"/>
      <c r="BN823" s="628"/>
      <c r="BO823" s="628"/>
      <c r="BP823" s="628"/>
      <c r="BQ823" s="628"/>
      <c r="BR823" s="629"/>
      <c r="BS823" s="681" t="e">
        <f t="shared" si="28"/>
        <v>#DIV/0!</v>
      </c>
      <c r="BT823" s="681"/>
      <c r="BU823" s="681"/>
      <c r="BV823" s="681"/>
      <c r="BW823" s="681"/>
      <c r="BX823" s="681"/>
      <c r="BY823" s="681"/>
      <c r="BZ823" s="681"/>
      <c r="CA823" s="681"/>
      <c r="CB823" s="681"/>
      <c r="CC823" s="681"/>
      <c r="CD823" s="681"/>
      <c r="CE823" s="681"/>
      <c r="CF823" s="681"/>
      <c r="CG823" s="681"/>
      <c r="CH823" s="681"/>
      <c r="CI823" s="627"/>
      <c r="CJ823" s="628"/>
      <c r="CK823" s="628"/>
      <c r="CL823" s="628"/>
      <c r="CM823" s="628"/>
      <c r="CN823" s="628"/>
      <c r="CO823" s="628"/>
      <c r="CP823" s="628"/>
      <c r="CQ823" s="628"/>
      <c r="CR823" s="628"/>
      <c r="CS823" s="628"/>
      <c r="CT823" s="628"/>
      <c r="CU823" s="628"/>
      <c r="CV823" s="628"/>
      <c r="CW823" s="628"/>
      <c r="CX823" s="628"/>
      <c r="CY823" s="628"/>
      <c r="CZ823" s="629"/>
      <c r="DA823" s="214"/>
    </row>
    <row r="824" spans="1:105" s="16" customFormat="1" ht="15" hidden="1" customHeight="1" x14ac:dyDescent="0.3">
      <c r="A824" s="630"/>
      <c r="B824" s="631"/>
      <c r="C824" s="631"/>
      <c r="D824" s="631"/>
      <c r="E824" s="631"/>
      <c r="F824" s="631"/>
      <c r="G824" s="632"/>
      <c r="H824" s="584" t="s">
        <v>936</v>
      </c>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5"/>
      <c r="AL824" s="585"/>
      <c r="AM824" s="585"/>
      <c r="AN824" s="585"/>
      <c r="AO824" s="585"/>
      <c r="AP824" s="585"/>
      <c r="AQ824" s="585"/>
      <c r="AR824" s="585"/>
      <c r="AS824" s="585"/>
      <c r="AT824" s="586"/>
      <c r="AU824" s="475" t="s">
        <v>690</v>
      </c>
      <c r="AV824" s="476"/>
      <c r="AW824" s="476"/>
      <c r="AX824" s="476"/>
      <c r="AY824" s="476"/>
      <c r="AZ824" s="476"/>
      <c r="BA824" s="476"/>
      <c r="BB824" s="477"/>
      <c r="BC824" s="627">
        <v>0</v>
      </c>
      <c r="BD824" s="628"/>
      <c r="BE824" s="628"/>
      <c r="BF824" s="628"/>
      <c r="BG824" s="628"/>
      <c r="BH824" s="628"/>
      <c r="BI824" s="628"/>
      <c r="BJ824" s="628"/>
      <c r="BK824" s="628"/>
      <c r="BL824" s="628"/>
      <c r="BM824" s="628"/>
      <c r="BN824" s="628"/>
      <c r="BO824" s="628"/>
      <c r="BP824" s="628"/>
      <c r="BQ824" s="628"/>
      <c r="BR824" s="629"/>
      <c r="BS824" s="681" t="e">
        <f t="shared" si="28"/>
        <v>#DIV/0!</v>
      </c>
      <c r="BT824" s="681"/>
      <c r="BU824" s="681"/>
      <c r="BV824" s="681"/>
      <c r="BW824" s="681"/>
      <c r="BX824" s="681"/>
      <c r="BY824" s="681"/>
      <c r="BZ824" s="681"/>
      <c r="CA824" s="681"/>
      <c r="CB824" s="681"/>
      <c r="CC824" s="681"/>
      <c r="CD824" s="681"/>
      <c r="CE824" s="681"/>
      <c r="CF824" s="681"/>
      <c r="CG824" s="681"/>
      <c r="CH824" s="681"/>
      <c r="CI824" s="627"/>
      <c r="CJ824" s="628"/>
      <c r="CK824" s="628"/>
      <c r="CL824" s="628"/>
      <c r="CM824" s="628"/>
      <c r="CN824" s="628"/>
      <c r="CO824" s="628"/>
      <c r="CP824" s="628"/>
      <c r="CQ824" s="628"/>
      <c r="CR824" s="628"/>
      <c r="CS824" s="628"/>
      <c r="CT824" s="628"/>
      <c r="CU824" s="628"/>
      <c r="CV824" s="628"/>
      <c r="CW824" s="628"/>
      <c r="CX824" s="628"/>
      <c r="CY824" s="628"/>
      <c r="CZ824" s="629"/>
      <c r="DA824" s="214"/>
    </row>
    <row r="825" spans="1:105" s="16" customFormat="1" ht="15" hidden="1" customHeight="1" x14ac:dyDescent="0.3">
      <c r="A825" s="630"/>
      <c r="B825" s="631"/>
      <c r="C825" s="631"/>
      <c r="D825" s="631"/>
      <c r="E825" s="631"/>
      <c r="F825" s="631"/>
      <c r="G825" s="632"/>
      <c r="H825" s="584" t="s">
        <v>937</v>
      </c>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5"/>
      <c r="AL825" s="585"/>
      <c r="AM825" s="585"/>
      <c r="AN825" s="585"/>
      <c r="AO825" s="585"/>
      <c r="AP825" s="585"/>
      <c r="AQ825" s="585"/>
      <c r="AR825" s="585"/>
      <c r="AS825" s="585"/>
      <c r="AT825" s="586"/>
      <c r="AU825" s="475" t="s">
        <v>690</v>
      </c>
      <c r="AV825" s="476"/>
      <c r="AW825" s="476"/>
      <c r="AX825" s="476"/>
      <c r="AY825" s="476"/>
      <c r="AZ825" s="476"/>
      <c r="BA825" s="476"/>
      <c r="BB825" s="477"/>
      <c r="BC825" s="627">
        <v>0</v>
      </c>
      <c r="BD825" s="628"/>
      <c r="BE825" s="628"/>
      <c r="BF825" s="628"/>
      <c r="BG825" s="628"/>
      <c r="BH825" s="628"/>
      <c r="BI825" s="628"/>
      <c r="BJ825" s="628"/>
      <c r="BK825" s="628"/>
      <c r="BL825" s="628"/>
      <c r="BM825" s="628"/>
      <c r="BN825" s="628"/>
      <c r="BO825" s="628"/>
      <c r="BP825" s="628"/>
      <c r="BQ825" s="628"/>
      <c r="BR825" s="629"/>
      <c r="BS825" s="681" t="e">
        <f t="shared" ref="BS825:BS829" si="29">CI825/BC825</f>
        <v>#DIV/0!</v>
      </c>
      <c r="BT825" s="681"/>
      <c r="BU825" s="681"/>
      <c r="BV825" s="681"/>
      <c r="BW825" s="681"/>
      <c r="BX825" s="681"/>
      <c r="BY825" s="681"/>
      <c r="BZ825" s="681"/>
      <c r="CA825" s="681"/>
      <c r="CB825" s="681"/>
      <c r="CC825" s="681"/>
      <c r="CD825" s="681"/>
      <c r="CE825" s="681"/>
      <c r="CF825" s="681"/>
      <c r="CG825" s="681"/>
      <c r="CH825" s="681"/>
      <c r="CI825" s="627"/>
      <c r="CJ825" s="628"/>
      <c r="CK825" s="628"/>
      <c r="CL825" s="628"/>
      <c r="CM825" s="628"/>
      <c r="CN825" s="628"/>
      <c r="CO825" s="628"/>
      <c r="CP825" s="628"/>
      <c r="CQ825" s="628"/>
      <c r="CR825" s="628"/>
      <c r="CS825" s="628"/>
      <c r="CT825" s="628"/>
      <c r="CU825" s="628"/>
      <c r="CV825" s="628"/>
      <c r="CW825" s="628"/>
      <c r="CX825" s="628"/>
      <c r="CY825" s="628"/>
      <c r="CZ825" s="629"/>
      <c r="DA825" s="214"/>
    </row>
    <row r="826" spans="1:105" s="16" customFormat="1" ht="15" hidden="1" customHeight="1" x14ac:dyDescent="0.3">
      <c r="A826" s="630"/>
      <c r="B826" s="631"/>
      <c r="C826" s="631"/>
      <c r="D826" s="631"/>
      <c r="E826" s="631"/>
      <c r="F826" s="631"/>
      <c r="G826" s="632"/>
      <c r="H826" s="584" t="s">
        <v>930</v>
      </c>
      <c r="I826" s="585"/>
      <c r="J826" s="585"/>
      <c r="K826" s="585"/>
      <c r="L826" s="585"/>
      <c r="M826" s="585"/>
      <c r="N826" s="585"/>
      <c r="O826" s="585"/>
      <c r="P826" s="585"/>
      <c r="Q826" s="585"/>
      <c r="R826" s="585"/>
      <c r="S826" s="585"/>
      <c r="T826" s="585"/>
      <c r="U826" s="585"/>
      <c r="V826" s="585"/>
      <c r="W826" s="585"/>
      <c r="X826" s="585"/>
      <c r="Y826" s="585"/>
      <c r="Z826" s="585"/>
      <c r="AA826" s="585"/>
      <c r="AB826" s="585"/>
      <c r="AC826" s="585"/>
      <c r="AD826" s="585"/>
      <c r="AE826" s="585"/>
      <c r="AF826" s="585"/>
      <c r="AG826" s="585"/>
      <c r="AH826" s="585"/>
      <c r="AI826" s="585"/>
      <c r="AJ826" s="585"/>
      <c r="AK826" s="585"/>
      <c r="AL826" s="585"/>
      <c r="AM826" s="585"/>
      <c r="AN826" s="585"/>
      <c r="AO826" s="585"/>
      <c r="AP826" s="585"/>
      <c r="AQ826" s="585"/>
      <c r="AR826" s="585"/>
      <c r="AS826" s="585"/>
      <c r="AT826" s="586"/>
      <c r="AU826" s="475" t="s">
        <v>690</v>
      </c>
      <c r="AV826" s="476"/>
      <c r="AW826" s="476"/>
      <c r="AX826" s="476"/>
      <c r="AY826" s="476"/>
      <c r="AZ826" s="476"/>
      <c r="BA826" s="476"/>
      <c r="BB826" s="477"/>
      <c r="BC826" s="627">
        <v>0</v>
      </c>
      <c r="BD826" s="628"/>
      <c r="BE826" s="628"/>
      <c r="BF826" s="628"/>
      <c r="BG826" s="628"/>
      <c r="BH826" s="628"/>
      <c r="BI826" s="628"/>
      <c r="BJ826" s="628"/>
      <c r="BK826" s="628"/>
      <c r="BL826" s="628"/>
      <c r="BM826" s="628"/>
      <c r="BN826" s="628"/>
      <c r="BO826" s="628"/>
      <c r="BP826" s="628"/>
      <c r="BQ826" s="628"/>
      <c r="BR826" s="629"/>
      <c r="BS826" s="681" t="e">
        <f t="shared" si="29"/>
        <v>#DIV/0!</v>
      </c>
      <c r="BT826" s="681"/>
      <c r="BU826" s="681"/>
      <c r="BV826" s="681"/>
      <c r="BW826" s="681"/>
      <c r="BX826" s="681"/>
      <c r="BY826" s="681"/>
      <c r="BZ826" s="681"/>
      <c r="CA826" s="681"/>
      <c r="CB826" s="681"/>
      <c r="CC826" s="681"/>
      <c r="CD826" s="681"/>
      <c r="CE826" s="681"/>
      <c r="CF826" s="681"/>
      <c r="CG826" s="681"/>
      <c r="CH826" s="681"/>
      <c r="CI826" s="627"/>
      <c r="CJ826" s="628"/>
      <c r="CK826" s="628"/>
      <c r="CL826" s="628"/>
      <c r="CM826" s="628"/>
      <c r="CN826" s="628"/>
      <c r="CO826" s="628"/>
      <c r="CP826" s="628"/>
      <c r="CQ826" s="628"/>
      <c r="CR826" s="628"/>
      <c r="CS826" s="628"/>
      <c r="CT826" s="628"/>
      <c r="CU826" s="628"/>
      <c r="CV826" s="628"/>
      <c r="CW826" s="628"/>
      <c r="CX826" s="628"/>
      <c r="CY826" s="628"/>
      <c r="CZ826" s="629"/>
      <c r="DA826" s="214"/>
    </row>
    <row r="827" spans="1:105" s="16" customFormat="1" ht="15" hidden="1" customHeight="1" x14ac:dyDescent="0.3">
      <c r="A827" s="630"/>
      <c r="B827" s="631"/>
      <c r="C827" s="631"/>
      <c r="D827" s="631"/>
      <c r="E827" s="631"/>
      <c r="F827" s="631"/>
      <c r="G827" s="632"/>
      <c r="H827" s="584" t="s">
        <v>694</v>
      </c>
      <c r="I827" s="585"/>
      <c r="J827" s="585"/>
      <c r="K827" s="585"/>
      <c r="L827" s="585"/>
      <c r="M827" s="585"/>
      <c r="N827" s="585"/>
      <c r="O827" s="585"/>
      <c r="P827" s="585"/>
      <c r="Q827" s="585"/>
      <c r="R827" s="585"/>
      <c r="S827" s="585"/>
      <c r="T827" s="585"/>
      <c r="U827" s="585"/>
      <c r="V827" s="585"/>
      <c r="W827" s="585"/>
      <c r="X827" s="585"/>
      <c r="Y827" s="585"/>
      <c r="Z827" s="585"/>
      <c r="AA827" s="585"/>
      <c r="AB827" s="585"/>
      <c r="AC827" s="585"/>
      <c r="AD827" s="585"/>
      <c r="AE827" s="585"/>
      <c r="AF827" s="585"/>
      <c r="AG827" s="585"/>
      <c r="AH827" s="585"/>
      <c r="AI827" s="585"/>
      <c r="AJ827" s="585"/>
      <c r="AK827" s="585"/>
      <c r="AL827" s="585"/>
      <c r="AM827" s="585"/>
      <c r="AN827" s="585"/>
      <c r="AO827" s="585"/>
      <c r="AP827" s="585"/>
      <c r="AQ827" s="585"/>
      <c r="AR827" s="585"/>
      <c r="AS827" s="585"/>
      <c r="AT827" s="586"/>
      <c r="AU827" s="475" t="s">
        <v>459</v>
      </c>
      <c r="AV827" s="476"/>
      <c r="AW827" s="476"/>
      <c r="AX827" s="476"/>
      <c r="AY827" s="476"/>
      <c r="AZ827" s="476"/>
      <c r="BA827" s="476"/>
      <c r="BB827" s="477"/>
      <c r="BC827" s="627">
        <v>0</v>
      </c>
      <c r="BD827" s="628"/>
      <c r="BE827" s="628"/>
      <c r="BF827" s="628"/>
      <c r="BG827" s="628"/>
      <c r="BH827" s="628"/>
      <c r="BI827" s="628"/>
      <c r="BJ827" s="628"/>
      <c r="BK827" s="628"/>
      <c r="BL827" s="628"/>
      <c r="BM827" s="628"/>
      <c r="BN827" s="628"/>
      <c r="BO827" s="628"/>
      <c r="BP827" s="628"/>
      <c r="BQ827" s="628"/>
      <c r="BR827" s="629"/>
      <c r="BS827" s="681" t="e">
        <f t="shared" si="29"/>
        <v>#DIV/0!</v>
      </c>
      <c r="BT827" s="681"/>
      <c r="BU827" s="681"/>
      <c r="BV827" s="681"/>
      <c r="BW827" s="681"/>
      <c r="BX827" s="681"/>
      <c r="BY827" s="681"/>
      <c r="BZ827" s="681"/>
      <c r="CA827" s="681"/>
      <c r="CB827" s="681"/>
      <c r="CC827" s="681"/>
      <c r="CD827" s="681"/>
      <c r="CE827" s="681"/>
      <c r="CF827" s="681"/>
      <c r="CG827" s="681"/>
      <c r="CH827" s="681"/>
      <c r="CI827" s="627"/>
      <c r="CJ827" s="628"/>
      <c r="CK827" s="628"/>
      <c r="CL827" s="628"/>
      <c r="CM827" s="628"/>
      <c r="CN827" s="628"/>
      <c r="CO827" s="628"/>
      <c r="CP827" s="628"/>
      <c r="CQ827" s="628"/>
      <c r="CR827" s="628"/>
      <c r="CS827" s="628"/>
      <c r="CT827" s="628"/>
      <c r="CU827" s="628"/>
      <c r="CV827" s="628"/>
      <c r="CW827" s="628"/>
      <c r="CX827" s="628"/>
      <c r="CY827" s="628"/>
      <c r="CZ827" s="629"/>
      <c r="DA827" s="214"/>
    </row>
    <row r="828" spans="1:105" s="16" customFormat="1" ht="15" hidden="1" customHeight="1" x14ac:dyDescent="0.3">
      <c r="A828" s="630"/>
      <c r="B828" s="631"/>
      <c r="C828" s="631"/>
      <c r="D828" s="631"/>
      <c r="E828" s="631"/>
      <c r="F828" s="631"/>
      <c r="G828" s="632"/>
      <c r="H828" s="584" t="s">
        <v>938</v>
      </c>
      <c r="I828" s="585"/>
      <c r="J828" s="585"/>
      <c r="K828" s="585"/>
      <c r="L828" s="585"/>
      <c r="M828" s="585"/>
      <c r="N828" s="585"/>
      <c r="O828" s="585"/>
      <c r="P828" s="585"/>
      <c r="Q828" s="585"/>
      <c r="R828" s="585"/>
      <c r="S828" s="585"/>
      <c r="T828" s="585"/>
      <c r="U828" s="585"/>
      <c r="V828" s="585"/>
      <c r="W828" s="585"/>
      <c r="X828" s="585"/>
      <c r="Y828" s="585"/>
      <c r="Z828" s="585"/>
      <c r="AA828" s="585"/>
      <c r="AB828" s="585"/>
      <c r="AC828" s="585"/>
      <c r="AD828" s="585"/>
      <c r="AE828" s="585"/>
      <c r="AF828" s="585"/>
      <c r="AG828" s="585"/>
      <c r="AH828" s="585"/>
      <c r="AI828" s="585"/>
      <c r="AJ828" s="585"/>
      <c r="AK828" s="585"/>
      <c r="AL828" s="585"/>
      <c r="AM828" s="585"/>
      <c r="AN828" s="585"/>
      <c r="AO828" s="585"/>
      <c r="AP828" s="585"/>
      <c r="AQ828" s="585"/>
      <c r="AR828" s="585"/>
      <c r="AS828" s="585"/>
      <c r="AT828" s="586"/>
      <c r="AU828" s="475" t="s">
        <v>459</v>
      </c>
      <c r="AV828" s="476"/>
      <c r="AW828" s="476"/>
      <c r="AX828" s="476"/>
      <c r="AY828" s="476"/>
      <c r="AZ828" s="476"/>
      <c r="BA828" s="476"/>
      <c r="BB828" s="477"/>
      <c r="BC828" s="627">
        <v>0</v>
      </c>
      <c r="BD828" s="628"/>
      <c r="BE828" s="628"/>
      <c r="BF828" s="628"/>
      <c r="BG828" s="628"/>
      <c r="BH828" s="628"/>
      <c r="BI828" s="628"/>
      <c r="BJ828" s="628"/>
      <c r="BK828" s="628"/>
      <c r="BL828" s="628"/>
      <c r="BM828" s="628"/>
      <c r="BN828" s="628"/>
      <c r="BO828" s="628"/>
      <c r="BP828" s="628"/>
      <c r="BQ828" s="628"/>
      <c r="BR828" s="629"/>
      <c r="BS828" s="681" t="e">
        <f t="shared" si="29"/>
        <v>#DIV/0!</v>
      </c>
      <c r="BT828" s="681"/>
      <c r="BU828" s="681"/>
      <c r="BV828" s="681"/>
      <c r="BW828" s="681"/>
      <c r="BX828" s="681"/>
      <c r="BY828" s="681"/>
      <c r="BZ828" s="681"/>
      <c r="CA828" s="681"/>
      <c r="CB828" s="681"/>
      <c r="CC828" s="681"/>
      <c r="CD828" s="681"/>
      <c r="CE828" s="681"/>
      <c r="CF828" s="681"/>
      <c r="CG828" s="681"/>
      <c r="CH828" s="681"/>
      <c r="CI828" s="627"/>
      <c r="CJ828" s="628"/>
      <c r="CK828" s="628"/>
      <c r="CL828" s="628"/>
      <c r="CM828" s="628"/>
      <c r="CN828" s="628"/>
      <c r="CO828" s="628"/>
      <c r="CP828" s="628"/>
      <c r="CQ828" s="628"/>
      <c r="CR828" s="628"/>
      <c r="CS828" s="628"/>
      <c r="CT828" s="628"/>
      <c r="CU828" s="628"/>
      <c r="CV828" s="628"/>
      <c r="CW828" s="628"/>
      <c r="CX828" s="628"/>
      <c r="CY828" s="628"/>
      <c r="CZ828" s="629"/>
      <c r="DA828" s="214"/>
    </row>
    <row r="829" spans="1:105" s="16" customFormat="1" ht="15" hidden="1" customHeight="1" x14ac:dyDescent="0.3">
      <c r="A829" s="630"/>
      <c r="B829" s="631"/>
      <c r="C829" s="631"/>
      <c r="D829" s="631"/>
      <c r="E829" s="631"/>
      <c r="F829" s="631"/>
      <c r="G829" s="632"/>
      <c r="H829" s="584" t="s">
        <v>939</v>
      </c>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5"/>
      <c r="AL829" s="585"/>
      <c r="AM829" s="585"/>
      <c r="AN829" s="585"/>
      <c r="AO829" s="585"/>
      <c r="AP829" s="585"/>
      <c r="AQ829" s="585"/>
      <c r="AR829" s="585"/>
      <c r="AS829" s="585"/>
      <c r="AT829" s="586"/>
      <c r="AU829" s="475" t="s">
        <v>690</v>
      </c>
      <c r="AV829" s="476"/>
      <c r="AW829" s="476"/>
      <c r="AX829" s="476"/>
      <c r="AY829" s="476"/>
      <c r="AZ829" s="476"/>
      <c r="BA829" s="476"/>
      <c r="BB829" s="477"/>
      <c r="BC829" s="627">
        <v>0</v>
      </c>
      <c r="BD829" s="628"/>
      <c r="BE829" s="628"/>
      <c r="BF829" s="628"/>
      <c r="BG829" s="628"/>
      <c r="BH829" s="628"/>
      <c r="BI829" s="628"/>
      <c r="BJ829" s="628"/>
      <c r="BK829" s="628"/>
      <c r="BL829" s="628"/>
      <c r="BM829" s="628"/>
      <c r="BN829" s="628"/>
      <c r="BO829" s="628"/>
      <c r="BP829" s="628"/>
      <c r="BQ829" s="628"/>
      <c r="BR829" s="629"/>
      <c r="BS829" s="681" t="e">
        <f t="shared" si="29"/>
        <v>#DIV/0!</v>
      </c>
      <c r="BT829" s="681"/>
      <c r="BU829" s="681"/>
      <c r="BV829" s="681"/>
      <c r="BW829" s="681"/>
      <c r="BX829" s="681"/>
      <c r="BY829" s="681"/>
      <c r="BZ829" s="681"/>
      <c r="CA829" s="681"/>
      <c r="CB829" s="681"/>
      <c r="CC829" s="681"/>
      <c r="CD829" s="681"/>
      <c r="CE829" s="681"/>
      <c r="CF829" s="681"/>
      <c r="CG829" s="681"/>
      <c r="CH829" s="681"/>
      <c r="CI829" s="627"/>
      <c r="CJ829" s="628"/>
      <c r="CK829" s="628"/>
      <c r="CL829" s="628"/>
      <c r="CM829" s="628"/>
      <c r="CN829" s="628"/>
      <c r="CO829" s="628"/>
      <c r="CP829" s="628"/>
      <c r="CQ829" s="628"/>
      <c r="CR829" s="628"/>
      <c r="CS829" s="628"/>
      <c r="CT829" s="628"/>
      <c r="CU829" s="628"/>
      <c r="CV829" s="628"/>
      <c r="CW829" s="628"/>
      <c r="CX829" s="628"/>
      <c r="CY829" s="628"/>
      <c r="CZ829" s="629"/>
      <c r="DA829" s="214"/>
    </row>
    <row r="830" spans="1:105" s="16" customFormat="1" ht="15" hidden="1" customHeight="1" x14ac:dyDescent="0.3">
      <c r="A830" s="630"/>
      <c r="B830" s="631"/>
      <c r="C830" s="631"/>
      <c r="D830" s="631"/>
      <c r="E830" s="631"/>
      <c r="F830" s="631"/>
      <c r="G830" s="632"/>
      <c r="H830" s="584"/>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5"/>
      <c r="AL830" s="585"/>
      <c r="AM830" s="585"/>
      <c r="AN830" s="585"/>
      <c r="AO830" s="585"/>
      <c r="AP830" s="585"/>
      <c r="AQ830" s="585"/>
      <c r="AR830" s="585"/>
      <c r="AS830" s="585"/>
      <c r="AT830" s="586"/>
      <c r="AU830" s="475"/>
      <c r="AV830" s="476"/>
      <c r="AW830" s="476"/>
      <c r="AX830" s="476"/>
      <c r="AY830" s="476"/>
      <c r="AZ830" s="476"/>
      <c r="BA830" s="476"/>
      <c r="BB830" s="477"/>
      <c r="BC830" s="627">
        <v>0</v>
      </c>
      <c r="BD830" s="628"/>
      <c r="BE830" s="628"/>
      <c r="BF830" s="628"/>
      <c r="BG830" s="628"/>
      <c r="BH830" s="628"/>
      <c r="BI830" s="628"/>
      <c r="BJ830" s="628"/>
      <c r="BK830" s="628"/>
      <c r="BL830" s="628"/>
      <c r="BM830" s="628"/>
      <c r="BN830" s="628"/>
      <c r="BO830" s="628"/>
      <c r="BP830" s="628"/>
      <c r="BQ830" s="628"/>
      <c r="BR830" s="629"/>
      <c r="BS830" s="681"/>
      <c r="BT830" s="681"/>
      <c r="BU830" s="681"/>
      <c r="BV830" s="681"/>
      <c r="BW830" s="681"/>
      <c r="BX830" s="681"/>
      <c r="BY830" s="681"/>
      <c r="BZ830" s="681"/>
      <c r="CA830" s="681"/>
      <c r="CB830" s="681"/>
      <c r="CC830" s="681"/>
      <c r="CD830" s="681"/>
      <c r="CE830" s="681"/>
      <c r="CF830" s="681"/>
      <c r="CG830" s="681"/>
      <c r="CH830" s="681"/>
      <c r="CI830" s="627"/>
      <c r="CJ830" s="628"/>
      <c r="CK830" s="628"/>
      <c r="CL830" s="628"/>
      <c r="CM830" s="628"/>
      <c r="CN830" s="628"/>
      <c r="CO830" s="628"/>
      <c r="CP830" s="628"/>
      <c r="CQ830" s="628"/>
      <c r="CR830" s="628"/>
      <c r="CS830" s="628"/>
      <c r="CT830" s="628"/>
      <c r="CU830" s="628"/>
      <c r="CV830" s="628"/>
      <c r="CW830" s="628"/>
      <c r="CX830" s="628"/>
      <c r="CY830" s="628"/>
      <c r="CZ830" s="629"/>
      <c r="DA830" s="214"/>
    </row>
    <row r="831" spans="1:105" s="16" customFormat="1" ht="15" hidden="1" customHeight="1" x14ac:dyDescent="0.3">
      <c r="A831" s="630"/>
      <c r="B831" s="631"/>
      <c r="C831" s="631"/>
      <c r="D831" s="631"/>
      <c r="E831" s="631"/>
      <c r="F831" s="631"/>
      <c r="G831" s="632"/>
      <c r="H831" s="584"/>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5"/>
      <c r="AL831" s="585"/>
      <c r="AM831" s="585"/>
      <c r="AN831" s="585"/>
      <c r="AO831" s="585"/>
      <c r="AP831" s="585"/>
      <c r="AQ831" s="585"/>
      <c r="AR831" s="585"/>
      <c r="AS831" s="585"/>
      <c r="AT831" s="586"/>
      <c r="AU831" s="475"/>
      <c r="AV831" s="476"/>
      <c r="AW831" s="476"/>
      <c r="AX831" s="476"/>
      <c r="AY831" s="476"/>
      <c r="AZ831" s="476"/>
      <c r="BA831" s="476"/>
      <c r="BB831" s="477"/>
      <c r="BC831" s="627">
        <v>0</v>
      </c>
      <c r="BD831" s="628"/>
      <c r="BE831" s="628"/>
      <c r="BF831" s="628"/>
      <c r="BG831" s="628"/>
      <c r="BH831" s="628"/>
      <c r="BI831" s="628"/>
      <c r="BJ831" s="628"/>
      <c r="BK831" s="628"/>
      <c r="BL831" s="628"/>
      <c r="BM831" s="628"/>
      <c r="BN831" s="628"/>
      <c r="BO831" s="628"/>
      <c r="BP831" s="628"/>
      <c r="BQ831" s="628"/>
      <c r="BR831" s="629"/>
      <c r="BS831" s="681"/>
      <c r="BT831" s="681"/>
      <c r="BU831" s="681"/>
      <c r="BV831" s="681"/>
      <c r="BW831" s="681"/>
      <c r="BX831" s="681"/>
      <c r="BY831" s="681"/>
      <c r="BZ831" s="681"/>
      <c r="CA831" s="681"/>
      <c r="CB831" s="681"/>
      <c r="CC831" s="681"/>
      <c r="CD831" s="681"/>
      <c r="CE831" s="681"/>
      <c r="CF831" s="681"/>
      <c r="CG831" s="681"/>
      <c r="CH831" s="681"/>
      <c r="CI831" s="627"/>
      <c r="CJ831" s="628"/>
      <c r="CK831" s="628"/>
      <c r="CL831" s="628"/>
      <c r="CM831" s="628"/>
      <c r="CN831" s="628"/>
      <c r="CO831" s="628"/>
      <c r="CP831" s="628"/>
      <c r="CQ831" s="628"/>
      <c r="CR831" s="628"/>
      <c r="CS831" s="628"/>
      <c r="CT831" s="628"/>
      <c r="CU831" s="628"/>
      <c r="CV831" s="628"/>
      <c r="CW831" s="628"/>
      <c r="CX831" s="628"/>
      <c r="CY831" s="628"/>
      <c r="CZ831" s="629"/>
      <c r="DA831" s="214"/>
    </row>
    <row r="832" spans="1:105" s="16" customFormat="1" ht="15" hidden="1" customHeight="1" x14ac:dyDescent="0.3">
      <c r="A832" s="630"/>
      <c r="B832" s="631"/>
      <c r="C832" s="631"/>
      <c r="D832" s="631"/>
      <c r="E832" s="631"/>
      <c r="F832" s="631"/>
      <c r="G832" s="632"/>
      <c r="H832" s="584"/>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5"/>
      <c r="AL832" s="585"/>
      <c r="AM832" s="585"/>
      <c r="AN832" s="585"/>
      <c r="AO832" s="585"/>
      <c r="AP832" s="585"/>
      <c r="AQ832" s="585"/>
      <c r="AR832" s="585"/>
      <c r="AS832" s="585"/>
      <c r="AT832" s="586"/>
      <c r="AU832" s="475"/>
      <c r="AV832" s="476"/>
      <c r="AW832" s="476"/>
      <c r="AX832" s="476"/>
      <c r="AY832" s="476"/>
      <c r="AZ832" s="476"/>
      <c r="BA832" s="476"/>
      <c r="BB832" s="477"/>
      <c r="BC832" s="627">
        <v>0</v>
      </c>
      <c r="BD832" s="628"/>
      <c r="BE832" s="628"/>
      <c r="BF832" s="628"/>
      <c r="BG832" s="628"/>
      <c r="BH832" s="628"/>
      <c r="BI832" s="628"/>
      <c r="BJ832" s="628"/>
      <c r="BK832" s="628"/>
      <c r="BL832" s="628"/>
      <c r="BM832" s="628"/>
      <c r="BN832" s="628"/>
      <c r="BO832" s="628"/>
      <c r="BP832" s="628"/>
      <c r="BQ832" s="628"/>
      <c r="BR832" s="629"/>
      <c r="BS832" s="681"/>
      <c r="BT832" s="681"/>
      <c r="BU832" s="681"/>
      <c r="BV832" s="681"/>
      <c r="BW832" s="681"/>
      <c r="BX832" s="681"/>
      <c r="BY832" s="681"/>
      <c r="BZ832" s="681"/>
      <c r="CA832" s="681"/>
      <c r="CB832" s="681"/>
      <c r="CC832" s="681"/>
      <c r="CD832" s="681"/>
      <c r="CE832" s="681"/>
      <c r="CF832" s="681"/>
      <c r="CG832" s="681"/>
      <c r="CH832" s="681"/>
      <c r="CI832" s="627"/>
      <c r="CJ832" s="628"/>
      <c r="CK832" s="628"/>
      <c r="CL832" s="628"/>
      <c r="CM832" s="628"/>
      <c r="CN832" s="628"/>
      <c r="CO832" s="628"/>
      <c r="CP832" s="628"/>
      <c r="CQ832" s="628"/>
      <c r="CR832" s="628"/>
      <c r="CS832" s="628"/>
      <c r="CT832" s="628"/>
      <c r="CU832" s="628"/>
      <c r="CV832" s="628"/>
      <c r="CW832" s="628"/>
      <c r="CX832" s="628"/>
      <c r="CY832" s="628"/>
      <c r="CZ832" s="629"/>
      <c r="DA832" s="214"/>
    </row>
    <row r="833" spans="1:105" s="16" customFormat="1" ht="24" hidden="1" customHeight="1" x14ac:dyDescent="0.3">
      <c r="A833" s="630"/>
      <c r="B833" s="631"/>
      <c r="C833" s="631"/>
      <c r="D833" s="631"/>
      <c r="E833" s="631"/>
      <c r="F833" s="631"/>
      <c r="G833" s="632"/>
      <c r="H833" s="584"/>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5"/>
      <c r="AL833" s="585"/>
      <c r="AM833" s="585"/>
      <c r="AN833" s="585"/>
      <c r="AO833" s="585"/>
      <c r="AP833" s="585"/>
      <c r="AQ833" s="585"/>
      <c r="AR833" s="585"/>
      <c r="AS833" s="585"/>
      <c r="AT833" s="586"/>
      <c r="AU833" s="475"/>
      <c r="AV833" s="476"/>
      <c r="AW833" s="476"/>
      <c r="AX833" s="476"/>
      <c r="AY833" s="476"/>
      <c r="AZ833" s="476"/>
      <c r="BA833" s="476"/>
      <c r="BB833" s="477"/>
      <c r="BC833" s="627">
        <v>0</v>
      </c>
      <c r="BD833" s="628"/>
      <c r="BE833" s="628"/>
      <c r="BF833" s="628"/>
      <c r="BG833" s="628"/>
      <c r="BH833" s="628"/>
      <c r="BI833" s="628"/>
      <c r="BJ833" s="628"/>
      <c r="BK833" s="628"/>
      <c r="BL833" s="628"/>
      <c r="BM833" s="628"/>
      <c r="BN833" s="628"/>
      <c r="BO833" s="628"/>
      <c r="BP833" s="628"/>
      <c r="BQ833" s="628"/>
      <c r="BR833" s="629"/>
      <c r="BS833" s="681"/>
      <c r="BT833" s="681"/>
      <c r="BU833" s="681"/>
      <c r="BV833" s="681"/>
      <c r="BW833" s="681"/>
      <c r="BX833" s="681"/>
      <c r="BY833" s="681"/>
      <c r="BZ833" s="681"/>
      <c r="CA833" s="681"/>
      <c r="CB833" s="681"/>
      <c r="CC833" s="681"/>
      <c r="CD833" s="681"/>
      <c r="CE833" s="681"/>
      <c r="CF833" s="681"/>
      <c r="CG833" s="681"/>
      <c r="CH833" s="681"/>
      <c r="CI833" s="627"/>
      <c r="CJ833" s="628"/>
      <c r="CK833" s="628"/>
      <c r="CL833" s="628"/>
      <c r="CM833" s="628"/>
      <c r="CN833" s="628"/>
      <c r="CO833" s="628"/>
      <c r="CP833" s="628"/>
      <c r="CQ833" s="628"/>
      <c r="CR833" s="628"/>
      <c r="CS833" s="628"/>
      <c r="CT833" s="628"/>
      <c r="CU833" s="628"/>
      <c r="CV833" s="628"/>
      <c r="CW833" s="628"/>
      <c r="CX833" s="628"/>
      <c r="CY833" s="628"/>
      <c r="CZ833" s="629"/>
      <c r="DA833" s="214"/>
    </row>
    <row r="834" spans="1:105" s="16" customFormat="1" ht="15" hidden="1" customHeight="1" x14ac:dyDescent="0.3">
      <c r="A834" s="630"/>
      <c r="B834" s="631"/>
      <c r="C834" s="631"/>
      <c r="D834" s="631"/>
      <c r="E834" s="631"/>
      <c r="F834" s="631"/>
      <c r="G834" s="632"/>
      <c r="H834" s="584"/>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5"/>
      <c r="AL834" s="585"/>
      <c r="AM834" s="585"/>
      <c r="AN834" s="585"/>
      <c r="AO834" s="585"/>
      <c r="AP834" s="585"/>
      <c r="AQ834" s="585"/>
      <c r="AR834" s="585"/>
      <c r="AS834" s="585"/>
      <c r="AT834" s="586"/>
      <c r="AU834" s="475"/>
      <c r="AV834" s="476"/>
      <c r="AW834" s="476"/>
      <c r="AX834" s="476"/>
      <c r="AY834" s="476"/>
      <c r="AZ834" s="476"/>
      <c r="BA834" s="476"/>
      <c r="BB834" s="477"/>
      <c r="BC834" s="627">
        <v>0</v>
      </c>
      <c r="BD834" s="628"/>
      <c r="BE834" s="628"/>
      <c r="BF834" s="628"/>
      <c r="BG834" s="628"/>
      <c r="BH834" s="628"/>
      <c r="BI834" s="628"/>
      <c r="BJ834" s="628"/>
      <c r="BK834" s="628"/>
      <c r="BL834" s="628"/>
      <c r="BM834" s="628"/>
      <c r="BN834" s="628"/>
      <c r="BO834" s="628"/>
      <c r="BP834" s="628"/>
      <c r="BQ834" s="628"/>
      <c r="BR834" s="629"/>
      <c r="BS834" s="681"/>
      <c r="BT834" s="681"/>
      <c r="BU834" s="681"/>
      <c r="BV834" s="681"/>
      <c r="BW834" s="681"/>
      <c r="BX834" s="681"/>
      <c r="BY834" s="681"/>
      <c r="BZ834" s="681"/>
      <c r="CA834" s="681"/>
      <c r="CB834" s="681"/>
      <c r="CC834" s="681"/>
      <c r="CD834" s="681"/>
      <c r="CE834" s="681"/>
      <c r="CF834" s="681"/>
      <c r="CG834" s="681"/>
      <c r="CH834" s="681"/>
      <c r="CI834" s="627"/>
      <c r="CJ834" s="628"/>
      <c r="CK834" s="628"/>
      <c r="CL834" s="628"/>
      <c r="CM834" s="628"/>
      <c r="CN834" s="628"/>
      <c r="CO834" s="628"/>
      <c r="CP834" s="628"/>
      <c r="CQ834" s="628"/>
      <c r="CR834" s="628"/>
      <c r="CS834" s="628"/>
      <c r="CT834" s="628"/>
      <c r="CU834" s="628"/>
      <c r="CV834" s="628"/>
      <c r="CW834" s="628"/>
      <c r="CX834" s="628"/>
      <c r="CY834" s="628"/>
      <c r="CZ834" s="629"/>
      <c r="DA834" s="214"/>
    </row>
    <row r="835" spans="1:105" s="16" customFormat="1" ht="15" hidden="1" customHeight="1" x14ac:dyDescent="0.3">
      <c r="A835" s="630"/>
      <c r="B835" s="631"/>
      <c r="C835" s="631"/>
      <c r="D835" s="631"/>
      <c r="E835" s="631"/>
      <c r="F835" s="631"/>
      <c r="G835" s="632"/>
      <c r="H835" s="584"/>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5"/>
      <c r="AL835" s="585"/>
      <c r="AM835" s="585"/>
      <c r="AN835" s="585"/>
      <c r="AO835" s="585"/>
      <c r="AP835" s="585"/>
      <c r="AQ835" s="585"/>
      <c r="AR835" s="585"/>
      <c r="AS835" s="585"/>
      <c r="AT835" s="586"/>
      <c r="AU835" s="475"/>
      <c r="AV835" s="476"/>
      <c r="AW835" s="476"/>
      <c r="AX835" s="476"/>
      <c r="AY835" s="476"/>
      <c r="AZ835" s="476"/>
      <c r="BA835" s="476"/>
      <c r="BB835" s="477"/>
      <c r="BC835" s="627">
        <v>0</v>
      </c>
      <c r="BD835" s="628"/>
      <c r="BE835" s="628"/>
      <c r="BF835" s="628"/>
      <c r="BG835" s="628"/>
      <c r="BH835" s="628"/>
      <c r="BI835" s="628"/>
      <c r="BJ835" s="628"/>
      <c r="BK835" s="628"/>
      <c r="BL835" s="628"/>
      <c r="BM835" s="628"/>
      <c r="BN835" s="628"/>
      <c r="BO835" s="628"/>
      <c r="BP835" s="628"/>
      <c r="BQ835" s="628"/>
      <c r="BR835" s="629"/>
      <c r="BS835" s="681"/>
      <c r="BT835" s="681"/>
      <c r="BU835" s="681"/>
      <c r="BV835" s="681"/>
      <c r="BW835" s="681"/>
      <c r="BX835" s="681"/>
      <c r="BY835" s="681"/>
      <c r="BZ835" s="681"/>
      <c r="CA835" s="681"/>
      <c r="CB835" s="681"/>
      <c r="CC835" s="681"/>
      <c r="CD835" s="681"/>
      <c r="CE835" s="681"/>
      <c r="CF835" s="681"/>
      <c r="CG835" s="681"/>
      <c r="CH835" s="681"/>
      <c r="CI835" s="627"/>
      <c r="CJ835" s="628"/>
      <c r="CK835" s="628"/>
      <c r="CL835" s="628"/>
      <c r="CM835" s="628"/>
      <c r="CN835" s="628"/>
      <c r="CO835" s="628"/>
      <c r="CP835" s="628"/>
      <c r="CQ835" s="628"/>
      <c r="CR835" s="628"/>
      <c r="CS835" s="628"/>
      <c r="CT835" s="628"/>
      <c r="CU835" s="628"/>
      <c r="CV835" s="628"/>
      <c r="CW835" s="628"/>
      <c r="CX835" s="628"/>
      <c r="CY835" s="628"/>
      <c r="CZ835" s="629"/>
      <c r="DA835" s="214"/>
    </row>
    <row r="836" spans="1:105" s="16" customFormat="1" ht="15" customHeight="1" x14ac:dyDescent="0.3">
      <c r="A836" s="630"/>
      <c r="B836" s="631"/>
      <c r="C836" s="631"/>
      <c r="D836" s="631"/>
      <c r="E836" s="631"/>
      <c r="F836" s="631"/>
      <c r="G836" s="632"/>
      <c r="H836" s="651"/>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52"/>
      <c r="AL836" s="652"/>
      <c r="AM836" s="652"/>
      <c r="AN836" s="652"/>
      <c r="AO836" s="652"/>
      <c r="AP836" s="652"/>
      <c r="AQ836" s="652"/>
      <c r="AR836" s="652"/>
      <c r="AS836" s="652"/>
      <c r="AT836" s="653"/>
      <c r="AU836" s="541"/>
      <c r="AV836" s="542"/>
      <c r="AW836" s="542"/>
      <c r="AX836" s="542"/>
      <c r="AY836" s="542"/>
      <c r="AZ836" s="542"/>
      <c r="BA836" s="542"/>
      <c r="BB836" s="543"/>
      <c r="BC836" s="647"/>
      <c r="BD836" s="637"/>
      <c r="BE836" s="637"/>
      <c r="BF836" s="637"/>
      <c r="BG836" s="637"/>
      <c r="BH836" s="637"/>
      <c r="BI836" s="637"/>
      <c r="BJ836" s="637"/>
      <c r="BK836" s="637"/>
      <c r="BL836" s="637"/>
      <c r="BM836" s="637"/>
      <c r="BN836" s="637"/>
      <c r="BO836" s="637"/>
      <c r="BP836" s="637"/>
      <c r="BQ836" s="637"/>
      <c r="BR836" s="638"/>
      <c r="BS836" s="644"/>
      <c r="BT836" s="645"/>
      <c r="BU836" s="645"/>
      <c r="BV836" s="645"/>
      <c r="BW836" s="645"/>
      <c r="BX836" s="645"/>
      <c r="BY836" s="645"/>
      <c r="BZ836" s="645"/>
      <c r="CA836" s="645"/>
      <c r="CB836" s="645"/>
      <c r="CC836" s="645"/>
      <c r="CD836" s="645"/>
      <c r="CE836" s="645"/>
      <c r="CF836" s="645"/>
      <c r="CG836" s="645"/>
      <c r="CH836" s="646"/>
      <c r="CI836" s="636"/>
      <c r="CJ836" s="654"/>
      <c r="CK836" s="654"/>
      <c r="CL836" s="654"/>
      <c r="CM836" s="654"/>
      <c r="CN836" s="654"/>
      <c r="CO836" s="654"/>
      <c r="CP836" s="654"/>
      <c r="CQ836" s="654"/>
      <c r="CR836" s="654"/>
      <c r="CS836" s="654"/>
      <c r="CT836" s="654"/>
      <c r="CU836" s="654"/>
      <c r="CV836" s="654"/>
      <c r="CW836" s="654"/>
      <c r="CX836" s="654"/>
      <c r="CY836" s="654"/>
      <c r="CZ836" s="655"/>
      <c r="DA836" s="214"/>
    </row>
    <row r="837" spans="1:105" s="16" customFormat="1" ht="15" customHeight="1" x14ac:dyDescent="0.3">
      <c r="A837" s="630"/>
      <c r="B837" s="631"/>
      <c r="C837" s="631"/>
      <c r="D837" s="631"/>
      <c r="E837" s="631"/>
      <c r="F837" s="631"/>
      <c r="G837" s="632"/>
      <c r="H837" s="651" t="s">
        <v>710</v>
      </c>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52"/>
      <c r="AL837" s="652"/>
      <c r="AM837" s="652"/>
      <c r="AN837" s="652"/>
      <c r="AO837" s="652"/>
      <c r="AP837" s="652"/>
      <c r="AQ837" s="652"/>
      <c r="AR837" s="652"/>
      <c r="AS837" s="652"/>
      <c r="AT837" s="653"/>
      <c r="AU837" s="541" t="s">
        <v>697</v>
      </c>
      <c r="AV837" s="542"/>
      <c r="AW837" s="542"/>
      <c r="AX837" s="542"/>
      <c r="AY837" s="542"/>
      <c r="AZ837" s="542"/>
      <c r="BA837" s="542"/>
      <c r="BB837" s="543"/>
      <c r="BC837" s="678">
        <v>350</v>
      </c>
      <c r="BD837" s="679"/>
      <c r="BE837" s="679"/>
      <c r="BF837" s="679"/>
      <c r="BG837" s="679"/>
      <c r="BH837" s="679"/>
      <c r="BI837" s="679"/>
      <c r="BJ837" s="679"/>
      <c r="BK837" s="679"/>
      <c r="BL837" s="679"/>
      <c r="BM837" s="679"/>
      <c r="BN837" s="679"/>
      <c r="BO837" s="679"/>
      <c r="BP837" s="679"/>
      <c r="BQ837" s="679"/>
      <c r="BR837" s="680"/>
      <c r="BS837" s="644">
        <f>CI837/BC837</f>
        <v>57.142857142857146</v>
      </c>
      <c r="BT837" s="645"/>
      <c r="BU837" s="645"/>
      <c r="BV837" s="645"/>
      <c r="BW837" s="645"/>
      <c r="BX837" s="645"/>
      <c r="BY837" s="645"/>
      <c r="BZ837" s="645"/>
      <c r="CA837" s="645"/>
      <c r="CB837" s="645"/>
      <c r="CC837" s="645"/>
      <c r="CD837" s="645"/>
      <c r="CE837" s="645"/>
      <c r="CF837" s="645"/>
      <c r="CG837" s="645"/>
      <c r="CH837" s="646"/>
      <c r="CI837" s="636">
        <v>20000</v>
      </c>
      <c r="CJ837" s="654"/>
      <c r="CK837" s="654"/>
      <c r="CL837" s="654"/>
      <c r="CM837" s="654"/>
      <c r="CN837" s="654"/>
      <c r="CO837" s="654"/>
      <c r="CP837" s="654"/>
      <c r="CQ837" s="654"/>
      <c r="CR837" s="654"/>
      <c r="CS837" s="654"/>
      <c r="CT837" s="654"/>
      <c r="CU837" s="654"/>
      <c r="CV837" s="654"/>
      <c r="CW837" s="654"/>
      <c r="CX837" s="654"/>
      <c r="CY837" s="654"/>
      <c r="CZ837" s="655"/>
      <c r="DA837" s="214"/>
    </row>
    <row r="838" spans="1:105" s="16" customFormat="1" ht="15" customHeight="1" x14ac:dyDescent="0.3">
      <c r="A838" s="630"/>
      <c r="B838" s="631"/>
      <c r="C838" s="631"/>
      <c r="D838" s="631"/>
      <c r="E838" s="631"/>
      <c r="F838" s="631"/>
      <c r="G838" s="632"/>
      <c r="H838" s="651"/>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52"/>
      <c r="AL838" s="652"/>
      <c r="AM838" s="652"/>
      <c r="AN838" s="652"/>
      <c r="AO838" s="652"/>
      <c r="AP838" s="652"/>
      <c r="AQ838" s="652"/>
      <c r="AR838" s="652"/>
      <c r="AS838" s="652"/>
      <c r="AT838" s="653"/>
      <c r="AU838" s="475"/>
      <c r="AV838" s="476"/>
      <c r="AW838" s="476"/>
      <c r="AX838" s="476"/>
      <c r="AY838" s="476"/>
      <c r="AZ838" s="476"/>
      <c r="BA838" s="476"/>
      <c r="BB838" s="477"/>
      <c r="BC838" s="544"/>
      <c r="BD838" s="545"/>
      <c r="BE838" s="545"/>
      <c r="BF838" s="545"/>
      <c r="BG838" s="545"/>
      <c r="BH838" s="545"/>
      <c r="BI838" s="545"/>
      <c r="BJ838" s="545"/>
      <c r="BK838" s="545"/>
      <c r="BL838" s="545"/>
      <c r="BM838" s="545"/>
      <c r="BN838" s="545"/>
      <c r="BO838" s="545"/>
      <c r="BP838" s="545"/>
      <c r="BQ838" s="545"/>
      <c r="BR838" s="546"/>
      <c r="BS838" s="639"/>
      <c r="BT838" s="640"/>
      <c r="BU838" s="640"/>
      <c r="BV838" s="640"/>
      <c r="BW838" s="640"/>
      <c r="BX838" s="640"/>
      <c r="BY838" s="640"/>
      <c r="BZ838" s="640"/>
      <c r="CA838" s="640"/>
      <c r="CB838" s="640"/>
      <c r="CC838" s="640"/>
      <c r="CD838" s="640"/>
      <c r="CE838" s="640"/>
      <c r="CF838" s="640"/>
      <c r="CG838" s="640"/>
      <c r="CH838" s="641"/>
      <c r="CI838" s="627"/>
      <c r="CJ838" s="628"/>
      <c r="CK838" s="628"/>
      <c r="CL838" s="628"/>
      <c r="CM838" s="628"/>
      <c r="CN838" s="628"/>
      <c r="CO838" s="628"/>
      <c r="CP838" s="628"/>
      <c r="CQ838" s="628"/>
      <c r="CR838" s="628"/>
      <c r="CS838" s="628"/>
      <c r="CT838" s="628"/>
      <c r="CU838" s="628"/>
      <c r="CV838" s="628"/>
      <c r="CW838" s="628"/>
      <c r="CX838" s="628"/>
      <c r="CY838" s="628"/>
      <c r="CZ838" s="629"/>
      <c r="DA838" s="214"/>
    </row>
    <row r="839" spans="1:105" s="16" customFormat="1" ht="28.5" customHeight="1" x14ac:dyDescent="0.3">
      <c r="A839" s="630"/>
      <c r="B839" s="631"/>
      <c r="C839" s="631"/>
      <c r="D839" s="631"/>
      <c r="E839" s="631"/>
      <c r="F839" s="631"/>
      <c r="G839" s="632"/>
      <c r="H839" s="584" t="s">
        <v>798</v>
      </c>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5"/>
      <c r="AL839" s="585"/>
      <c r="AM839" s="585"/>
      <c r="AN839" s="585"/>
      <c r="AO839" s="585"/>
      <c r="AP839" s="585"/>
      <c r="AQ839" s="585"/>
      <c r="AR839" s="585"/>
      <c r="AS839" s="585"/>
      <c r="AT839" s="586"/>
      <c r="AU839" s="475"/>
      <c r="AV839" s="476"/>
      <c r="AW839" s="476"/>
      <c r="AX839" s="476"/>
      <c r="AY839" s="476"/>
      <c r="AZ839" s="476"/>
      <c r="BA839" s="476"/>
      <c r="BB839" s="477"/>
      <c r="BC839" s="647">
        <f>SUM(BC840:BQ852)</f>
        <v>1253</v>
      </c>
      <c r="BD839" s="637"/>
      <c r="BE839" s="637"/>
      <c r="BF839" s="637"/>
      <c r="BG839" s="637"/>
      <c r="BH839" s="637"/>
      <c r="BI839" s="637"/>
      <c r="BJ839" s="637"/>
      <c r="BK839" s="637"/>
      <c r="BL839" s="637"/>
      <c r="BM839" s="637"/>
      <c r="BN839" s="637"/>
      <c r="BO839" s="637"/>
      <c r="BP839" s="637"/>
      <c r="BQ839" s="637"/>
      <c r="BR839" s="638"/>
      <c r="BS839" s="644">
        <f>CI839/BC839</f>
        <v>275.46687948922585</v>
      </c>
      <c r="BT839" s="645"/>
      <c r="BU839" s="645"/>
      <c r="BV839" s="645"/>
      <c r="BW839" s="645"/>
      <c r="BX839" s="645"/>
      <c r="BY839" s="645"/>
      <c r="BZ839" s="645"/>
      <c r="CA839" s="645"/>
      <c r="CB839" s="645"/>
      <c r="CC839" s="645"/>
      <c r="CD839" s="645"/>
      <c r="CE839" s="645"/>
      <c r="CF839" s="645"/>
      <c r="CG839" s="645"/>
      <c r="CH839" s="646"/>
      <c r="CI839" s="636">
        <f>SUM(CI840:CZ855)</f>
        <v>345160</v>
      </c>
      <c r="CJ839" s="654"/>
      <c r="CK839" s="654"/>
      <c r="CL839" s="654"/>
      <c r="CM839" s="654"/>
      <c r="CN839" s="654"/>
      <c r="CO839" s="654"/>
      <c r="CP839" s="654"/>
      <c r="CQ839" s="654"/>
      <c r="CR839" s="654"/>
      <c r="CS839" s="654"/>
      <c r="CT839" s="654"/>
      <c r="CU839" s="654"/>
      <c r="CV839" s="654"/>
      <c r="CW839" s="654"/>
      <c r="CX839" s="654"/>
      <c r="CY839" s="654"/>
      <c r="CZ839" s="655"/>
      <c r="DA839" s="214"/>
    </row>
    <row r="840" spans="1:105" s="16" customFormat="1" ht="15" customHeight="1" x14ac:dyDescent="0.3">
      <c r="A840" s="630" t="s">
        <v>67</v>
      </c>
      <c r="B840" s="631"/>
      <c r="C840" s="631"/>
      <c r="D840" s="631"/>
      <c r="E840" s="631"/>
      <c r="F840" s="631"/>
      <c r="G840" s="632"/>
      <c r="H840" s="584" t="s">
        <v>982</v>
      </c>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5"/>
      <c r="AL840" s="585"/>
      <c r="AM840" s="585"/>
      <c r="AN840" s="585"/>
      <c r="AO840" s="585"/>
      <c r="AP840" s="585"/>
      <c r="AQ840" s="585"/>
      <c r="AR840" s="585"/>
      <c r="AS840" s="585"/>
      <c r="AT840" s="586"/>
      <c r="AU840" s="475" t="s">
        <v>690</v>
      </c>
      <c r="AV840" s="476"/>
      <c r="AW840" s="476"/>
      <c r="AX840" s="476"/>
      <c r="AY840" s="476"/>
      <c r="AZ840" s="476"/>
      <c r="BA840" s="476"/>
      <c r="BB840" s="477"/>
      <c r="BC840" s="544">
        <v>29</v>
      </c>
      <c r="BD840" s="545"/>
      <c r="BE840" s="545"/>
      <c r="BF840" s="545"/>
      <c r="BG840" s="545"/>
      <c r="BH840" s="545"/>
      <c r="BI840" s="545"/>
      <c r="BJ840" s="545"/>
      <c r="BK840" s="545"/>
      <c r="BL840" s="545"/>
      <c r="BM840" s="545"/>
      <c r="BN840" s="545"/>
      <c r="BO840" s="545"/>
      <c r="BP840" s="545"/>
      <c r="BQ840" s="545"/>
      <c r="BR840" s="546"/>
      <c r="BS840" s="639">
        <f>CI840/BC840</f>
        <v>1600</v>
      </c>
      <c r="BT840" s="640"/>
      <c r="BU840" s="640"/>
      <c r="BV840" s="640"/>
      <c r="BW840" s="640"/>
      <c r="BX840" s="640"/>
      <c r="BY840" s="640"/>
      <c r="BZ840" s="640"/>
      <c r="CA840" s="640"/>
      <c r="CB840" s="640"/>
      <c r="CC840" s="640"/>
      <c r="CD840" s="640"/>
      <c r="CE840" s="640"/>
      <c r="CF840" s="640"/>
      <c r="CG840" s="640"/>
      <c r="CH840" s="641"/>
      <c r="CI840" s="627">
        <v>46400</v>
      </c>
      <c r="CJ840" s="628"/>
      <c r="CK840" s="628"/>
      <c r="CL840" s="628"/>
      <c r="CM840" s="628"/>
      <c r="CN840" s="628"/>
      <c r="CO840" s="628"/>
      <c r="CP840" s="628"/>
      <c r="CQ840" s="628"/>
      <c r="CR840" s="628"/>
      <c r="CS840" s="628"/>
      <c r="CT840" s="628"/>
      <c r="CU840" s="628"/>
      <c r="CV840" s="628"/>
      <c r="CW840" s="628"/>
      <c r="CX840" s="628"/>
      <c r="CY840" s="628"/>
      <c r="CZ840" s="629"/>
      <c r="DA840" s="214"/>
    </row>
    <row r="841" spans="1:105" s="16" customFormat="1" ht="15" customHeight="1" x14ac:dyDescent="0.3">
      <c r="A841" s="630" t="s">
        <v>71</v>
      </c>
      <c r="B841" s="631"/>
      <c r="C841" s="631"/>
      <c r="D841" s="631"/>
      <c r="E841" s="631"/>
      <c r="F841" s="631"/>
      <c r="G841" s="632"/>
      <c r="H841" s="584" t="s">
        <v>979</v>
      </c>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5"/>
      <c r="AL841" s="585"/>
      <c r="AM841" s="585"/>
      <c r="AN841" s="585"/>
      <c r="AO841" s="585"/>
      <c r="AP841" s="585"/>
      <c r="AQ841" s="585"/>
      <c r="AR841" s="585"/>
      <c r="AS841" s="585"/>
      <c r="AT841" s="586"/>
      <c r="AU841" s="475" t="s">
        <v>690</v>
      </c>
      <c r="AV841" s="476"/>
      <c r="AW841" s="476"/>
      <c r="AX841" s="476"/>
      <c r="AY841" s="476"/>
      <c r="AZ841" s="476"/>
      <c r="BA841" s="476"/>
      <c r="BB841" s="477"/>
      <c r="BC841" s="544">
        <v>133</v>
      </c>
      <c r="BD841" s="545"/>
      <c r="BE841" s="545"/>
      <c r="BF841" s="545"/>
      <c r="BG841" s="545"/>
      <c r="BH841" s="545"/>
      <c r="BI841" s="545"/>
      <c r="BJ841" s="545"/>
      <c r="BK841" s="545"/>
      <c r="BL841" s="545"/>
      <c r="BM841" s="545"/>
      <c r="BN841" s="545"/>
      <c r="BO841" s="545"/>
      <c r="BP841" s="545"/>
      <c r="BQ841" s="545"/>
      <c r="BR841" s="546"/>
      <c r="BS841" s="639">
        <f t="shared" ref="BS841:BS855" si="30">CI841/BC841</f>
        <v>94.736842105263165</v>
      </c>
      <c r="BT841" s="640"/>
      <c r="BU841" s="640"/>
      <c r="BV841" s="640"/>
      <c r="BW841" s="640"/>
      <c r="BX841" s="640"/>
      <c r="BY841" s="640"/>
      <c r="BZ841" s="640"/>
      <c r="CA841" s="640"/>
      <c r="CB841" s="640"/>
      <c r="CC841" s="640"/>
      <c r="CD841" s="640"/>
      <c r="CE841" s="640"/>
      <c r="CF841" s="640"/>
      <c r="CG841" s="640"/>
      <c r="CH841" s="641"/>
      <c r="CI841" s="627">
        <v>12600</v>
      </c>
      <c r="CJ841" s="628"/>
      <c r="CK841" s="628"/>
      <c r="CL841" s="628"/>
      <c r="CM841" s="628"/>
      <c r="CN841" s="628"/>
      <c r="CO841" s="628"/>
      <c r="CP841" s="628"/>
      <c r="CQ841" s="628"/>
      <c r="CR841" s="628"/>
      <c r="CS841" s="628"/>
      <c r="CT841" s="628"/>
      <c r="CU841" s="628"/>
      <c r="CV841" s="628"/>
      <c r="CW841" s="628"/>
      <c r="CX841" s="628"/>
      <c r="CY841" s="628"/>
      <c r="CZ841" s="629"/>
      <c r="DA841" s="214"/>
    </row>
    <row r="842" spans="1:105" s="16" customFormat="1" ht="15" customHeight="1" x14ac:dyDescent="0.3">
      <c r="A842" s="630" t="s">
        <v>462</v>
      </c>
      <c r="B842" s="631"/>
      <c r="C842" s="631"/>
      <c r="D842" s="631"/>
      <c r="E842" s="631"/>
      <c r="F842" s="631"/>
      <c r="G842" s="632"/>
      <c r="H842" s="584" t="s">
        <v>983</v>
      </c>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5"/>
      <c r="AL842" s="585"/>
      <c r="AM842" s="585"/>
      <c r="AN842" s="585"/>
      <c r="AO842" s="585"/>
      <c r="AP842" s="585"/>
      <c r="AQ842" s="585"/>
      <c r="AR842" s="585"/>
      <c r="AS842" s="585"/>
      <c r="AT842" s="586"/>
      <c r="AU842" s="475" t="s">
        <v>690</v>
      </c>
      <c r="AV842" s="476"/>
      <c r="AW842" s="476"/>
      <c r="AX842" s="476"/>
      <c r="AY842" s="476"/>
      <c r="AZ842" s="476"/>
      <c r="BA842" s="476"/>
      <c r="BB842" s="477"/>
      <c r="BC842" s="544">
        <v>484</v>
      </c>
      <c r="BD842" s="545"/>
      <c r="BE842" s="545"/>
      <c r="BF842" s="545"/>
      <c r="BG842" s="545"/>
      <c r="BH842" s="545"/>
      <c r="BI842" s="545"/>
      <c r="BJ842" s="545"/>
      <c r="BK842" s="545"/>
      <c r="BL842" s="545"/>
      <c r="BM842" s="545"/>
      <c r="BN842" s="545"/>
      <c r="BO842" s="545"/>
      <c r="BP842" s="545"/>
      <c r="BQ842" s="545"/>
      <c r="BR842" s="546"/>
      <c r="BS842" s="639">
        <f t="shared" si="30"/>
        <v>133.55371900826447</v>
      </c>
      <c r="BT842" s="640"/>
      <c r="BU842" s="640"/>
      <c r="BV842" s="640"/>
      <c r="BW842" s="640"/>
      <c r="BX842" s="640"/>
      <c r="BY842" s="640"/>
      <c r="BZ842" s="640"/>
      <c r="CA842" s="640"/>
      <c r="CB842" s="640"/>
      <c r="CC842" s="640"/>
      <c r="CD842" s="640"/>
      <c r="CE842" s="640"/>
      <c r="CF842" s="640"/>
      <c r="CG842" s="640"/>
      <c r="CH842" s="641"/>
      <c r="CI842" s="627">
        <v>64640</v>
      </c>
      <c r="CJ842" s="628"/>
      <c r="CK842" s="628"/>
      <c r="CL842" s="628"/>
      <c r="CM842" s="628"/>
      <c r="CN842" s="628"/>
      <c r="CO842" s="628"/>
      <c r="CP842" s="628"/>
      <c r="CQ842" s="628"/>
      <c r="CR842" s="628"/>
      <c r="CS842" s="628"/>
      <c r="CT842" s="628"/>
      <c r="CU842" s="628"/>
      <c r="CV842" s="628"/>
      <c r="CW842" s="628"/>
      <c r="CX842" s="628"/>
      <c r="CY842" s="628"/>
      <c r="CZ842" s="629"/>
      <c r="DA842" s="214"/>
    </row>
    <row r="843" spans="1:105" s="16" customFormat="1" ht="15" customHeight="1" x14ac:dyDescent="0.3">
      <c r="A843" s="630" t="s">
        <v>477</v>
      </c>
      <c r="B843" s="631"/>
      <c r="C843" s="631"/>
      <c r="D843" s="631"/>
      <c r="E843" s="631"/>
      <c r="F843" s="631"/>
      <c r="G843" s="632"/>
      <c r="H843" s="584" t="s">
        <v>716</v>
      </c>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5"/>
      <c r="AL843" s="585"/>
      <c r="AM843" s="585"/>
      <c r="AN843" s="585"/>
      <c r="AO843" s="585"/>
      <c r="AP843" s="585"/>
      <c r="AQ843" s="585"/>
      <c r="AR843" s="585"/>
      <c r="AS843" s="585"/>
      <c r="AT843" s="586"/>
      <c r="AU843" s="475" t="s">
        <v>690</v>
      </c>
      <c r="AV843" s="476"/>
      <c r="AW843" s="476"/>
      <c r="AX843" s="476"/>
      <c r="AY843" s="476"/>
      <c r="AZ843" s="476"/>
      <c r="BA843" s="476"/>
      <c r="BB843" s="477"/>
      <c r="BC843" s="544">
        <v>24</v>
      </c>
      <c r="BD843" s="545"/>
      <c r="BE843" s="545"/>
      <c r="BF843" s="545"/>
      <c r="BG843" s="545"/>
      <c r="BH843" s="545"/>
      <c r="BI843" s="545"/>
      <c r="BJ843" s="545"/>
      <c r="BK843" s="545"/>
      <c r="BL843" s="545"/>
      <c r="BM843" s="545"/>
      <c r="BN843" s="545"/>
      <c r="BO843" s="545"/>
      <c r="BP843" s="545"/>
      <c r="BQ843" s="545"/>
      <c r="BR843" s="546"/>
      <c r="BS843" s="639">
        <f t="shared" si="30"/>
        <v>1175</v>
      </c>
      <c r="BT843" s="640"/>
      <c r="BU843" s="640"/>
      <c r="BV843" s="640"/>
      <c r="BW843" s="640"/>
      <c r="BX843" s="640"/>
      <c r="BY843" s="640"/>
      <c r="BZ843" s="640"/>
      <c r="CA843" s="640"/>
      <c r="CB843" s="640"/>
      <c r="CC843" s="640"/>
      <c r="CD843" s="640"/>
      <c r="CE843" s="640"/>
      <c r="CF843" s="640"/>
      <c r="CG843" s="640"/>
      <c r="CH843" s="641"/>
      <c r="CI843" s="627">
        <v>28200</v>
      </c>
      <c r="CJ843" s="628"/>
      <c r="CK843" s="628"/>
      <c r="CL843" s="628"/>
      <c r="CM843" s="628"/>
      <c r="CN843" s="628"/>
      <c r="CO843" s="628"/>
      <c r="CP843" s="628"/>
      <c r="CQ843" s="628"/>
      <c r="CR843" s="628"/>
      <c r="CS843" s="628"/>
      <c r="CT843" s="628"/>
      <c r="CU843" s="628"/>
      <c r="CV843" s="628"/>
      <c r="CW843" s="628"/>
      <c r="CX843" s="628"/>
      <c r="CY843" s="628"/>
      <c r="CZ843" s="629"/>
      <c r="DA843" s="214"/>
    </row>
    <row r="844" spans="1:105" s="16" customFormat="1" ht="15" customHeight="1" x14ac:dyDescent="0.3">
      <c r="A844" s="630" t="s">
        <v>479</v>
      </c>
      <c r="B844" s="631"/>
      <c r="C844" s="631"/>
      <c r="D844" s="631"/>
      <c r="E844" s="631"/>
      <c r="F844" s="631"/>
      <c r="G844" s="632"/>
      <c r="H844" s="584" t="s">
        <v>984</v>
      </c>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5"/>
      <c r="AL844" s="585"/>
      <c r="AM844" s="585"/>
      <c r="AN844" s="585"/>
      <c r="AO844" s="585"/>
      <c r="AP844" s="585"/>
      <c r="AQ844" s="585"/>
      <c r="AR844" s="585"/>
      <c r="AS844" s="585"/>
      <c r="AT844" s="586"/>
      <c r="AU844" s="475" t="s">
        <v>690</v>
      </c>
      <c r="AV844" s="476"/>
      <c r="AW844" s="476"/>
      <c r="AX844" s="476"/>
      <c r="AY844" s="476"/>
      <c r="AZ844" s="476"/>
      <c r="BA844" s="476"/>
      <c r="BB844" s="477"/>
      <c r="BC844" s="544">
        <v>65</v>
      </c>
      <c r="BD844" s="545"/>
      <c r="BE844" s="545"/>
      <c r="BF844" s="545"/>
      <c r="BG844" s="545"/>
      <c r="BH844" s="545"/>
      <c r="BI844" s="545"/>
      <c r="BJ844" s="545"/>
      <c r="BK844" s="545"/>
      <c r="BL844" s="545"/>
      <c r="BM844" s="545"/>
      <c r="BN844" s="545"/>
      <c r="BO844" s="545"/>
      <c r="BP844" s="545"/>
      <c r="BQ844" s="545"/>
      <c r="BR844" s="546"/>
      <c r="BS844" s="639">
        <f t="shared" si="30"/>
        <v>524.61538461538464</v>
      </c>
      <c r="BT844" s="640"/>
      <c r="BU844" s="640"/>
      <c r="BV844" s="640"/>
      <c r="BW844" s="640"/>
      <c r="BX844" s="640"/>
      <c r="BY844" s="640"/>
      <c r="BZ844" s="640"/>
      <c r="CA844" s="640"/>
      <c r="CB844" s="640"/>
      <c r="CC844" s="640"/>
      <c r="CD844" s="640"/>
      <c r="CE844" s="640"/>
      <c r="CF844" s="640"/>
      <c r="CG844" s="640"/>
      <c r="CH844" s="641"/>
      <c r="CI844" s="627">
        <v>34100</v>
      </c>
      <c r="CJ844" s="628"/>
      <c r="CK844" s="628"/>
      <c r="CL844" s="628"/>
      <c r="CM844" s="628"/>
      <c r="CN844" s="628"/>
      <c r="CO844" s="628"/>
      <c r="CP844" s="628"/>
      <c r="CQ844" s="628"/>
      <c r="CR844" s="628"/>
      <c r="CS844" s="628"/>
      <c r="CT844" s="628"/>
      <c r="CU844" s="628"/>
      <c r="CV844" s="628"/>
      <c r="CW844" s="628"/>
      <c r="CX844" s="628"/>
      <c r="CY844" s="628"/>
      <c r="CZ844" s="629"/>
      <c r="DA844" s="214"/>
    </row>
    <row r="845" spans="1:105" s="16" customFormat="1" ht="15" customHeight="1" x14ac:dyDescent="0.3">
      <c r="A845" s="630" t="s">
        <v>481</v>
      </c>
      <c r="B845" s="631"/>
      <c r="C845" s="631"/>
      <c r="D845" s="631"/>
      <c r="E845" s="631"/>
      <c r="F845" s="631"/>
      <c r="G845" s="632"/>
      <c r="H845" s="584" t="s">
        <v>991</v>
      </c>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5"/>
      <c r="AL845" s="585"/>
      <c r="AM845" s="585"/>
      <c r="AN845" s="585"/>
      <c r="AO845" s="585"/>
      <c r="AP845" s="585"/>
      <c r="AQ845" s="585"/>
      <c r="AR845" s="585"/>
      <c r="AS845" s="585"/>
      <c r="AT845" s="586"/>
      <c r="AU845" s="475" t="s">
        <v>690</v>
      </c>
      <c r="AV845" s="476"/>
      <c r="AW845" s="476"/>
      <c r="AX845" s="476"/>
      <c r="AY845" s="476"/>
      <c r="AZ845" s="476"/>
      <c r="BA845" s="476"/>
      <c r="BB845" s="477"/>
      <c r="BC845" s="544">
        <v>93</v>
      </c>
      <c r="BD845" s="545"/>
      <c r="BE845" s="545"/>
      <c r="BF845" s="545"/>
      <c r="BG845" s="545"/>
      <c r="BH845" s="545"/>
      <c r="BI845" s="545"/>
      <c r="BJ845" s="545"/>
      <c r="BK845" s="545"/>
      <c r="BL845" s="545"/>
      <c r="BM845" s="545"/>
      <c r="BN845" s="545"/>
      <c r="BO845" s="545"/>
      <c r="BP845" s="545"/>
      <c r="BQ845" s="545"/>
      <c r="BR845" s="546"/>
      <c r="BS845" s="639">
        <f t="shared" si="30"/>
        <v>346.77419354838707</v>
      </c>
      <c r="BT845" s="640"/>
      <c r="BU845" s="640"/>
      <c r="BV845" s="640"/>
      <c r="BW845" s="640"/>
      <c r="BX845" s="640"/>
      <c r="BY845" s="640"/>
      <c r="BZ845" s="640"/>
      <c r="CA845" s="640"/>
      <c r="CB845" s="640"/>
      <c r="CC845" s="640"/>
      <c r="CD845" s="640"/>
      <c r="CE845" s="640"/>
      <c r="CF845" s="640"/>
      <c r="CG845" s="640"/>
      <c r="CH845" s="641"/>
      <c r="CI845" s="627">
        <v>32250</v>
      </c>
      <c r="CJ845" s="628"/>
      <c r="CK845" s="628"/>
      <c r="CL845" s="628"/>
      <c r="CM845" s="628"/>
      <c r="CN845" s="628"/>
      <c r="CO845" s="628"/>
      <c r="CP845" s="628"/>
      <c r="CQ845" s="628"/>
      <c r="CR845" s="628"/>
      <c r="CS845" s="628"/>
      <c r="CT845" s="628"/>
      <c r="CU845" s="628"/>
      <c r="CV845" s="628"/>
      <c r="CW845" s="628"/>
      <c r="CX845" s="628"/>
      <c r="CY845" s="628"/>
      <c r="CZ845" s="629"/>
      <c r="DA845" s="214"/>
    </row>
    <row r="846" spans="1:105" s="16" customFormat="1" ht="15" customHeight="1" x14ac:dyDescent="0.3">
      <c r="A846" s="630" t="s">
        <v>483</v>
      </c>
      <c r="B846" s="631"/>
      <c r="C846" s="631"/>
      <c r="D846" s="631"/>
      <c r="E846" s="631"/>
      <c r="F846" s="631"/>
      <c r="G846" s="632"/>
      <c r="H846" s="584" t="s">
        <v>985</v>
      </c>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5"/>
      <c r="AL846" s="585"/>
      <c r="AM846" s="585"/>
      <c r="AN846" s="585"/>
      <c r="AO846" s="585"/>
      <c r="AP846" s="585"/>
      <c r="AQ846" s="585"/>
      <c r="AR846" s="585"/>
      <c r="AS846" s="585"/>
      <c r="AT846" s="586"/>
      <c r="AU846" s="475" t="s">
        <v>690</v>
      </c>
      <c r="AV846" s="476"/>
      <c r="AW846" s="476"/>
      <c r="AX846" s="476"/>
      <c r="AY846" s="476"/>
      <c r="AZ846" s="476"/>
      <c r="BA846" s="476"/>
      <c r="BB846" s="477"/>
      <c r="BC846" s="544">
        <v>164</v>
      </c>
      <c r="BD846" s="545"/>
      <c r="BE846" s="545"/>
      <c r="BF846" s="545"/>
      <c r="BG846" s="545"/>
      <c r="BH846" s="545"/>
      <c r="BI846" s="545"/>
      <c r="BJ846" s="545"/>
      <c r="BK846" s="545"/>
      <c r="BL846" s="545"/>
      <c r="BM846" s="545"/>
      <c r="BN846" s="545"/>
      <c r="BO846" s="545"/>
      <c r="BP846" s="545"/>
      <c r="BQ846" s="545"/>
      <c r="BR846" s="546"/>
      <c r="BS846" s="639">
        <f t="shared" si="30"/>
        <v>49.756097560975611</v>
      </c>
      <c r="BT846" s="640"/>
      <c r="BU846" s="640"/>
      <c r="BV846" s="640"/>
      <c r="BW846" s="640"/>
      <c r="BX846" s="640"/>
      <c r="BY846" s="640"/>
      <c r="BZ846" s="640"/>
      <c r="CA846" s="640"/>
      <c r="CB846" s="640"/>
      <c r="CC846" s="640"/>
      <c r="CD846" s="640"/>
      <c r="CE846" s="640"/>
      <c r="CF846" s="640"/>
      <c r="CG846" s="640"/>
      <c r="CH846" s="641"/>
      <c r="CI846" s="627">
        <v>8160</v>
      </c>
      <c r="CJ846" s="628"/>
      <c r="CK846" s="628"/>
      <c r="CL846" s="628"/>
      <c r="CM846" s="628"/>
      <c r="CN846" s="628"/>
      <c r="CO846" s="628"/>
      <c r="CP846" s="628"/>
      <c r="CQ846" s="628"/>
      <c r="CR846" s="628"/>
      <c r="CS846" s="628"/>
      <c r="CT846" s="628"/>
      <c r="CU846" s="628"/>
      <c r="CV846" s="628"/>
      <c r="CW846" s="628"/>
      <c r="CX846" s="628"/>
      <c r="CY846" s="628"/>
      <c r="CZ846" s="629"/>
      <c r="DA846" s="214"/>
    </row>
    <row r="847" spans="1:105" s="16" customFormat="1" ht="15" customHeight="1" x14ac:dyDescent="0.3">
      <c r="A847" s="630" t="s">
        <v>485</v>
      </c>
      <c r="B847" s="631"/>
      <c r="C847" s="631"/>
      <c r="D847" s="631"/>
      <c r="E847" s="631"/>
      <c r="F847" s="631"/>
      <c r="G847" s="632"/>
      <c r="H847" s="584" t="s">
        <v>986</v>
      </c>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5"/>
      <c r="AL847" s="585"/>
      <c r="AM847" s="585"/>
      <c r="AN847" s="585"/>
      <c r="AO847" s="585"/>
      <c r="AP847" s="585"/>
      <c r="AQ847" s="585"/>
      <c r="AR847" s="585"/>
      <c r="AS847" s="585"/>
      <c r="AT847" s="586"/>
      <c r="AU847" s="475" t="s">
        <v>690</v>
      </c>
      <c r="AV847" s="476"/>
      <c r="AW847" s="476"/>
      <c r="AX847" s="476"/>
      <c r="AY847" s="476"/>
      <c r="AZ847" s="476"/>
      <c r="BA847" s="476"/>
      <c r="BB847" s="477"/>
      <c r="BC847" s="544">
        <v>173</v>
      </c>
      <c r="BD847" s="545"/>
      <c r="BE847" s="545"/>
      <c r="BF847" s="545"/>
      <c r="BG847" s="545"/>
      <c r="BH847" s="545"/>
      <c r="BI847" s="545"/>
      <c r="BJ847" s="545"/>
      <c r="BK847" s="545"/>
      <c r="BL847" s="545"/>
      <c r="BM847" s="545"/>
      <c r="BN847" s="545"/>
      <c r="BO847" s="545"/>
      <c r="BP847" s="545"/>
      <c r="BQ847" s="545"/>
      <c r="BR847" s="546"/>
      <c r="BS847" s="639">
        <f t="shared" si="30"/>
        <v>126.35838150289017</v>
      </c>
      <c r="BT847" s="640"/>
      <c r="BU847" s="640"/>
      <c r="BV847" s="640"/>
      <c r="BW847" s="640"/>
      <c r="BX847" s="640"/>
      <c r="BY847" s="640"/>
      <c r="BZ847" s="640"/>
      <c r="CA847" s="640"/>
      <c r="CB847" s="640"/>
      <c r="CC847" s="640"/>
      <c r="CD847" s="640"/>
      <c r="CE847" s="640"/>
      <c r="CF847" s="640"/>
      <c r="CG847" s="640"/>
      <c r="CH847" s="641"/>
      <c r="CI847" s="627">
        <v>21860</v>
      </c>
      <c r="CJ847" s="628"/>
      <c r="CK847" s="628"/>
      <c r="CL847" s="628"/>
      <c r="CM847" s="628"/>
      <c r="CN847" s="628"/>
      <c r="CO847" s="628"/>
      <c r="CP847" s="628"/>
      <c r="CQ847" s="628"/>
      <c r="CR847" s="628"/>
      <c r="CS847" s="628"/>
      <c r="CT847" s="628"/>
      <c r="CU847" s="628"/>
      <c r="CV847" s="628"/>
      <c r="CW847" s="628"/>
      <c r="CX847" s="628"/>
      <c r="CY847" s="628"/>
      <c r="CZ847" s="629"/>
      <c r="DA847" s="214"/>
    </row>
    <row r="848" spans="1:105" s="16" customFormat="1" ht="15" customHeight="1" x14ac:dyDescent="0.3">
      <c r="A848" s="630" t="s">
        <v>487</v>
      </c>
      <c r="B848" s="631"/>
      <c r="C848" s="631"/>
      <c r="D848" s="631"/>
      <c r="E848" s="631"/>
      <c r="F848" s="631"/>
      <c r="G848" s="632"/>
      <c r="H848" s="584" t="s">
        <v>976</v>
      </c>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5"/>
      <c r="AL848" s="585"/>
      <c r="AM848" s="585"/>
      <c r="AN848" s="585"/>
      <c r="AO848" s="585"/>
      <c r="AP848" s="585"/>
      <c r="AQ848" s="585"/>
      <c r="AR848" s="585"/>
      <c r="AS848" s="585"/>
      <c r="AT848" s="586"/>
      <c r="AU848" s="475" t="s">
        <v>690</v>
      </c>
      <c r="AV848" s="476"/>
      <c r="AW848" s="476"/>
      <c r="AX848" s="476"/>
      <c r="AY848" s="476"/>
      <c r="AZ848" s="476"/>
      <c r="BA848" s="476"/>
      <c r="BB848" s="477"/>
      <c r="BC848" s="544">
        <v>27</v>
      </c>
      <c r="BD848" s="545"/>
      <c r="BE848" s="545"/>
      <c r="BF848" s="545"/>
      <c r="BG848" s="545"/>
      <c r="BH848" s="545"/>
      <c r="BI848" s="545"/>
      <c r="BJ848" s="545"/>
      <c r="BK848" s="545"/>
      <c r="BL848" s="545"/>
      <c r="BM848" s="545"/>
      <c r="BN848" s="545"/>
      <c r="BO848" s="545"/>
      <c r="BP848" s="545"/>
      <c r="BQ848" s="545"/>
      <c r="BR848" s="546"/>
      <c r="BS848" s="639">
        <f t="shared" si="30"/>
        <v>372.22222222222223</v>
      </c>
      <c r="BT848" s="640"/>
      <c r="BU848" s="640"/>
      <c r="BV848" s="640"/>
      <c r="BW848" s="640"/>
      <c r="BX848" s="640"/>
      <c r="BY848" s="640"/>
      <c r="BZ848" s="640"/>
      <c r="CA848" s="640"/>
      <c r="CB848" s="640"/>
      <c r="CC848" s="640"/>
      <c r="CD848" s="640"/>
      <c r="CE848" s="640"/>
      <c r="CF848" s="640"/>
      <c r="CG848" s="640"/>
      <c r="CH848" s="641"/>
      <c r="CI848" s="627">
        <v>10050</v>
      </c>
      <c r="CJ848" s="628"/>
      <c r="CK848" s="628"/>
      <c r="CL848" s="628"/>
      <c r="CM848" s="628"/>
      <c r="CN848" s="628"/>
      <c r="CO848" s="628"/>
      <c r="CP848" s="628"/>
      <c r="CQ848" s="628"/>
      <c r="CR848" s="628"/>
      <c r="CS848" s="628"/>
      <c r="CT848" s="628"/>
      <c r="CU848" s="628"/>
      <c r="CV848" s="628"/>
      <c r="CW848" s="628"/>
      <c r="CX848" s="628"/>
      <c r="CY848" s="628"/>
      <c r="CZ848" s="629"/>
      <c r="DA848" s="214"/>
    </row>
    <row r="849" spans="1:105" s="16" customFormat="1" ht="15" customHeight="1" x14ac:dyDescent="0.3">
      <c r="A849" s="630" t="s">
        <v>489</v>
      </c>
      <c r="B849" s="631"/>
      <c r="C849" s="631"/>
      <c r="D849" s="631"/>
      <c r="E849" s="631"/>
      <c r="F849" s="631"/>
      <c r="G849" s="632"/>
      <c r="H849" s="584" t="s">
        <v>987</v>
      </c>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5"/>
      <c r="AL849" s="585"/>
      <c r="AM849" s="585"/>
      <c r="AN849" s="585"/>
      <c r="AO849" s="585"/>
      <c r="AP849" s="585"/>
      <c r="AQ849" s="585"/>
      <c r="AR849" s="585"/>
      <c r="AS849" s="585"/>
      <c r="AT849" s="586"/>
      <c r="AU849" s="475" t="s">
        <v>690</v>
      </c>
      <c r="AV849" s="476"/>
      <c r="AW849" s="476"/>
      <c r="AX849" s="476"/>
      <c r="AY849" s="476"/>
      <c r="AZ849" s="476"/>
      <c r="BA849" s="476"/>
      <c r="BB849" s="477"/>
      <c r="BC849" s="544">
        <v>11</v>
      </c>
      <c r="BD849" s="545"/>
      <c r="BE849" s="545"/>
      <c r="BF849" s="545"/>
      <c r="BG849" s="545"/>
      <c r="BH849" s="545"/>
      <c r="BI849" s="545"/>
      <c r="BJ849" s="545"/>
      <c r="BK849" s="545"/>
      <c r="BL849" s="545"/>
      <c r="BM849" s="545"/>
      <c r="BN849" s="545"/>
      <c r="BO849" s="545"/>
      <c r="BP849" s="545"/>
      <c r="BQ849" s="545"/>
      <c r="BR849" s="546"/>
      <c r="BS849" s="639">
        <f t="shared" si="30"/>
        <v>509.09090909090907</v>
      </c>
      <c r="BT849" s="640"/>
      <c r="BU849" s="640"/>
      <c r="BV849" s="640"/>
      <c r="BW849" s="640"/>
      <c r="BX849" s="640"/>
      <c r="BY849" s="640"/>
      <c r="BZ849" s="640"/>
      <c r="CA849" s="640"/>
      <c r="CB849" s="640"/>
      <c r="CC849" s="640"/>
      <c r="CD849" s="640"/>
      <c r="CE849" s="640"/>
      <c r="CF849" s="640"/>
      <c r="CG849" s="640"/>
      <c r="CH849" s="641"/>
      <c r="CI849" s="627">
        <v>5600</v>
      </c>
      <c r="CJ849" s="628"/>
      <c r="CK849" s="628"/>
      <c r="CL849" s="628"/>
      <c r="CM849" s="628"/>
      <c r="CN849" s="628"/>
      <c r="CO849" s="628"/>
      <c r="CP849" s="628"/>
      <c r="CQ849" s="628"/>
      <c r="CR849" s="628"/>
      <c r="CS849" s="628"/>
      <c r="CT849" s="628"/>
      <c r="CU849" s="628"/>
      <c r="CV849" s="628"/>
      <c r="CW849" s="628"/>
      <c r="CX849" s="628"/>
      <c r="CY849" s="628"/>
      <c r="CZ849" s="629"/>
      <c r="DA849" s="214"/>
    </row>
    <row r="850" spans="1:105" s="16" customFormat="1" ht="15" customHeight="1" x14ac:dyDescent="0.3">
      <c r="A850" s="630" t="s">
        <v>491</v>
      </c>
      <c r="B850" s="631"/>
      <c r="C850" s="631"/>
      <c r="D850" s="631"/>
      <c r="E850" s="631"/>
      <c r="F850" s="631"/>
      <c r="G850" s="632"/>
      <c r="H850" s="584" t="s">
        <v>714</v>
      </c>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5"/>
      <c r="AL850" s="585"/>
      <c r="AM850" s="585"/>
      <c r="AN850" s="585"/>
      <c r="AO850" s="585"/>
      <c r="AP850" s="585"/>
      <c r="AQ850" s="585"/>
      <c r="AR850" s="585"/>
      <c r="AS850" s="585"/>
      <c r="AT850" s="586"/>
      <c r="AU850" s="475" t="s">
        <v>690</v>
      </c>
      <c r="AV850" s="476"/>
      <c r="AW850" s="476"/>
      <c r="AX850" s="476"/>
      <c r="AY850" s="476"/>
      <c r="AZ850" s="476"/>
      <c r="BA850" s="476"/>
      <c r="BB850" s="477"/>
      <c r="BC850" s="544">
        <v>15</v>
      </c>
      <c r="BD850" s="545"/>
      <c r="BE850" s="545"/>
      <c r="BF850" s="545"/>
      <c r="BG850" s="545"/>
      <c r="BH850" s="545"/>
      <c r="BI850" s="545"/>
      <c r="BJ850" s="545"/>
      <c r="BK850" s="545"/>
      <c r="BL850" s="545"/>
      <c r="BM850" s="545"/>
      <c r="BN850" s="545"/>
      <c r="BO850" s="545"/>
      <c r="BP850" s="545"/>
      <c r="BQ850" s="545"/>
      <c r="BR850" s="546"/>
      <c r="BS850" s="639">
        <f t="shared" si="30"/>
        <v>366.66666666666669</v>
      </c>
      <c r="BT850" s="640"/>
      <c r="BU850" s="640"/>
      <c r="BV850" s="640"/>
      <c r="BW850" s="640"/>
      <c r="BX850" s="640"/>
      <c r="BY850" s="640"/>
      <c r="BZ850" s="640"/>
      <c r="CA850" s="640"/>
      <c r="CB850" s="640"/>
      <c r="CC850" s="640"/>
      <c r="CD850" s="640"/>
      <c r="CE850" s="640"/>
      <c r="CF850" s="640"/>
      <c r="CG850" s="640"/>
      <c r="CH850" s="641"/>
      <c r="CI850" s="627">
        <v>5500</v>
      </c>
      <c r="CJ850" s="628"/>
      <c r="CK850" s="628"/>
      <c r="CL850" s="628"/>
      <c r="CM850" s="628"/>
      <c r="CN850" s="628"/>
      <c r="CO850" s="628"/>
      <c r="CP850" s="628"/>
      <c r="CQ850" s="628"/>
      <c r="CR850" s="628"/>
      <c r="CS850" s="628"/>
      <c r="CT850" s="628"/>
      <c r="CU850" s="628"/>
      <c r="CV850" s="628"/>
      <c r="CW850" s="628"/>
      <c r="CX850" s="628"/>
      <c r="CY850" s="628"/>
      <c r="CZ850" s="629"/>
      <c r="DA850" s="214"/>
    </row>
    <row r="851" spans="1:105" s="16" customFormat="1" ht="22.5" customHeight="1" x14ac:dyDescent="0.3">
      <c r="A851" s="630" t="s">
        <v>493</v>
      </c>
      <c r="B851" s="631"/>
      <c r="C851" s="631"/>
      <c r="D851" s="631"/>
      <c r="E851" s="631"/>
      <c r="F851" s="631"/>
      <c r="G851" s="632"/>
      <c r="H851" s="584" t="s">
        <v>919</v>
      </c>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5"/>
      <c r="AL851" s="585"/>
      <c r="AM851" s="585"/>
      <c r="AN851" s="585"/>
      <c r="AO851" s="585"/>
      <c r="AP851" s="585"/>
      <c r="AQ851" s="585"/>
      <c r="AR851" s="585"/>
      <c r="AS851" s="585"/>
      <c r="AT851" s="586"/>
      <c r="AU851" s="475" t="s">
        <v>690</v>
      </c>
      <c r="AV851" s="476"/>
      <c r="AW851" s="476"/>
      <c r="AX851" s="476"/>
      <c r="AY851" s="476"/>
      <c r="AZ851" s="476"/>
      <c r="BA851" s="476"/>
      <c r="BB851" s="477"/>
      <c r="BC851" s="544">
        <v>31</v>
      </c>
      <c r="BD851" s="545"/>
      <c r="BE851" s="545"/>
      <c r="BF851" s="545"/>
      <c r="BG851" s="545"/>
      <c r="BH851" s="545"/>
      <c r="BI851" s="545"/>
      <c r="BJ851" s="545"/>
      <c r="BK851" s="545"/>
      <c r="BL851" s="545"/>
      <c r="BM851" s="545"/>
      <c r="BN851" s="545"/>
      <c r="BO851" s="545"/>
      <c r="BP851" s="545"/>
      <c r="BQ851" s="545"/>
      <c r="BR851" s="546"/>
      <c r="BS851" s="639">
        <f t="shared" si="30"/>
        <v>564.51612903225805</v>
      </c>
      <c r="BT851" s="640"/>
      <c r="BU851" s="640"/>
      <c r="BV851" s="640"/>
      <c r="BW851" s="640"/>
      <c r="BX851" s="640"/>
      <c r="BY851" s="640"/>
      <c r="BZ851" s="640"/>
      <c r="CA851" s="640"/>
      <c r="CB851" s="640"/>
      <c r="CC851" s="640"/>
      <c r="CD851" s="640"/>
      <c r="CE851" s="640"/>
      <c r="CF851" s="640"/>
      <c r="CG851" s="640"/>
      <c r="CH851" s="641"/>
      <c r="CI851" s="627">
        <v>17500</v>
      </c>
      <c r="CJ851" s="628"/>
      <c r="CK851" s="628"/>
      <c r="CL851" s="628"/>
      <c r="CM851" s="628"/>
      <c r="CN851" s="628"/>
      <c r="CO851" s="628"/>
      <c r="CP851" s="628"/>
      <c r="CQ851" s="628"/>
      <c r="CR851" s="628"/>
      <c r="CS851" s="628"/>
      <c r="CT851" s="628"/>
      <c r="CU851" s="628"/>
      <c r="CV851" s="628"/>
      <c r="CW851" s="628"/>
      <c r="CX851" s="628"/>
      <c r="CY851" s="628"/>
      <c r="CZ851" s="629"/>
      <c r="DA851" s="214"/>
    </row>
    <row r="852" spans="1:105" s="16" customFormat="1" ht="15" customHeight="1" x14ac:dyDescent="0.3">
      <c r="A852" s="630" t="s">
        <v>515</v>
      </c>
      <c r="B852" s="631"/>
      <c r="C852" s="631"/>
      <c r="D852" s="631"/>
      <c r="E852" s="631"/>
      <c r="F852" s="631"/>
      <c r="G852" s="632"/>
      <c r="H852" s="584" t="s">
        <v>988</v>
      </c>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5"/>
      <c r="AL852" s="585"/>
      <c r="AM852" s="585"/>
      <c r="AN852" s="585"/>
      <c r="AO852" s="585"/>
      <c r="AP852" s="585"/>
      <c r="AQ852" s="585"/>
      <c r="AR852" s="585"/>
      <c r="AS852" s="585"/>
      <c r="AT852" s="586"/>
      <c r="AU852" s="475" t="s">
        <v>690</v>
      </c>
      <c r="AV852" s="476"/>
      <c r="AW852" s="476"/>
      <c r="AX852" s="476"/>
      <c r="AY852" s="476"/>
      <c r="AZ852" s="476"/>
      <c r="BA852" s="476"/>
      <c r="BB852" s="477"/>
      <c r="BC852" s="544">
        <v>4</v>
      </c>
      <c r="BD852" s="545"/>
      <c r="BE852" s="545"/>
      <c r="BF852" s="545"/>
      <c r="BG852" s="545"/>
      <c r="BH852" s="545"/>
      <c r="BI852" s="545"/>
      <c r="BJ852" s="545"/>
      <c r="BK852" s="545"/>
      <c r="BL852" s="545"/>
      <c r="BM852" s="545"/>
      <c r="BN852" s="545"/>
      <c r="BO852" s="545"/>
      <c r="BP852" s="545"/>
      <c r="BQ852" s="545"/>
      <c r="BR852" s="546"/>
      <c r="BS852" s="639">
        <f t="shared" si="30"/>
        <v>4000</v>
      </c>
      <c r="BT852" s="640"/>
      <c r="BU852" s="640"/>
      <c r="BV852" s="640"/>
      <c r="BW852" s="640"/>
      <c r="BX852" s="640"/>
      <c r="BY852" s="640"/>
      <c r="BZ852" s="640"/>
      <c r="CA852" s="640"/>
      <c r="CB852" s="640"/>
      <c r="CC852" s="640"/>
      <c r="CD852" s="640"/>
      <c r="CE852" s="640"/>
      <c r="CF852" s="640"/>
      <c r="CG852" s="640"/>
      <c r="CH852" s="641"/>
      <c r="CI852" s="627">
        <v>16000</v>
      </c>
      <c r="CJ852" s="628"/>
      <c r="CK852" s="628"/>
      <c r="CL852" s="628"/>
      <c r="CM852" s="628"/>
      <c r="CN852" s="628"/>
      <c r="CO852" s="628"/>
      <c r="CP852" s="628"/>
      <c r="CQ852" s="628"/>
      <c r="CR852" s="628"/>
      <c r="CS852" s="628"/>
      <c r="CT852" s="628"/>
      <c r="CU852" s="628"/>
      <c r="CV852" s="628"/>
      <c r="CW852" s="628"/>
      <c r="CX852" s="628"/>
      <c r="CY852" s="628"/>
      <c r="CZ852" s="629"/>
      <c r="DA852" s="214"/>
    </row>
    <row r="853" spans="1:105" s="16" customFormat="1" ht="24" customHeight="1" x14ac:dyDescent="0.3">
      <c r="A853" s="630" t="s">
        <v>519</v>
      </c>
      <c r="B853" s="631"/>
      <c r="C853" s="631"/>
      <c r="D853" s="631"/>
      <c r="E853" s="631"/>
      <c r="F853" s="631"/>
      <c r="G853" s="632"/>
      <c r="H853" s="584" t="s">
        <v>989</v>
      </c>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5"/>
      <c r="AL853" s="585"/>
      <c r="AM853" s="585"/>
      <c r="AN853" s="585"/>
      <c r="AO853" s="585"/>
      <c r="AP853" s="585"/>
      <c r="AQ853" s="585"/>
      <c r="AR853" s="585"/>
      <c r="AS853" s="585"/>
      <c r="AT853" s="586"/>
      <c r="AU853" s="475" t="s">
        <v>690</v>
      </c>
      <c r="AV853" s="476"/>
      <c r="AW853" s="476"/>
      <c r="AX853" s="476"/>
      <c r="AY853" s="476"/>
      <c r="AZ853" s="476"/>
      <c r="BA853" s="476"/>
      <c r="BB853" s="477"/>
      <c r="BC853" s="544">
        <v>26</v>
      </c>
      <c r="BD853" s="545"/>
      <c r="BE853" s="545"/>
      <c r="BF853" s="545"/>
      <c r="BG853" s="545"/>
      <c r="BH853" s="545"/>
      <c r="BI853" s="545"/>
      <c r="BJ853" s="545"/>
      <c r="BK853" s="545"/>
      <c r="BL853" s="545"/>
      <c r="BM853" s="545"/>
      <c r="BN853" s="545"/>
      <c r="BO853" s="545"/>
      <c r="BP853" s="545"/>
      <c r="BQ853" s="545"/>
      <c r="BR853" s="546"/>
      <c r="BS853" s="639">
        <f t="shared" si="30"/>
        <v>800</v>
      </c>
      <c r="BT853" s="640"/>
      <c r="BU853" s="640"/>
      <c r="BV853" s="640"/>
      <c r="BW853" s="640"/>
      <c r="BX853" s="640"/>
      <c r="BY853" s="640"/>
      <c r="BZ853" s="640"/>
      <c r="CA853" s="640"/>
      <c r="CB853" s="640"/>
      <c r="CC853" s="640"/>
      <c r="CD853" s="640"/>
      <c r="CE853" s="640"/>
      <c r="CF853" s="640"/>
      <c r="CG853" s="640"/>
      <c r="CH853" s="641"/>
      <c r="CI853" s="627">
        <v>20800</v>
      </c>
      <c r="CJ853" s="628"/>
      <c r="CK853" s="628"/>
      <c r="CL853" s="628"/>
      <c r="CM853" s="628"/>
      <c r="CN853" s="628"/>
      <c r="CO853" s="628"/>
      <c r="CP853" s="628"/>
      <c r="CQ853" s="628"/>
      <c r="CR853" s="628"/>
      <c r="CS853" s="628"/>
      <c r="CT853" s="628"/>
      <c r="CU853" s="628"/>
      <c r="CV853" s="628"/>
      <c r="CW853" s="628"/>
      <c r="CX853" s="628"/>
      <c r="CY853" s="628"/>
      <c r="CZ853" s="629"/>
      <c r="DA853" s="214"/>
    </row>
    <row r="854" spans="1:105" s="16" customFormat="1" ht="15" customHeight="1" x14ac:dyDescent="0.3">
      <c r="A854" s="630" t="s">
        <v>521</v>
      </c>
      <c r="B854" s="631"/>
      <c r="C854" s="631"/>
      <c r="D854" s="631"/>
      <c r="E854" s="631"/>
      <c r="F854" s="631"/>
      <c r="G854" s="632"/>
      <c r="H854" s="584" t="s">
        <v>990</v>
      </c>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5"/>
      <c r="AL854" s="585"/>
      <c r="AM854" s="585"/>
      <c r="AN854" s="585"/>
      <c r="AO854" s="585"/>
      <c r="AP854" s="585"/>
      <c r="AQ854" s="585"/>
      <c r="AR854" s="585"/>
      <c r="AS854" s="585"/>
      <c r="AT854" s="586"/>
      <c r="AU854" s="475" t="s">
        <v>690</v>
      </c>
      <c r="AV854" s="476"/>
      <c r="AW854" s="476"/>
      <c r="AX854" s="476"/>
      <c r="AY854" s="476"/>
      <c r="AZ854" s="476"/>
      <c r="BA854" s="476"/>
      <c r="BB854" s="477"/>
      <c r="BC854" s="544">
        <v>9</v>
      </c>
      <c r="BD854" s="545"/>
      <c r="BE854" s="545"/>
      <c r="BF854" s="545"/>
      <c r="BG854" s="545"/>
      <c r="BH854" s="545"/>
      <c r="BI854" s="545"/>
      <c r="BJ854" s="545"/>
      <c r="BK854" s="545"/>
      <c r="BL854" s="545"/>
      <c r="BM854" s="545"/>
      <c r="BN854" s="545"/>
      <c r="BO854" s="545"/>
      <c r="BP854" s="545"/>
      <c r="BQ854" s="545"/>
      <c r="BR854" s="546"/>
      <c r="BS854" s="639">
        <f t="shared" si="30"/>
        <v>1500</v>
      </c>
      <c r="BT854" s="640"/>
      <c r="BU854" s="640"/>
      <c r="BV854" s="640"/>
      <c r="BW854" s="640"/>
      <c r="BX854" s="640"/>
      <c r="BY854" s="640"/>
      <c r="BZ854" s="640"/>
      <c r="CA854" s="640"/>
      <c r="CB854" s="640"/>
      <c r="CC854" s="640"/>
      <c r="CD854" s="640"/>
      <c r="CE854" s="640"/>
      <c r="CF854" s="640"/>
      <c r="CG854" s="640"/>
      <c r="CH854" s="641"/>
      <c r="CI854" s="627">
        <v>13500</v>
      </c>
      <c r="CJ854" s="628"/>
      <c r="CK854" s="628"/>
      <c r="CL854" s="628"/>
      <c r="CM854" s="628"/>
      <c r="CN854" s="628"/>
      <c r="CO854" s="628"/>
      <c r="CP854" s="628"/>
      <c r="CQ854" s="628"/>
      <c r="CR854" s="628"/>
      <c r="CS854" s="628"/>
      <c r="CT854" s="628"/>
      <c r="CU854" s="628"/>
      <c r="CV854" s="628"/>
      <c r="CW854" s="628"/>
      <c r="CX854" s="628"/>
      <c r="CY854" s="628"/>
      <c r="CZ854" s="629"/>
      <c r="DA854" s="214"/>
    </row>
    <row r="855" spans="1:105" s="16" customFormat="1" ht="15" customHeight="1" x14ac:dyDescent="0.3">
      <c r="A855" s="630" t="s">
        <v>523</v>
      </c>
      <c r="B855" s="631"/>
      <c r="C855" s="631"/>
      <c r="D855" s="631"/>
      <c r="E855" s="631"/>
      <c r="F855" s="631"/>
      <c r="G855" s="632"/>
      <c r="H855" s="584" t="s">
        <v>973</v>
      </c>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5"/>
      <c r="AL855" s="585"/>
      <c r="AM855" s="585"/>
      <c r="AN855" s="585"/>
      <c r="AO855" s="585"/>
      <c r="AP855" s="585"/>
      <c r="AQ855" s="585"/>
      <c r="AR855" s="585"/>
      <c r="AS855" s="585"/>
      <c r="AT855" s="586"/>
      <c r="AU855" s="475" t="s">
        <v>690</v>
      </c>
      <c r="AV855" s="476"/>
      <c r="AW855" s="476"/>
      <c r="AX855" s="476"/>
      <c r="AY855" s="476"/>
      <c r="AZ855" s="476"/>
      <c r="BA855" s="476"/>
      <c r="BB855" s="477"/>
      <c r="BC855" s="544">
        <v>10</v>
      </c>
      <c r="BD855" s="545"/>
      <c r="BE855" s="545"/>
      <c r="BF855" s="545"/>
      <c r="BG855" s="545"/>
      <c r="BH855" s="545"/>
      <c r="BI855" s="545"/>
      <c r="BJ855" s="545"/>
      <c r="BK855" s="545"/>
      <c r="BL855" s="545"/>
      <c r="BM855" s="545"/>
      <c r="BN855" s="545"/>
      <c r="BO855" s="545"/>
      <c r="BP855" s="545"/>
      <c r="BQ855" s="545"/>
      <c r="BR855" s="546"/>
      <c r="BS855" s="639">
        <f t="shared" si="30"/>
        <v>800</v>
      </c>
      <c r="BT855" s="640"/>
      <c r="BU855" s="640"/>
      <c r="BV855" s="640"/>
      <c r="BW855" s="640"/>
      <c r="BX855" s="640"/>
      <c r="BY855" s="640"/>
      <c r="BZ855" s="640"/>
      <c r="CA855" s="640"/>
      <c r="CB855" s="640"/>
      <c r="CC855" s="640"/>
      <c r="CD855" s="640"/>
      <c r="CE855" s="640"/>
      <c r="CF855" s="640"/>
      <c r="CG855" s="640"/>
      <c r="CH855" s="641"/>
      <c r="CI855" s="627">
        <v>8000</v>
      </c>
      <c r="CJ855" s="628"/>
      <c r="CK855" s="628"/>
      <c r="CL855" s="628"/>
      <c r="CM855" s="628"/>
      <c r="CN855" s="628"/>
      <c r="CO855" s="628"/>
      <c r="CP855" s="628"/>
      <c r="CQ855" s="628"/>
      <c r="CR855" s="628"/>
      <c r="CS855" s="628"/>
      <c r="CT855" s="628"/>
      <c r="CU855" s="628"/>
      <c r="CV855" s="628"/>
      <c r="CW855" s="628"/>
      <c r="CX855" s="628"/>
      <c r="CY855" s="628"/>
      <c r="CZ855" s="629"/>
      <c r="DA855" s="214"/>
    </row>
    <row r="856" spans="1:105" s="16" customFormat="1" ht="15" hidden="1" customHeight="1" x14ac:dyDescent="0.3">
      <c r="A856" s="630" t="s">
        <v>662</v>
      </c>
      <c r="B856" s="631"/>
      <c r="C856" s="631"/>
      <c r="D856" s="631"/>
      <c r="E856" s="631"/>
      <c r="F856" s="631"/>
      <c r="G856" s="632"/>
      <c r="H856" s="584"/>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5"/>
      <c r="AL856" s="585"/>
      <c r="AM856" s="585"/>
      <c r="AN856" s="585"/>
      <c r="AO856" s="585"/>
      <c r="AP856" s="585"/>
      <c r="AQ856" s="585"/>
      <c r="AR856" s="585"/>
      <c r="AS856" s="585"/>
      <c r="AT856" s="586"/>
      <c r="AU856" s="475" t="s">
        <v>690</v>
      </c>
      <c r="AV856" s="476"/>
      <c r="AW856" s="476"/>
      <c r="AX856" s="476"/>
      <c r="AY856" s="476"/>
      <c r="AZ856" s="476"/>
      <c r="BA856" s="476"/>
      <c r="BB856" s="477"/>
      <c r="BC856" s="544"/>
      <c r="BD856" s="545"/>
      <c r="BE856" s="545"/>
      <c r="BF856" s="545"/>
      <c r="BG856" s="545"/>
      <c r="BH856" s="545"/>
      <c r="BI856" s="545"/>
      <c r="BJ856" s="545"/>
      <c r="BK856" s="545"/>
      <c r="BL856" s="545"/>
      <c r="BM856" s="545"/>
      <c r="BN856" s="545"/>
      <c r="BO856" s="545"/>
      <c r="BP856" s="545"/>
      <c r="BQ856" s="545"/>
      <c r="BR856" s="546"/>
      <c r="BS856" s="639"/>
      <c r="BT856" s="640"/>
      <c r="BU856" s="640"/>
      <c r="BV856" s="640"/>
      <c r="BW856" s="640"/>
      <c r="BX856" s="640"/>
      <c r="BY856" s="640"/>
      <c r="BZ856" s="640"/>
      <c r="CA856" s="640"/>
      <c r="CB856" s="640"/>
      <c r="CC856" s="640"/>
      <c r="CD856" s="640"/>
      <c r="CE856" s="640"/>
      <c r="CF856" s="640"/>
      <c r="CG856" s="640"/>
      <c r="CH856" s="641"/>
      <c r="CI856" s="627"/>
      <c r="CJ856" s="628"/>
      <c r="CK856" s="628"/>
      <c r="CL856" s="628"/>
      <c r="CM856" s="628"/>
      <c r="CN856" s="628"/>
      <c r="CO856" s="628"/>
      <c r="CP856" s="628"/>
      <c r="CQ856" s="628"/>
      <c r="CR856" s="628"/>
      <c r="CS856" s="628"/>
      <c r="CT856" s="628"/>
      <c r="CU856" s="628"/>
      <c r="CV856" s="628"/>
      <c r="CW856" s="628"/>
      <c r="CX856" s="628"/>
      <c r="CY856" s="628"/>
      <c r="CZ856" s="629"/>
      <c r="DA856" s="214"/>
    </row>
    <row r="857" spans="1:105" s="16" customFormat="1" ht="15" hidden="1" customHeight="1" x14ac:dyDescent="0.3">
      <c r="A857" s="630" t="s">
        <v>666</v>
      </c>
      <c r="B857" s="631"/>
      <c r="C857" s="631"/>
      <c r="D857" s="631"/>
      <c r="E857" s="631"/>
      <c r="F857" s="631"/>
      <c r="G857" s="632"/>
      <c r="H857" s="584"/>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5"/>
      <c r="AL857" s="585"/>
      <c r="AM857" s="585"/>
      <c r="AN857" s="585"/>
      <c r="AO857" s="585"/>
      <c r="AP857" s="585"/>
      <c r="AQ857" s="585"/>
      <c r="AR857" s="585"/>
      <c r="AS857" s="585"/>
      <c r="AT857" s="586"/>
      <c r="AU857" s="475" t="s">
        <v>690</v>
      </c>
      <c r="AV857" s="476"/>
      <c r="AW857" s="476"/>
      <c r="AX857" s="476"/>
      <c r="AY857" s="476"/>
      <c r="AZ857" s="476"/>
      <c r="BA857" s="476"/>
      <c r="BB857" s="477"/>
      <c r="BC857" s="544"/>
      <c r="BD857" s="545"/>
      <c r="BE857" s="545"/>
      <c r="BF857" s="545"/>
      <c r="BG857" s="545"/>
      <c r="BH857" s="545"/>
      <c r="BI857" s="545"/>
      <c r="BJ857" s="545"/>
      <c r="BK857" s="545"/>
      <c r="BL857" s="545"/>
      <c r="BM857" s="545"/>
      <c r="BN857" s="545"/>
      <c r="BO857" s="545"/>
      <c r="BP857" s="545"/>
      <c r="BQ857" s="545"/>
      <c r="BR857" s="546"/>
      <c r="BS857" s="639"/>
      <c r="BT857" s="640"/>
      <c r="BU857" s="640"/>
      <c r="BV857" s="640"/>
      <c r="BW857" s="640"/>
      <c r="BX857" s="640"/>
      <c r="BY857" s="640"/>
      <c r="BZ857" s="640"/>
      <c r="CA857" s="640"/>
      <c r="CB857" s="640"/>
      <c r="CC857" s="640"/>
      <c r="CD857" s="640"/>
      <c r="CE857" s="640"/>
      <c r="CF857" s="640"/>
      <c r="CG857" s="640"/>
      <c r="CH857" s="641"/>
      <c r="CI857" s="627"/>
      <c r="CJ857" s="628"/>
      <c r="CK857" s="628"/>
      <c r="CL857" s="628"/>
      <c r="CM857" s="628"/>
      <c r="CN857" s="628"/>
      <c r="CO857" s="628"/>
      <c r="CP857" s="628"/>
      <c r="CQ857" s="628"/>
      <c r="CR857" s="628"/>
      <c r="CS857" s="628"/>
      <c r="CT857" s="628"/>
      <c r="CU857" s="628"/>
      <c r="CV857" s="628"/>
      <c r="CW857" s="628"/>
      <c r="CX857" s="628"/>
      <c r="CY857" s="628"/>
      <c r="CZ857" s="629"/>
      <c r="DA857" s="214"/>
    </row>
    <row r="858" spans="1:105" s="16" customFormat="1" ht="15" hidden="1" customHeight="1" x14ac:dyDescent="0.3">
      <c r="A858" s="630" t="s">
        <v>667</v>
      </c>
      <c r="B858" s="631"/>
      <c r="C858" s="631"/>
      <c r="D858" s="631"/>
      <c r="E858" s="631"/>
      <c r="F858" s="631"/>
      <c r="G858" s="632"/>
      <c r="H858" s="584"/>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5"/>
      <c r="AL858" s="585"/>
      <c r="AM858" s="585"/>
      <c r="AN858" s="585"/>
      <c r="AO858" s="585"/>
      <c r="AP858" s="585"/>
      <c r="AQ858" s="585"/>
      <c r="AR858" s="585"/>
      <c r="AS858" s="585"/>
      <c r="AT858" s="586"/>
      <c r="AU858" s="475" t="s">
        <v>690</v>
      </c>
      <c r="AV858" s="476"/>
      <c r="AW858" s="476"/>
      <c r="AX858" s="476"/>
      <c r="AY858" s="476"/>
      <c r="AZ858" s="476"/>
      <c r="BA858" s="476"/>
      <c r="BB858" s="477"/>
      <c r="BC858" s="544"/>
      <c r="BD858" s="545"/>
      <c r="BE858" s="545"/>
      <c r="BF858" s="545"/>
      <c r="BG858" s="545"/>
      <c r="BH858" s="545"/>
      <c r="BI858" s="545"/>
      <c r="BJ858" s="545"/>
      <c r="BK858" s="545"/>
      <c r="BL858" s="545"/>
      <c r="BM858" s="545"/>
      <c r="BN858" s="545"/>
      <c r="BO858" s="545"/>
      <c r="BP858" s="545"/>
      <c r="BQ858" s="545"/>
      <c r="BR858" s="546"/>
      <c r="BS858" s="639"/>
      <c r="BT858" s="640"/>
      <c r="BU858" s="640"/>
      <c r="BV858" s="640"/>
      <c r="BW858" s="640"/>
      <c r="BX858" s="640"/>
      <c r="BY858" s="640"/>
      <c r="BZ858" s="640"/>
      <c r="CA858" s="640"/>
      <c r="CB858" s="640"/>
      <c r="CC858" s="640"/>
      <c r="CD858" s="640"/>
      <c r="CE858" s="640"/>
      <c r="CF858" s="640"/>
      <c r="CG858" s="640"/>
      <c r="CH858" s="641"/>
      <c r="CI858" s="627"/>
      <c r="CJ858" s="628"/>
      <c r="CK858" s="628"/>
      <c r="CL858" s="628"/>
      <c r="CM858" s="628"/>
      <c r="CN858" s="628"/>
      <c r="CO858" s="628"/>
      <c r="CP858" s="628"/>
      <c r="CQ858" s="628"/>
      <c r="CR858" s="628"/>
      <c r="CS858" s="628"/>
      <c r="CT858" s="628"/>
      <c r="CU858" s="628"/>
      <c r="CV858" s="628"/>
      <c r="CW858" s="628"/>
      <c r="CX858" s="628"/>
      <c r="CY858" s="628"/>
      <c r="CZ858" s="629"/>
      <c r="DA858" s="214"/>
    </row>
    <row r="859" spans="1:105" s="16" customFormat="1" ht="15" hidden="1" customHeight="1" x14ac:dyDescent="0.3">
      <c r="A859" s="630" t="s">
        <v>670</v>
      </c>
      <c r="B859" s="631"/>
      <c r="C859" s="631"/>
      <c r="D859" s="631"/>
      <c r="E859" s="631"/>
      <c r="F859" s="631"/>
      <c r="G859" s="632"/>
      <c r="H859" s="584"/>
      <c r="I859" s="585"/>
      <c r="J859" s="585"/>
      <c r="K859" s="585"/>
      <c r="L859" s="585"/>
      <c r="M859" s="585"/>
      <c r="N859" s="585"/>
      <c r="O859" s="585"/>
      <c r="P859" s="585"/>
      <c r="Q859" s="585"/>
      <c r="R859" s="585"/>
      <c r="S859" s="585"/>
      <c r="T859" s="585"/>
      <c r="U859" s="585"/>
      <c r="V859" s="585"/>
      <c r="W859" s="585"/>
      <c r="X859" s="585"/>
      <c r="Y859" s="585"/>
      <c r="Z859" s="585"/>
      <c r="AA859" s="585"/>
      <c r="AB859" s="585"/>
      <c r="AC859" s="585"/>
      <c r="AD859" s="585"/>
      <c r="AE859" s="585"/>
      <c r="AF859" s="585"/>
      <c r="AG859" s="585"/>
      <c r="AH859" s="585"/>
      <c r="AI859" s="585"/>
      <c r="AJ859" s="585"/>
      <c r="AK859" s="585"/>
      <c r="AL859" s="585"/>
      <c r="AM859" s="585"/>
      <c r="AN859" s="585"/>
      <c r="AO859" s="585"/>
      <c r="AP859" s="585"/>
      <c r="AQ859" s="585"/>
      <c r="AR859" s="585"/>
      <c r="AS859" s="585"/>
      <c r="AT859" s="586"/>
      <c r="AU859" s="475" t="s">
        <v>690</v>
      </c>
      <c r="AV859" s="476"/>
      <c r="AW859" s="476"/>
      <c r="AX859" s="476"/>
      <c r="AY859" s="476"/>
      <c r="AZ859" s="476"/>
      <c r="BA859" s="476"/>
      <c r="BB859" s="477"/>
      <c r="BC859" s="544"/>
      <c r="BD859" s="545"/>
      <c r="BE859" s="545"/>
      <c r="BF859" s="545"/>
      <c r="BG859" s="545"/>
      <c r="BH859" s="545"/>
      <c r="BI859" s="545"/>
      <c r="BJ859" s="545"/>
      <c r="BK859" s="545"/>
      <c r="BL859" s="545"/>
      <c r="BM859" s="545"/>
      <c r="BN859" s="545"/>
      <c r="BO859" s="545"/>
      <c r="BP859" s="545"/>
      <c r="BQ859" s="545"/>
      <c r="BR859" s="546"/>
      <c r="BS859" s="639"/>
      <c r="BT859" s="640"/>
      <c r="BU859" s="640"/>
      <c r="BV859" s="640"/>
      <c r="BW859" s="640"/>
      <c r="BX859" s="640"/>
      <c r="BY859" s="640"/>
      <c r="BZ859" s="640"/>
      <c r="CA859" s="640"/>
      <c r="CB859" s="640"/>
      <c r="CC859" s="640"/>
      <c r="CD859" s="640"/>
      <c r="CE859" s="640"/>
      <c r="CF859" s="640"/>
      <c r="CG859" s="640"/>
      <c r="CH859" s="641"/>
      <c r="CI859" s="627"/>
      <c r="CJ859" s="628"/>
      <c r="CK859" s="628"/>
      <c r="CL859" s="628"/>
      <c r="CM859" s="628"/>
      <c r="CN859" s="628"/>
      <c r="CO859" s="628"/>
      <c r="CP859" s="628"/>
      <c r="CQ859" s="628"/>
      <c r="CR859" s="628"/>
      <c r="CS859" s="628"/>
      <c r="CT859" s="628"/>
      <c r="CU859" s="628"/>
      <c r="CV859" s="628"/>
      <c r="CW859" s="628"/>
      <c r="CX859" s="628"/>
      <c r="CY859" s="628"/>
      <c r="CZ859" s="629"/>
      <c r="DA859" s="220"/>
    </row>
    <row r="860" spans="1:105" s="16" customFormat="1" ht="15" hidden="1" customHeight="1" x14ac:dyDescent="0.3">
      <c r="A860" s="630" t="s">
        <v>672</v>
      </c>
      <c r="B860" s="631"/>
      <c r="C860" s="631"/>
      <c r="D860" s="631"/>
      <c r="E860" s="631"/>
      <c r="F860" s="631"/>
      <c r="G860" s="632"/>
      <c r="H860" s="584"/>
      <c r="I860" s="585"/>
      <c r="J860" s="585"/>
      <c r="K860" s="585"/>
      <c r="L860" s="585"/>
      <c r="M860" s="585"/>
      <c r="N860" s="585"/>
      <c r="O860" s="585"/>
      <c r="P860" s="585"/>
      <c r="Q860" s="585"/>
      <c r="R860" s="585"/>
      <c r="S860" s="585"/>
      <c r="T860" s="585"/>
      <c r="U860" s="585"/>
      <c r="V860" s="585"/>
      <c r="W860" s="585"/>
      <c r="X860" s="585"/>
      <c r="Y860" s="585"/>
      <c r="Z860" s="585"/>
      <c r="AA860" s="585"/>
      <c r="AB860" s="585"/>
      <c r="AC860" s="585"/>
      <c r="AD860" s="585"/>
      <c r="AE860" s="585"/>
      <c r="AF860" s="585"/>
      <c r="AG860" s="585"/>
      <c r="AH860" s="585"/>
      <c r="AI860" s="585"/>
      <c r="AJ860" s="585"/>
      <c r="AK860" s="585"/>
      <c r="AL860" s="585"/>
      <c r="AM860" s="585"/>
      <c r="AN860" s="585"/>
      <c r="AO860" s="585"/>
      <c r="AP860" s="585"/>
      <c r="AQ860" s="585"/>
      <c r="AR860" s="585"/>
      <c r="AS860" s="585"/>
      <c r="AT860" s="586"/>
      <c r="AU860" s="475" t="s">
        <v>690</v>
      </c>
      <c r="AV860" s="476"/>
      <c r="AW860" s="476"/>
      <c r="AX860" s="476"/>
      <c r="AY860" s="476"/>
      <c r="AZ860" s="476"/>
      <c r="BA860" s="476"/>
      <c r="BB860" s="477"/>
      <c r="BC860" s="544"/>
      <c r="BD860" s="545"/>
      <c r="BE860" s="545"/>
      <c r="BF860" s="545"/>
      <c r="BG860" s="545"/>
      <c r="BH860" s="545"/>
      <c r="BI860" s="545"/>
      <c r="BJ860" s="545"/>
      <c r="BK860" s="545"/>
      <c r="BL860" s="545"/>
      <c r="BM860" s="545"/>
      <c r="BN860" s="545"/>
      <c r="BO860" s="545"/>
      <c r="BP860" s="545"/>
      <c r="BQ860" s="545"/>
      <c r="BR860" s="546"/>
      <c r="BS860" s="639"/>
      <c r="BT860" s="640"/>
      <c r="BU860" s="640"/>
      <c r="BV860" s="640"/>
      <c r="BW860" s="640"/>
      <c r="BX860" s="640"/>
      <c r="BY860" s="640"/>
      <c r="BZ860" s="640"/>
      <c r="CA860" s="640"/>
      <c r="CB860" s="640"/>
      <c r="CC860" s="640"/>
      <c r="CD860" s="640"/>
      <c r="CE860" s="640"/>
      <c r="CF860" s="640"/>
      <c r="CG860" s="640"/>
      <c r="CH860" s="641"/>
      <c r="CI860" s="627"/>
      <c r="CJ860" s="628"/>
      <c r="CK860" s="628"/>
      <c r="CL860" s="628"/>
      <c r="CM860" s="628"/>
      <c r="CN860" s="628"/>
      <c r="CO860" s="628"/>
      <c r="CP860" s="628"/>
      <c r="CQ860" s="628"/>
      <c r="CR860" s="628"/>
      <c r="CS860" s="628"/>
      <c r="CT860" s="628"/>
      <c r="CU860" s="628"/>
      <c r="CV860" s="628"/>
      <c r="CW860" s="628"/>
      <c r="CX860" s="628"/>
      <c r="CY860" s="628"/>
      <c r="CZ860" s="629"/>
      <c r="DA860" s="220"/>
    </row>
    <row r="861" spans="1:105" s="16" customFormat="1" ht="15" hidden="1" customHeight="1" x14ac:dyDescent="0.3">
      <c r="A861" s="630" t="s">
        <v>654</v>
      </c>
      <c r="B861" s="631"/>
      <c r="C861" s="631"/>
      <c r="D861" s="631"/>
      <c r="E861" s="631"/>
      <c r="F861" s="631"/>
      <c r="G861" s="632"/>
      <c r="H861" s="584"/>
      <c r="I861" s="585"/>
      <c r="J861" s="585"/>
      <c r="K861" s="585"/>
      <c r="L861" s="585"/>
      <c r="M861" s="585"/>
      <c r="N861" s="585"/>
      <c r="O861" s="585"/>
      <c r="P861" s="585"/>
      <c r="Q861" s="585"/>
      <c r="R861" s="585"/>
      <c r="S861" s="585"/>
      <c r="T861" s="585"/>
      <c r="U861" s="585"/>
      <c r="V861" s="585"/>
      <c r="W861" s="585"/>
      <c r="X861" s="585"/>
      <c r="Y861" s="585"/>
      <c r="Z861" s="585"/>
      <c r="AA861" s="585"/>
      <c r="AB861" s="585"/>
      <c r="AC861" s="585"/>
      <c r="AD861" s="585"/>
      <c r="AE861" s="585"/>
      <c r="AF861" s="585"/>
      <c r="AG861" s="585"/>
      <c r="AH861" s="585"/>
      <c r="AI861" s="585"/>
      <c r="AJ861" s="585"/>
      <c r="AK861" s="585"/>
      <c r="AL861" s="585"/>
      <c r="AM861" s="585"/>
      <c r="AN861" s="585"/>
      <c r="AO861" s="585"/>
      <c r="AP861" s="585"/>
      <c r="AQ861" s="585"/>
      <c r="AR861" s="585"/>
      <c r="AS861" s="585"/>
      <c r="AT861" s="586"/>
      <c r="AU861" s="475" t="s">
        <v>690</v>
      </c>
      <c r="AV861" s="476"/>
      <c r="AW861" s="476"/>
      <c r="AX861" s="476"/>
      <c r="AY861" s="476"/>
      <c r="AZ861" s="476"/>
      <c r="BA861" s="476"/>
      <c r="BB861" s="477"/>
      <c r="BC861" s="544"/>
      <c r="BD861" s="545"/>
      <c r="BE861" s="545"/>
      <c r="BF861" s="545"/>
      <c r="BG861" s="545"/>
      <c r="BH861" s="545"/>
      <c r="BI861" s="545"/>
      <c r="BJ861" s="545"/>
      <c r="BK861" s="545"/>
      <c r="BL861" s="545"/>
      <c r="BM861" s="545"/>
      <c r="BN861" s="545"/>
      <c r="BO861" s="545"/>
      <c r="BP861" s="545"/>
      <c r="BQ861" s="545"/>
      <c r="BR861" s="546"/>
      <c r="BS861" s="639"/>
      <c r="BT861" s="640"/>
      <c r="BU861" s="640"/>
      <c r="BV861" s="640"/>
      <c r="BW861" s="640"/>
      <c r="BX861" s="640"/>
      <c r="BY861" s="640"/>
      <c r="BZ861" s="640"/>
      <c r="CA861" s="640"/>
      <c r="CB861" s="640"/>
      <c r="CC861" s="640"/>
      <c r="CD861" s="640"/>
      <c r="CE861" s="640"/>
      <c r="CF861" s="640"/>
      <c r="CG861" s="640"/>
      <c r="CH861" s="641"/>
      <c r="CI861" s="627"/>
      <c r="CJ861" s="628"/>
      <c r="CK861" s="628"/>
      <c r="CL861" s="628"/>
      <c r="CM861" s="628"/>
      <c r="CN861" s="628"/>
      <c r="CO861" s="628"/>
      <c r="CP861" s="628"/>
      <c r="CQ861" s="628"/>
      <c r="CR861" s="628"/>
      <c r="CS861" s="628"/>
      <c r="CT861" s="628"/>
      <c r="CU861" s="628"/>
      <c r="CV861" s="628"/>
      <c r="CW861" s="628"/>
      <c r="CX861" s="628"/>
      <c r="CY861" s="628"/>
      <c r="CZ861" s="629"/>
      <c r="DA861" s="214"/>
    </row>
    <row r="862" spans="1:105" s="16" customFormat="1" ht="21" hidden="1" customHeight="1" x14ac:dyDescent="0.3">
      <c r="A862" s="630"/>
      <c r="B862" s="631"/>
      <c r="C862" s="631"/>
      <c r="D862" s="631"/>
      <c r="E862" s="631"/>
      <c r="F862" s="631"/>
      <c r="G862" s="632"/>
      <c r="H862" s="651" t="s">
        <v>851</v>
      </c>
      <c r="I862" s="652"/>
      <c r="J862" s="652"/>
      <c r="K862" s="652"/>
      <c r="L862" s="652"/>
      <c r="M862" s="652"/>
      <c r="N862" s="652"/>
      <c r="O862" s="652"/>
      <c r="P862" s="652"/>
      <c r="Q862" s="652"/>
      <c r="R862" s="652"/>
      <c r="S862" s="652"/>
      <c r="T862" s="652"/>
      <c r="U862" s="652"/>
      <c r="V862" s="652"/>
      <c r="W862" s="652"/>
      <c r="X862" s="652"/>
      <c r="Y862" s="652"/>
      <c r="Z862" s="652"/>
      <c r="AA862" s="652"/>
      <c r="AB862" s="652"/>
      <c r="AC862" s="652"/>
      <c r="AD862" s="652"/>
      <c r="AE862" s="652"/>
      <c r="AF862" s="652"/>
      <c r="AG862" s="652"/>
      <c r="AH862" s="652"/>
      <c r="AI862" s="652"/>
      <c r="AJ862" s="652"/>
      <c r="AK862" s="652"/>
      <c r="AL862" s="652"/>
      <c r="AM862" s="652"/>
      <c r="AN862" s="652"/>
      <c r="AO862" s="652"/>
      <c r="AP862" s="652"/>
      <c r="AQ862" s="652"/>
      <c r="AR862" s="652"/>
      <c r="AS862" s="652"/>
      <c r="AT862" s="653"/>
      <c r="AU862" s="475"/>
      <c r="AV862" s="476"/>
      <c r="AW862" s="476"/>
      <c r="AX862" s="476"/>
      <c r="AY862" s="476"/>
      <c r="AZ862" s="476"/>
      <c r="BA862" s="476"/>
      <c r="BB862" s="477"/>
      <c r="BC862" s="647">
        <f>BC863+BC864+BC865+BC867</f>
        <v>6</v>
      </c>
      <c r="BD862" s="637"/>
      <c r="BE862" s="637"/>
      <c r="BF862" s="637"/>
      <c r="BG862" s="637"/>
      <c r="BH862" s="637"/>
      <c r="BI862" s="637"/>
      <c r="BJ862" s="637"/>
      <c r="BK862" s="637"/>
      <c r="BL862" s="637"/>
      <c r="BM862" s="637"/>
      <c r="BN862" s="637"/>
      <c r="BO862" s="637"/>
      <c r="BP862" s="637"/>
      <c r="BQ862" s="637"/>
      <c r="BR862" s="638"/>
      <c r="BS862" s="644">
        <f>BS863+BS864+BS865+BS867</f>
        <v>0</v>
      </c>
      <c r="BT862" s="645"/>
      <c r="BU862" s="645"/>
      <c r="BV862" s="645"/>
      <c r="BW862" s="645"/>
      <c r="BX862" s="645"/>
      <c r="BY862" s="645"/>
      <c r="BZ862" s="645"/>
      <c r="CA862" s="645"/>
      <c r="CB862" s="645"/>
      <c r="CC862" s="645"/>
      <c r="CD862" s="645"/>
      <c r="CE862" s="645"/>
      <c r="CF862" s="645"/>
      <c r="CG862" s="645"/>
      <c r="CH862" s="646"/>
      <c r="CI862" s="636">
        <f>+CI863+CI864+CI865+CI867+CI866</f>
        <v>0</v>
      </c>
      <c r="CJ862" s="654"/>
      <c r="CK862" s="654"/>
      <c r="CL862" s="654"/>
      <c r="CM862" s="654"/>
      <c r="CN862" s="654"/>
      <c r="CO862" s="654"/>
      <c r="CP862" s="654"/>
      <c r="CQ862" s="654"/>
      <c r="CR862" s="654"/>
      <c r="CS862" s="654"/>
      <c r="CT862" s="654"/>
      <c r="CU862" s="654"/>
      <c r="CV862" s="654"/>
      <c r="CW862" s="654"/>
      <c r="CX862" s="654"/>
      <c r="CY862" s="654"/>
      <c r="CZ862" s="655"/>
      <c r="DA862" s="214"/>
    </row>
    <row r="863" spans="1:105" s="16" customFormat="1" ht="22.95" hidden="1" customHeight="1" x14ac:dyDescent="0.3">
      <c r="A863" s="630" t="s">
        <v>441</v>
      </c>
      <c r="B863" s="631"/>
      <c r="C863" s="631"/>
      <c r="D863" s="631"/>
      <c r="E863" s="631"/>
      <c r="F863" s="631"/>
      <c r="G863" s="632"/>
      <c r="H863" s="584" t="s">
        <v>852</v>
      </c>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5"/>
      <c r="AL863" s="585"/>
      <c r="AM863" s="585"/>
      <c r="AN863" s="585"/>
      <c r="AO863" s="585"/>
      <c r="AP863" s="585"/>
      <c r="AQ863" s="585"/>
      <c r="AR863" s="585"/>
      <c r="AS863" s="585"/>
      <c r="AT863" s="586"/>
      <c r="AU863" s="475" t="s">
        <v>690</v>
      </c>
      <c r="AV863" s="476"/>
      <c r="AW863" s="476"/>
      <c r="AX863" s="476"/>
      <c r="AY863" s="476"/>
      <c r="AZ863" s="476"/>
      <c r="BA863" s="476"/>
      <c r="BB863" s="477"/>
      <c r="BC863" s="544">
        <v>2</v>
      </c>
      <c r="BD863" s="545"/>
      <c r="BE863" s="545"/>
      <c r="BF863" s="545"/>
      <c r="BG863" s="545"/>
      <c r="BH863" s="545"/>
      <c r="BI863" s="545"/>
      <c r="BJ863" s="545"/>
      <c r="BK863" s="545"/>
      <c r="BL863" s="545"/>
      <c r="BM863" s="545"/>
      <c r="BN863" s="545"/>
      <c r="BO863" s="545"/>
      <c r="BP863" s="545"/>
      <c r="BQ863" s="545"/>
      <c r="BR863" s="546"/>
      <c r="BS863" s="639">
        <f>CI863/BC863</f>
        <v>0</v>
      </c>
      <c r="BT863" s="640"/>
      <c r="BU863" s="640"/>
      <c r="BV863" s="640"/>
      <c r="BW863" s="640"/>
      <c r="BX863" s="640"/>
      <c r="BY863" s="640"/>
      <c r="BZ863" s="640"/>
      <c r="CA863" s="640"/>
      <c r="CB863" s="640"/>
      <c r="CC863" s="640"/>
      <c r="CD863" s="640"/>
      <c r="CE863" s="640"/>
      <c r="CF863" s="640"/>
      <c r="CG863" s="640"/>
      <c r="CH863" s="641"/>
      <c r="CI863" s="627"/>
      <c r="CJ863" s="628"/>
      <c r="CK863" s="628"/>
      <c r="CL863" s="628"/>
      <c r="CM863" s="628"/>
      <c r="CN863" s="628"/>
      <c r="CO863" s="628"/>
      <c r="CP863" s="628"/>
      <c r="CQ863" s="628"/>
      <c r="CR863" s="628"/>
      <c r="CS863" s="628"/>
      <c r="CT863" s="628"/>
      <c r="CU863" s="628"/>
      <c r="CV863" s="628"/>
      <c r="CW863" s="628"/>
      <c r="CX863" s="628"/>
      <c r="CY863" s="628"/>
      <c r="CZ863" s="629"/>
      <c r="DA863" s="214"/>
    </row>
    <row r="864" spans="1:105" s="16" customFormat="1" ht="24" hidden="1" customHeight="1" x14ac:dyDescent="0.3">
      <c r="A864" s="630" t="s">
        <v>444</v>
      </c>
      <c r="B864" s="631"/>
      <c r="C864" s="631"/>
      <c r="D864" s="631"/>
      <c r="E864" s="631"/>
      <c r="F864" s="631"/>
      <c r="G864" s="632"/>
      <c r="H864" s="584" t="s">
        <v>853</v>
      </c>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5"/>
      <c r="AL864" s="585"/>
      <c r="AM864" s="585"/>
      <c r="AN864" s="585"/>
      <c r="AO864" s="585"/>
      <c r="AP864" s="585"/>
      <c r="AQ864" s="585"/>
      <c r="AR864" s="585"/>
      <c r="AS864" s="585"/>
      <c r="AT864" s="586"/>
      <c r="AU864" s="475" t="s">
        <v>690</v>
      </c>
      <c r="AV864" s="476"/>
      <c r="AW864" s="476"/>
      <c r="AX864" s="476"/>
      <c r="AY864" s="476"/>
      <c r="AZ864" s="476"/>
      <c r="BA864" s="476"/>
      <c r="BB864" s="477"/>
      <c r="BC864" s="544">
        <v>2</v>
      </c>
      <c r="BD864" s="545"/>
      <c r="BE864" s="545"/>
      <c r="BF864" s="545"/>
      <c r="BG864" s="545"/>
      <c r="BH864" s="545"/>
      <c r="BI864" s="545"/>
      <c r="BJ864" s="545"/>
      <c r="BK864" s="545"/>
      <c r="BL864" s="545"/>
      <c r="BM864" s="545"/>
      <c r="BN864" s="545"/>
      <c r="BO864" s="545"/>
      <c r="BP864" s="545"/>
      <c r="BQ864" s="545"/>
      <c r="BR864" s="546"/>
      <c r="BS864" s="639">
        <f t="shared" ref="BS864:BS866" si="31">CI864/BC864</f>
        <v>0</v>
      </c>
      <c r="BT864" s="640"/>
      <c r="BU864" s="640"/>
      <c r="BV864" s="640"/>
      <c r="BW864" s="640"/>
      <c r="BX864" s="640"/>
      <c r="BY864" s="640"/>
      <c r="BZ864" s="640"/>
      <c r="CA864" s="640"/>
      <c r="CB864" s="640"/>
      <c r="CC864" s="640"/>
      <c r="CD864" s="640"/>
      <c r="CE864" s="640"/>
      <c r="CF864" s="640"/>
      <c r="CG864" s="640"/>
      <c r="CH864" s="641"/>
      <c r="CI864" s="627"/>
      <c r="CJ864" s="628"/>
      <c r="CK864" s="628"/>
      <c r="CL864" s="628"/>
      <c r="CM864" s="628"/>
      <c r="CN864" s="628"/>
      <c r="CO864" s="628"/>
      <c r="CP864" s="628"/>
      <c r="CQ864" s="628"/>
      <c r="CR864" s="628"/>
      <c r="CS864" s="628"/>
      <c r="CT864" s="628"/>
      <c r="CU864" s="628"/>
      <c r="CV864" s="628"/>
      <c r="CW864" s="628"/>
      <c r="CX864" s="628"/>
      <c r="CY864" s="628"/>
      <c r="CZ864" s="629"/>
      <c r="DA864" s="214"/>
    </row>
    <row r="865" spans="1:106" s="16" customFormat="1" ht="15" hidden="1" customHeight="1" x14ac:dyDescent="0.3">
      <c r="A865" s="630" t="s">
        <v>446</v>
      </c>
      <c r="B865" s="631"/>
      <c r="C865" s="631"/>
      <c r="D865" s="631"/>
      <c r="E865" s="631"/>
      <c r="F865" s="631"/>
      <c r="G865" s="632"/>
      <c r="H865" s="584" t="s">
        <v>854</v>
      </c>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5"/>
      <c r="AL865" s="585"/>
      <c r="AM865" s="585"/>
      <c r="AN865" s="585"/>
      <c r="AO865" s="585"/>
      <c r="AP865" s="585"/>
      <c r="AQ865" s="585"/>
      <c r="AR865" s="585"/>
      <c r="AS865" s="585"/>
      <c r="AT865" s="586"/>
      <c r="AU865" s="475" t="s">
        <v>690</v>
      </c>
      <c r="AV865" s="476"/>
      <c r="AW865" s="476"/>
      <c r="AX865" s="476"/>
      <c r="AY865" s="476"/>
      <c r="AZ865" s="476"/>
      <c r="BA865" s="476"/>
      <c r="BB865" s="477"/>
      <c r="BC865" s="544">
        <v>2</v>
      </c>
      <c r="BD865" s="545"/>
      <c r="BE865" s="545"/>
      <c r="BF865" s="545"/>
      <c r="BG865" s="545"/>
      <c r="BH865" s="545"/>
      <c r="BI865" s="545"/>
      <c r="BJ865" s="545"/>
      <c r="BK865" s="545"/>
      <c r="BL865" s="545"/>
      <c r="BM865" s="545"/>
      <c r="BN865" s="545"/>
      <c r="BO865" s="545"/>
      <c r="BP865" s="545"/>
      <c r="BQ865" s="545"/>
      <c r="BR865" s="546"/>
      <c r="BS865" s="639">
        <f t="shared" si="31"/>
        <v>0</v>
      </c>
      <c r="BT865" s="640"/>
      <c r="BU865" s="640"/>
      <c r="BV865" s="640"/>
      <c r="BW865" s="640"/>
      <c r="BX865" s="640"/>
      <c r="BY865" s="640"/>
      <c r="BZ865" s="640"/>
      <c r="CA865" s="640"/>
      <c r="CB865" s="640"/>
      <c r="CC865" s="640"/>
      <c r="CD865" s="640"/>
      <c r="CE865" s="640"/>
      <c r="CF865" s="640"/>
      <c r="CG865" s="640"/>
      <c r="CH865" s="641"/>
      <c r="CI865" s="627"/>
      <c r="CJ865" s="628"/>
      <c r="CK865" s="628"/>
      <c r="CL865" s="628"/>
      <c r="CM865" s="628"/>
      <c r="CN865" s="628"/>
      <c r="CO865" s="628"/>
      <c r="CP865" s="628"/>
      <c r="CQ865" s="628"/>
      <c r="CR865" s="628"/>
      <c r="CS865" s="628"/>
      <c r="CT865" s="628"/>
      <c r="CU865" s="628"/>
      <c r="CV865" s="628"/>
      <c r="CW865" s="628"/>
      <c r="CX865" s="628"/>
      <c r="CY865" s="628"/>
      <c r="CZ865" s="629"/>
      <c r="DA865" s="214"/>
    </row>
    <row r="866" spans="1:106" s="16" customFormat="1" ht="15" hidden="1" customHeight="1" x14ac:dyDescent="0.3">
      <c r="A866" s="630" t="s">
        <v>551</v>
      </c>
      <c r="B866" s="631"/>
      <c r="C866" s="631"/>
      <c r="D866" s="631"/>
      <c r="E866" s="631"/>
      <c r="F866" s="631"/>
      <c r="G866" s="632"/>
      <c r="H866" s="584" t="s">
        <v>855</v>
      </c>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5"/>
      <c r="AL866" s="585"/>
      <c r="AM866" s="585"/>
      <c r="AN866" s="585"/>
      <c r="AO866" s="585"/>
      <c r="AP866" s="585"/>
      <c r="AQ866" s="585"/>
      <c r="AR866" s="585"/>
      <c r="AS866" s="585"/>
      <c r="AT866" s="586"/>
      <c r="AU866" s="475" t="s">
        <v>690</v>
      </c>
      <c r="AV866" s="476"/>
      <c r="AW866" s="476"/>
      <c r="AX866" s="476"/>
      <c r="AY866" s="476"/>
      <c r="AZ866" s="476"/>
      <c r="BA866" s="476"/>
      <c r="BB866" s="477"/>
      <c r="BC866" s="544">
        <v>10</v>
      </c>
      <c r="BD866" s="545"/>
      <c r="BE866" s="545"/>
      <c r="BF866" s="545"/>
      <c r="BG866" s="545"/>
      <c r="BH866" s="545"/>
      <c r="BI866" s="545"/>
      <c r="BJ866" s="545"/>
      <c r="BK866" s="545"/>
      <c r="BL866" s="545"/>
      <c r="BM866" s="545"/>
      <c r="BN866" s="545"/>
      <c r="BO866" s="545"/>
      <c r="BP866" s="545"/>
      <c r="BQ866" s="545"/>
      <c r="BR866" s="546"/>
      <c r="BS866" s="639">
        <f t="shared" si="31"/>
        <v>0</v>
      </c>
      <c r="BT866" s="640"/>
      <c r="BU866" s="640"/>
      <c r="BV866" s="640"/>
      <c r="BW866" s="640"/>
      <c r="BX866" s="640"/>
      <c r="BY866" s="640"/>
      <c r="BZ866" s="640"/>
      <c r="CA866" s="640"/>
      <c r="CB866" s="640"/>
      <c r="CC866" s="640"/>
      <c r="CD866" s="640"/>
      <c r="CE866" s="640"/>
      <c r="CF866" s="640"/>
      <c r="CG866" s="640"/>
      <c r="CH866" s="641"/>
      <c r="CI866" s="627"/>
      <c r="CJ866" s="628"/>
      <c r="CK866" s="628"/>
      <c r="CL866" s="628"/>
      <c r="CM866" s="628"/>
      <c r="CN866" s="628"/>
      <c r="CO866" s="628"/>
      <c r="CP866" s="628"/>
      <c r="CQ866" s="628"/>
      <c r="CR866" s="628"/>
      <c r="CS866" s="628"/>
      <c r="CT866" s="628"/>
      <c r="CU866" s="628"/>
      <c r="CV866" s="628"/>
      <c r="CW866" s="628"/>
      <c r="CX866" s="628"/>
      <c r="CY866" s="628"/>
      <c r="CZ866" s="629"/>
      <c r="DA866" s="214"/>
    </row>
    <row r="867" spans="1:106" s="16" customFormat="1" ht="15" customHeight="1" x14ac:dyDescent="0.3">
      <c r="A867" s="630"/>
      <c r="B867" s="631"/>
      <c r="C867" s="631"/>
      <c r="D867" s="631"/>
      <c r="E867" s="631"/>
      <c r="F867" s="631"/>
      <c r="G867" s="632"/>
      <c r="H867" s="584"/>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5"/>
      <c r="AL867" s="585"/>
      <c r="AM867" s="585"/>
      <c r="AN867" s="585"/>
      <c r="AO867" s="585"/>
      <c r="AP867" s="585"/>
      <c r="AQ867" s="585"/>
      <c r="AR867" s="585"/>
      <c r="AS867" s="585"/>
      <c r="AT867" s="586"/>
      <c r="AU867" s="475"/>
      <c r="AV867" s="476"/>
      <c r="AW867" s="476"/>
      <c r="AX867" s="476"/>
      <c r="AY867" s="476"/>
      <c r="AZ867" s="476"/>
      <c r="BA867" s="476"/>
      <c r="BB867" s="477"/>
      <c r="BC867" s="544"/>
      <c r="BD867" s="545"/>
      <c r="BE867" s="545"/>
      <c r="BF867" s="545"/>
      <c r="BG867" s="545"/>
      <c r="BH867" s="545"/>
      <c r="BI867" s="545"/>
      <c r="BJ867" s="545"/>
      <c r="BK867" s="545"/>
      <c r="BL867" s="545"/>
      <c r="BM867" s="545"/>
      <c r="BN867" s="545"/>
      <c r="BO867" s="545"/>
      <c r="BP867" s="545"/>
      <c r="BQ867" s="545"/>
      <c r="BR867" s="546"/>
      <c r="BS867" s="639"/>
      <c r="BT867" s="640"/>
      <c r="BU867" s="640"/>
      <c r="BV867" s="640"/>
      <c r="BW867" s="640"/>
      <c r="BX867" s="640"/>
      <c r="BY867" s="640"/>
      <c r="BZ867" s="640"/>
      <c r="CA867" s="640"/>
      <c r="CB867" s="640"/>
      <c r="CC867" s="640"/>
      <c r="CD867" s="640"/>
      <c r="CE867" s="640"/>
      <c r="CF867" s="640"/>
      <c r="CG867" s="640"/>
      <c r="CH867" s="641"/>
      <c r="CI867" s="627"/>
      <c r="CJ867" s="628"/>
      <c r="CK867" s="628"/>
      <c r="CL867" s="628"/>
      <c r="CM867" s="628"/>
      <c r="CN867" s="628"/>
      <c r="CO867" s="628"/>
      <c r="CP867" s="628"/>
      <c r="CQ867" s="628"/>
      <c r="CR867" s="628"/>
      <c r="CS867" s="628"/>
      <c r="CT867" s="628"/>
      <c r="CU867" s="628"/>
      <c r="CV867" s="628"/>
      <c r="CW867" s="628"/>
      <c r="CX867" s="628"/>
      <c r="CY867" s="628"/>
      <c r="CZ867" s="629"/>
      <c r="DA867" s="214"/>
    </row>
    <row r="868" spans="1:106" s="16" customFormat="1" ht="15" customHeight="1" x14ac:dyDescent="0.3">
      <c r="A868" s="630"/>
      <c r="B868" s="631"/>
      <c r="C868" s="631"/>
      <c r="D868" s="631"/>
      <c r="E868" s="631"/>
      <c r="F868" s="631"/>
      <c r="G868" s="632"/>
      <c r="H868" s="651" t="s">
        <v>725</v>
      </c>
      <c r="I868" s="652"/>
      <c r="J868" s="652"/>
      <c r="K868" s="652"/>
      <c r="L868" s="652"/>
      <c r="M868" s="652"/>
      <c r="N868" s="652"/>
      <c r="O868" s="652"/>
      <c r="P868" s="652"/>
      <c r="Q868" s="652"/>
      <c r="R868" s="652"/>
      <c r="S868" s="652"/>
      <c r="T868" s="652"/>
      <c r="U868" s="652"/>
      <c r="V868" s="652"/>
      <c r="W868" s="652"/>
      <c r="X868" s="652"/>
      <c r="Y868" s="652"/>
      <c r="Z868" s="652"/>
      <c r="AA868" s="652"/>
      <c r="AB868" s="652"/>
      <c r="AC868" s="652"/>
      <c r="AD868" s="652"/>
      <c r="AE868" s="652"/>
      <c r="AF868" s="652"/>
      <c r="AG868" s="652"/>
      <c r="AH868" s="652"/>
      <c r="AI868" s="652"/>
      <c r="AJ868" s="652"/>
      <c r="AK868" s="652"/>
      <c r="AL868" s="652"/>
      <c r="AM868" s="652"/>
      <c r="AN868" s="652"/>
      <c r="AO868" s="652"/>
      <c r="AP868" s="652"/>
      <c r="AQ868" s="652"/>
      <c r="AR868" s="652"/>
      <c r="AS868" s="652"/>
      <c r="AT868" s="653"/>
      <c r="AU868" s="541" t="s">
        <v>690</v>
      </c>
      <c r="AV868" s="542"/>
      <c r="AW868" s="542"/>
      <c r="AX868" s="542"/>
      <c r="AY868" s="542"/>
      <c r="AZ868" s="542"/>
      <c r="BA868" s="542"/>
      <c r="BB868" s="543"/>
      <c r="BC868" s="647">
        <v>8</v>
      </c>
      <c r="BD868" s="637"/>
      <c r="BE868" s="637"/>
      <c r="BF868" s="637"/>
      <c r="BG868" s="637"/>
      <c r="BH868" s="637"/>
      <c r="BI868" s="637"/>
      <c r="BJ868" s="637"/>
      <c r="BK868" s="637"/>
      <c r="BL868" s="637"/>
      <c r="BM868" s="637"/>
      <c r="BN868" s="637"/>
      <c r="BO868" s="637"/>
      <c r="BP868" s="637"/>
      <c r="BQ868" s="637"/>
      <c r="BR868" s="638"/>
      <c r="BS868" s="644">
        <f>CI868/BC868</f>
        <v>373.66500000000002</v>
      </c>
      <c r="BT868" s="645"/>
      <c r="BU868" s="645"/>
      <c r="BV868" s="645"/>
      <c r="BW868" s="645"/>
      <c r="BX868" s="645"/>
      <c r="BY868" s="645"/>
      <c r="BZ868" s="645"/>
      <c r="CA868" s="645"/>
      <c r="CB868" s="645"/>
      <c r="CC868" s="645"/>
      <c r="CD868" s="645"/>
      <c r="CE868" s="645"/>
      <c r="CF868" s="645"/>
      <c r="CG868" s="645"/>
      <c r="CH868" s="646"/>
      <c r="CI868" s="636">
        <v>2989.32</v>
      </c>
      <c r="CJ868" s="654"/>
      <c r="CK868" s="654"/>
      <c r="CL868" s="654"/>
      <c r="CM868" s="654"/>
      <c r="CN868" s="654"/>
      <c r="CO868" s="654"/>
      <c r="CP868" s="654"/>
      <c r="CQ868" s="654"/>
      <c r="CR868" s="654"/>
      <c r="CS868" s="654"/>
      <c r="CT868" s="654"/>
      <c r="CU868" s="654"/>
      <c r="CV868" s="654"/>
      <c r="CW868" s="654"/>
      <c r="CX868" s="654"/>
      <c r="CY868" s="654"/>
      <c r="CZ868" s="655"/>
      <c r="DA868" s="214"/>
    </row>
    <row r="869" spans="1:106" s="16" customFormat="1" ht="15" hidden="1" customHeight="1" x14ac:dyDescent="0.3">
      <c r="A869" s="630"/>
      <c r="B869" s="631"/>
      <c r="C869" s="631"/>
      <c r="D869" s="631"/>
      <c r="E869" s="631"/>
      <c r="F869" s="631"/>
      <c r="G869" s="632"/>
      <c r="H869" s="651" t="s">
        <v>721</v>
      </c>
      <c r="I869" s="652"/>
      <c r="J869" s="652"/>
      <c r="K869" s="652"/>
      <c r="L869" s="652"/>
      <c r="M869" s="652"/>
      <c r="N869" s="652"/>
      <c r="O869" s="652"/>
      <c r="P869" s="652"/>
      <c r="Q869" s="652"/>
      <c r="R869" s="652"/>
      <c r="S869" s="652"/>
      <c r="T869" s="652"/>
      <c r="U869" s="652"/>
      <c r="V869" s="652"/>
      <c r="W869" s="652"/>
      <c r="X869" s="652"/>
      <c r="Y869" s="652"/>
      <c r="Z869" s="652"/>
      <c r="AA869" s="652"/>
      <c r="AB869" s="652"/>
      <c r="AC869" s="652"/>
      <c r="AD869" s="652"/>
      <c r="AE869" s="652"/>
      <c r="AF869" s="652"/>
      <c r="AG869" s="652"/>
      <c r="AH869" s="652"/>
      <c r="AI869" s="652"/>
      <c r="AJ869" s="652"/>
      <c r="AK869" s="652"/>
      <c r="AL869" s="652"/>
      <c r="AM869" s="652"/>
      <c r="AN869" s="652"/>
      <c r="AO869" s="652"/>
      <c r="AP869" s="652"/>
      <c r="AQ869" s="652"/>
      <c r="AR869" s="652"/>
      <c r="AS869" s="652"/>
      <c r="AT869" s="653"/>
      <c r="AU869" s="541" t="s">
        <v>690</v>
      </c>
      <c r="AV869" s="542"/>
      <c r="AW869" s="542"/>
      <c r="AX869" s="542"/>
      <c r="AY869" s="542"/>
      <c r="AZ869" s="542"/>
      <c r="BA869" s="542"/>
      <c r="BB869" s="543"/>
      <c r="BC869" s="647"/>
      <c r="BD869" s="637"/>
      <c r="BE869" s="637"/>
      <c r="BF869" s="637"/>
      <c r="BG869" s="637"/>
      <c r="BH869" s="637"/>
      <c r="BI869" s="637"/>
      <c r="BJ869" s="637"/>
      <c r="BK869" s="637"/>
      <c r="BL869" s="637"/>
      <c r="BM869" s="637"/>
      <c r="BN869" s="637"/>
      <c r="BO869" s="637"/>
      <c r="BP869" s="637"/>
      <c r="BQ869" s="637"/>
      <c r="BR869" s="638"/>
      <c r="BS869" s="644"/>
      <c r="BT869" s="645"/>
      <c r="BU869" s="645"/>
      <c r="BV869" s="645"/>
      <c r="BW869" s="645"/>
      <c r="BX869" s="645"/>
      <c r="BY869" s="645"/>
      <c r="BZ869" s="645"/>
      <c r="CA869" s="645"/>
      <c r="CB869" s="645"/>
      <c r="CC869" s="645"/>
      <c r="CD869" s="645"/>
      <c r="CE869" s="645"/>
      <c r="CF869" s="645"/>
      <c r="CG869" s="645"/>
      <c r="CH869" s="646"/>
      <c r="CI869" s="636"/>
      <c r="CJ869" s="654"/>
      <c r="CK869" s="654"/>
      <c r="CL869" s="654"/>
      <c r="CM869" s="654"/>
      <c r="CN869" s="654"/>
      <c r="CO869" s="654"/>
      <c r="CP869" s="654"/>
      <c r="CQ869" s="654"/>
      <c r="CR869" s="654"/>
      <c r="CS869" s="654"/>
      <c r="CT869" s="654"/>
      <c r="CU869" s="654"/>
      <c r="CV869" s="654"/>
      <c r="CW869" s="654"/>
      <c r="CX869" s="654"/>
      <c r="CY869" s="654"/>
      <c r="CZ869" s="655"/>
      <c r="DA869" s="214"/>
    </row>
    <row r="870" spans="1:106" s="16" customFormat="1" ht="15" customHeight="1" x14ac:dyDescent="0.3">
      <c r="A870" s="630"/>
      <c r="B870" s="631"/>
      <c r="C870" s="631"/>
      <c r="D870" s="631"/>
      <c r="E870" s="631"/>
      <c r="F870" s="631"/>
      <c r="G870" s="632"/>
      <c r="H870" s="651" t="s">
        <v>722</v>
      </c>
      <c r="I870" s="652"/>
      <c r="J870" s="652"/>
      <c r="K870" s="652"/>
      <c r="L870" s="652"/>
      <c r="M870" s="652"/>
      <c r="N870" s="652"/>
      <c r="O870" s="652"/>
      <c r="P870" s="652"/>
      <c r="Q870" s="652"/>
      <c r="R870" s="652"/>
      <c r="S870" s="652"/>
      <c r="T870" s="652"/>
      <c r="U870" s="652"/>
      <c r="V870" s="652"/>
      <c r="W870" s="652"/>
      <c r="X870" s="652"/>
      <c r="Y870" s="652"/>
      <c r="Z870" s="652"/>
      <c r="AA870" s="652"/>
      <c r="AB870" s="652"/>
      <c r="AC870" s="652"/>
      <c r="AD870" s="652"/>
      <c r="AE870" s="652"/>
      <c r="AF870" s="652"/>
      <c r="AG870" s="652"/>
      <c r="AH870" s="652"/>
      <c r="AI870" s="652"/>
      <c r="AJ870" s="652"/>
      <c r="AK870" s="652"/>
      <c r="AL870" s="652"/>
      <c r="AM870" s="652"/>
      <c r="AN870" s="652"/>
      <c r="AO870" s="652"/>
      <c r="AP870" s="652"/>
      <c r="AQ870" s="652"/>
      <c r="AR870" s="652"/>
      <c r="AS870" s="652"/>
      <c r="AT870" s="653"/>
      <c r="AU870" s="541" t="s">
        <v>690</v>
      </c>
      <c r="AV870" s="542"/>
      <c r="AW870" s="542"/>
      <c r="AX870" s="542"/>
      <c r="AY870" s="542"/>
      <c r="AZ870" s="542"/>
      <c r="BA870" s="542"/>
      <c r="BB870" s="543"/>
      <c r="BC870" s="647">
        <v>1000</v>
      </c>
      <c r="BD870" s="637"/>
      <c r="BE870" s="637"/>
      <c r="BF870" s="637"/>
      <c r="BG870" s="637"/>
      <c r="BH870" s="637"/>
      <c r="BI870" s="637"/>
      <c r="BJ870" s="637"/>
      <c r="BK870" s="637"/>
      <c r="BL870" s="637"/>
      <c r="BM870" s="637"/>
      <c r="BN870" s="637"/>
      <c r="BO870" s="637"/>
      <c r="BP870" s="637"/>
      <c r="BQ870" s="637"/>
      <c r="BR870" s="638"/>
      <c r="BS870" s="644">
        <f t="shared" ref="BS870:BS872" si="32">CI870/BC870</f>
        <v>473.36995000000002</v>
      </c>
      <c r="BT870" s="645"/>
      <c r="BU870" s="645"/>
      <c r="BV870" s="645"/>
      <c r="BW870" s="645"/>
      <c r="BX870" s="645"/>
      <c r="BY870" s="645"/>
      <c r="BZ870" s="645"/>
      <c r="CA870" s="645"/>
      <c r="CB870" s="645"/>
      <c r="CC870" s="645"/>
      <c r="CD870" s="645"/>
      <c r="CE870" s="645"/>
      <c r="CF870" s="645"/>
      <c r="CG870" s="645"/>
      <c r="CH870" s="646"/>
      <c r="CI870" s="636">
        <f>414741.43+33760.52+25000-731+599</f>
        <v>473369.95</v>
      </c>
      <c r="CJ870" s="654"/>
      <c r="CK870" s="654"/>
      <c r="CL870" s="654"/>
      <c r="CM870" s="654"/>
      <c r="CN870" s="654"/>
      <c r="CO870" s="654"/>
      <c r="CP870" s="654"/>
      <c r="CQ870" s="654"/>
      <c r="CR870" s="654"/>
      <c r="CS870" s="654"/>
      <c r="CT870" s="654"/>
      <c r="CU870" s="654"/>
      <c r="CV870" s="654"/>
      <c r="CW870" s="654"/>
      <c r="CX870" s="654"/>
      <c r="CY870" s="654"/>
      <c r="CZ870" s="655"/>
      <c r="DA870" s="214"/>
    </row>
    <row r="871" spans="1:106" s="16" customFormat="1" ht="15" hidden="1" customHeight="1" x14ac:dyDescent="0.3">
      <c r="A871" s="630"/>
      <c r="B871" s="631"/>
      <c r="C871" s="631"/>
      <c r="D871" s="631"/>
      <c r="E871" s="631"/>
      <c r="F871" s="631"/>
      <c r="G871" s="632"/>
      <c r="H871" s="651" t="s">
        <v>726</v>
      </c>
      <c r="I871" s="652"/>
      <c r="J871" s="652"/>
      <c r="K871" s="652"/>
      <c r="L871" s="652"/>
      <c r="M871" s="652"/>
      <c r="N871" s="652"/>
      <c r="O871" s="652"/>
      <c r="P871" s="652"/>
      <c r="Q871" s="652"/>
      <c r="R871" s="652"/>
      <c r="S871" s="652"/>
      <c r="T871" s="652"/>
      <c r="U871" s="652"/>
      <c r="V871" s="652"/>
      <c r="W871" s="652"/>
      <c r="X871" s="652"/>
      <c r="Y871" s="652"/>
      <c r="Z871" s="652"/>
      <c r="AA871" s="652"/>
      <c r="AB871" s="652"/>
      <c r="AC871" s="652"/>
      <c r="AD871" s="652"/>
      <c r="AE871" s="652"/>
      <c r="AF871" s="652"/>
      <c r="AG871" s="652"/>
      <c r="AH871" s="652"/>
      <c r="AI871" s="652"/>
      <c r="AJ871" s="652"/>
      <c r="AK871" s="652"/>
      <c r="AL871" s="652"/>
      <c r="AM871" s="652"/>
      <c r="AN871" s="652"/>
      <c r="AO871" s="652"/>
      <c r="AP871" s="652"/>
      <c r="AQ871" s="652"/>
      <c r="AR871" s="652"/>
      <c r="AS871" s="652"/>
      <c r="AT871" s="653"/>
      <c r="AU871" s="541" t="s">
        <v>690</v>
      </c>
      <c r="AV871" s="542"/>
      <c r="AW871" s="542"/>
      <c r="AX871" s="542"/>
      <c r="AY871" s="542"/>
      <c r="AZ871" s="542"/>
      <c r="BA871" s="542"/>
      <c r="BB871" s="543"/>
      <c r="BC871" s="647">
        <v>10</v>
      </c>
      <c r="BD871" s="637"/>
      <c r="BE871" s="637"/>
      <c r="BF871" s="637"/>
      <c r="BG871" s="637"/>
      <c r="BH871" s="637"/>
      <c r="BI871" s="637"/>
      <c r="BJ871" s="637"/>
      <c r="BK871" s="637"/>
      <c r="BL871" s="637"/>
      <c r="BM871" s="637"/>
      <c r="BN871" s="637"/>
      <c r="BO871" s="637"/>
      <c r="BP871" s="637"/>
      <c r="BQ871" s="637"/>
      <c r="BR871" s="638"/>
      <c r="BS871" s="644">
        <f t="shared" si="32"/>
        <v>0</v>
      </c>
      <c r="BT871" s="645"/>
      <c r="BU871" s="645"/>
      <c r="BV871" s="645"/>
      <c r="BW871" s="645"/>
      <c r="BX871" s="645"/>
      <c r="BY871" s="645"/>
      <c r="BZ871" s="645"/>
      <c r="CA871" s="645"/>
      <c r="CB871" s="645"/>
      <c r="CC871" s="645"/>
      <c r="CD871" s="645"/>
      <c r="CE871" s="645"/>
      <c r="CF871" s="645"/>
      <c r="CG871" s="645"/>
      <c r="CH871" s="646"/>
      <c r="CI871" s="636">
        <v>0</v>
      </c>
      <c r="CJ871" s="654"/>
      <c r="CK871" s="654"/>
      <c r="CL871" s="654"/>
      <c r="CM871" s="654"/>
      <c r="CN871" s="654"/>
      <c r="CO871" s="654"/>
      <c r="CP871" s="654"/>
      <c r="CQ871" s="654"/>
      <c r="CR871" s="654"/>
      <c r="CS871" s="654"/>
      <c r="CT871" s="654"/>
      <c r="CU871" s="654"/>
      <c r="CV871" s="654"/>
      <c r="CW871" s="654"/>
      <c r="CX871" s="654"/>
      <c r="CY871" s="654"/>
      <c r="CZ871" s="655"/>
      <c r="DA871" s="214"/>
    </row>
    <row r="872" spans="1:106" s="16" customFormat="1" ht="15" customHeight="1" x14ac:dyDescent="0.3">
      <c r="A872" s="630"/>
      <c r="B872" s="631"/>
      <c r="C872" s="631"/>
      <c r="D872" s="631"/>
      <c r="E872" s="631"/>
      <c r="F872" s="631"/>
      <c r="G872" s="632"/>
      <c r="H872" s="651" t="s">
        <v>723</v>
      </c>
      <c r="I872" s="652"/>
      <c r="J872" s="652"/>
      <c r="K872" s="652"/>
      <c r="L872" s="652"/>
      <c r="M872" s="652"/>
      <c r="N872" s="652"/>
      <c r="O872" s="652"/>
      <c r="P872" s="652"/>
      <c r="Q872" s="652"/>
      <c r="R872" s="652"/>
      <c r="S872" s="652"/>
      <c r="T872" s="652"/>
      <c r="U872" s="652"/>
      <c r="V872" s="652"/>
      <c r="W872" s="652"/>
      <c r="X872" s="652"/>
      <c r="Y872" s="652"/>
      <c r="Z872" s="652"/>
      <c r="AA872" s="652"/>
      <c r="AB872" s="652"/>
      <c r="AC872" s="652"/>
      <c r="AD872" s="652"/>
      <c r="AE872" s="652"/>
      <c r="AF872" s="652"/>
      <c r="AG872" s="652"/>
      <c r="AH872" s="652"/>
      <c r="AI872" s="652"/>
      <c r="AJ872" s="652"/>
      <c r="AK872" s="652"/>
      <c r="AL872" s="652"/>
      <c r="AM872" s="652"/>
      <c r="AN872" s="652"/>
      <c r="AO872" s="652"/>
      <c r="AP872" s="652"/>
      <c r="AQ872" s="652"/>
      <c r="AR872" s="652"/>
      <c r="AS872" s="652"/>
      <c r="AT872" s="653"/>
      <c r="AU872" s="541" t="s">
        <v>690</v>
      </c>
      <c r="AV872" s="542"/>
      <c r="AW872" s="542"/>
      <c r="AX872" s="542"/>
      <c r="AY872" s="542"/>
      <c r="AZ872" s="542"/>
      <c r="BA872" s="542"/>
      <c r="BB872" s="543"/>
      <c r="BC872" s="647">
        <v>5500</v>
      </c>
      <c r="BD872" s="637"/>
      <c r="BE872" s="637"/>
      <c r="BF872" s="637"/>
      <c r="BG872" s="637"/>
      <c r="BH872" s="637"/>
      <c r="BI872" s="637"/>
      <c r="BJ872" s="637"/>
      <c r="BK872" s="637"/>
      <c r="BL872" s="637"/>
      <c r="BM872" s="637"/>
      <c r="BN872" s="637"/>
      <c r="BO872" s="637"/>
      <c r="BP872" s="637"/>
      <c r="BQ872" s="637"/>
      <c r="BR872" s="638"/>
      <c r="BS872" s="644">
        <f t="shared" si="32"/>
        <v>40.732181818181822</v>
      </c>
      <c r="BT872" s="645"/>
      <c r="BU872" s="645"/>
      <c r="BV872" s="645"/>
      <c r="BW872" s="645"/>
      <c r="BX872" s="645"/>
      <c r="BY872" s="645"/>
      <c r="BZ872" s="645"/>
      <c r="CA872" s="645"/>
      <c r="CB872" s="645"/>
      <c r="CC872" s="645"/>
      <c r="CD872" s="645"/>
      <c r="CE872" s="645"/>
      <c r="CF872" s="645"/>
      <c r="CG872" s="645"/>
      <c r="CH872" s="646"/>
      <c r="CI872" s="636">
        <v>224027</v>
      </c>
      <c r="CJ872" s="654"/>
      <c r="CK872" s="654"/>
      <c r="CL872" s="654"/>
      <c r="CM872" s="654"/>
      <c r="CN872" s="654"/>
      <c r="CO872" s="654"/>
      <c r="CP872" s="654"/>
      <c r="CQ872" s="654"/>
      <c r="CR872" s="654"/>
      <c r="CS872" s="654"/>
      <c r="CT872" s="654"/>
      <c r="CU872" s="654"/>
      <c r="CV872" s="654"/>
      <c r="CW872" s="654"/>
      <c r="CX872" s="654"/>
      <c r="CY872" s="654"/>
      <c r="CZ872" s="655"/>
      <c r="DA872" s="214"/>
    </row>
    <row r="873" spans="1:106" s="16" customFormat="1" ht="15" hidden="1" customHeight="1" x14ac:dyDescent="0.3">
      <c r="A873" s="630"/>
      <c r="B873" s="631"/>
      <c r="C873" s="631"/>
      <c r="D873" s="631"/>
      <c r="E873" s="631"/>
      <c r="F873" s="631"/>
      <c r="G873" s="632"/>
      <c r="H873" s="651" t="s">
        <v>728</v>
      </c>
      <c r="I873" s="652"/>
      <c r="J873" s="652"/>
      <c r="K873" s="652"/>
      <c r="L873" s="652"/>
      <c r="M873" s="652"/>
      <c r="N873" s="652"/>
      <c r="O873" s="652"/>
      <c r="P873" s="652"/>
      <c r="Q873" s="652"/>
      <c r="R873" s="652"/>
      <c r="S873" s="652"/>
      <c r="T873" s="652"/>
      <c r="U873" s="652"/>
      <c r="V873" s="652"/>
      <c r="W873" s="652"/>
      <c r="X873" s="652"/>
      <c r="Y873" s="652"/>
      <c r="Z873" s="652"/>
      <c r="AA873" s="652"/>
      <c r="AB873" s="652"/>
      <c r="AC873" s="652"/>
      <c r="AD873" s="652"/>
      <c r="AE873" s="652"/>
      <c r="AF873" s="652"/>
      <c r="AG873" s="652"/>
      <c r="AH873" s="652"/>
      <c r="AI873" s="652"/>
      <c r="AJ873" s="652"/>
      <c r="AK873" s="652"/>
      <c r="AL873" s="652"/>
      <c r="AM873" s="652"/>
      <c r="AN873" s="652"/>
      <c r="AO873" s="652"/>
      <c r="AP873" s="652"/>
      <c r="AQ873" s="652"/>
      <c r="AR873" s="652"/>
      <c r="AS873" s="652"/>
      <c r="AT873" s="653"/>
      <c r="AU873" s="541" t="s">
        <v>690</v>
      </c>
      <c r="AV873" s="542"/>
      <c r="AW873" s="542"/>
      <c r="AX873" s="542"/>
      <c r="AY873" s="542"/>
      <c r="AZ873" s="542"/>
      <c r="BA873" s="542"/>
      <c r="BB873" s="543"/>
      <c r="BC873" s="647">
        <v>124</v>
      </c>
      <c r="BD873" s="637"/>
      <c r="BE873" s="637"/>
      <c r="BF873" s="637"/>
      <c r="BG873" s="637"/>
      <c r="BH873" s="637"/>
      <c r="BI873" s="637"/>
      <c r="BJ873" s="637"/>
      <c r="BK873" s="637"/>
      <c r="BL873" s="637"/>
      <c r="BM873" s="637"/>
      <c r="BN873" s="637"/>
      <c r="BO873" s="637"/>
      <c r="BP873" s="637"/>
      <c r="BQ873" s="637"/>
      <c r="BR873" s="638"/>
      <c r="BS873" s="644">
        <f>CI873/BC873</f>
        <v>0</v>
      </c>
      <c r="BT873" s="645"/>
      <c r="BU873" s="645"/>
      <c r="BV873" s="645"/>
      <c r="BW873" s="645"/>
      <c r="BX873" s="645"/>
      <c r="BY873" s="645"/>
      <c r="BZ873" s="645"/>
      <c r="CA873" s="645"/>
      <c r="CB873" s="645"/>
      <c r="CC873" s="645"/>
      <c r="CD873" s="645"/>
      <c r="CE873" s="645"/>
      <c r="CF873" s="645"/>
      <c r="CG873" s="645"/>
      <c r="CH873" s="646"/>
      <c r="CI873" s="636">
        <v>0</v>
      </c>
      <c r="CJ873" s="654"/>
      <c r="CK873" s="654"/>
      <c r="CL873" s="654"/>
      <c r="CM873" s="654"/>
      <c r="CN873" s="654"/>
      <c r="CO873" s="654"/>
      <c r="CP873" s="654"/>
      <c r="CQ873" s="654"/>
      <c r="CR873" s="654"/>
      <c r="CS873" s="654"/>
      <c r="CT873" s="654"/>
      <c r="CU873" s="654"/>
      <c r="CV873" s="654"/>
      <c r="CW873" s="654"/>
      <c r="CX873" s="654"/>
      <c r="CY873" s="654"/>
      <c r="CZ873" s="655"/>
      <c r="DA873" s="214"/>
    </row>
    <row r="874" spans="1:106" s="16" customFormat="1" ht="15" customHeight="1" x14ac:dyDescent="0.3">
      <c r="A874" s="633" t="s">
        <v>292</v>
      </c>
      <c r="B874" s="634"/>
      <c r="C874" s="634"/>
      <c r="D874" s="634"/>
      <c r="E874" s="634"/>
      <c r="F874" s="634"/>
      <c r="G874" s="634"/>
      <c r="H874" s="634"/>
      <c r="I874" s="634"/>
      <c r="J874" s="634"/>
      <c r="K874" s="634"/>
      <c r="L874" s="634"/>
      <c r="M874" s="634"/>
      <c r="N874" s="634"/>
      <c r="O874" s="634"/>
      <c r="P874" s="634"/>
      <c r="Q874" s="634"/>
      <c r="R874" s="634"/>
      <c r="S874" s="634"/>
      <c r="T874" s="634"/>
      <c r="U874" s="634"/>
      <c r="V874" s="634"/>
      <c r="W874" s="634"/>
      <c r="X874" s="634"/>
      <c r="Y874" s="634"/>
      <c r="Z874" s="634"/>
      <c r="AA874" s="634"/>
      <c r="AB874" s="634"/>
      <c r="AC874" s="634"/>
      <c r="AD874" s="634"/>
      <c r="AE874" s="634"/>
      <c r="AF874" s="634"/>
      <c r="AG874" s="634"/>
      <c r="AH874" s="634"/>
      <c r="AI874" s="634"/>
      <c r="AJ874" s="634"/>
      <c r="AK874" s="634"/>
      <c r="AL874" s="634"/>
      <c r="AM874" s="634"/>
      <c r="AN874" s="634"/>
      <c r="AO874" s="634"/>
      <c r="AP874" s="634"/>
      <c r="AQ874" s="634"/>
      <c r="AR874" s="634"/>
      <c r="AS874" s="634"/>
      <c r="AT874" s="634"/>
      <c r="AU874" s="634"/>
      <c r="AV874" s="634"/>
      <c r="AW874" s="634"/>
      <c r="AX874" s="634"/>
      <c r="AY874" s="634"/>
      <c r="AZ874" s="634"/>
      <c r="BA874" s="634"/>
      <c r="BB874" s="635"/>
      <c r="BC874" s="582" t="s">
        <v>4</v>
      </c>
      <c r="BD874" s="582"/>
      <c r="BE874" s="582"/>
      <c r="BF874" s="582"/>
      <c r="BG874" s="582"/>
      <c r="BH874" s="582"/>
      <c r="BI874" s="582"/>
      <c r="BJ874" s="582"/>
      <c r="BK874" s="582"/>
      <c r="BL874" s="582"/>
      <c r="BM874" s="582"/>
      <c r="BN874" s="582"/>
      <c r="BO874" s="582"/>
      <c r="BP874" s="582"/>
      <c r="BQ874" s="582"/>
      <c r="BR874" s="582"/>
      <c r="BS874" s="582" t="s">
        <v>4</v>
      </c>
      <c r="BT874" s="582"/>
      <c r="BU874" s="582"/>
      <c r="BV874" s="582"/>
      <c r="BW874" s="582"/>
      <c r="BX874" s="582"/>
      <c r="BY874" s="582"/>
      <c r="BZ874" s="582"/>
      <c r="CA874" s="582"/>
      <c r="CB874" s="582"/>
      <c r="CC874" s="582"/>
      <c r="CD874" s="582"/>
      <c r="CE874" s="582"/>
      <c r="CF874" s="582"/>
      <c r="CG874" s="582"/>
      <c r="CH874" s="582"/>
      <c r="CI874" s="636">
        <f>CI771+CI819+CI839+CI868+CI869+CI870+CI872+CI837+CI871+CI873+CI862</f>
        <v>1144945.26</v>
      </c>
      <c r="CJ874" s="637"/>
      <c r="CK874" s="637"/>
      <c r="CL874" s="637"/>
      <c r="CM874" s="637"/>
      <c r="CN874" s="637"/>
      <c r="CO874" s="637"/>
      <c r="CP874" s="637"/>
      <c r="CQ874" s="637"/>
      <c r="CR874" s="637"/>
      <c r="CS874" s="637"/>
      <c r="CT874" s="637"/>
      <c r="CU874" s="637"/>
      <c r="CV874" s="637"/>
      <c r="CW874" s="637"/>
      <c r="CX874" s="637"/>
      <c r="CY874" s="637"/>
      <c r="CZ874" s="638"/>
      <c r="DA874" s="214"/>
    </row>
    <row r="875" spans="1:106" s="16" customFormat="1" ht="15" customHeight="1" x14ac:dyDescent="0.3">
      <c r="A875" s="648" t="s">
        <v>573</v>
      </c>
      <c r="B875" s="649"/>
      <c r="C875" s="649"/>
      <c r="D875" s="649"/>
      <c r="E875" s="649"/>
      <c r="F875" s="649"/>
      <c r="G875" s="649"/>
      <c r="H875" s="649"/>
      <c r="I875" s="649"/>
      <c r="J875" s="649"/>
      <c r="K875" s="649"/>
      <c r="L875" s="649"/>
      <c r="M875" s="649"/>
      <c r="N875" s="649"/>
      <c r="O875" s="649"/>
      <c r="P875" s="649"/>
      <c r="Q875" s="649"/>
      <c r="R875" s="649"/>
      <c r="S875" s="649"/>
      <c r="T875" s="649"/>
      <c r="U875" s="649"/>
      <c r="V875" s="649"/>
      <c r="W875" s="649"/>
      <c r="X875" s="649"/>
      <c r="Y875" s="649"/>
      <c r="Z875" s="649"/>
      <c r="AA875" s="649"/>
      <c r="AB875" s="649"/>
      <c r="AC875" s="649"/>
      <c r="AD875" s="649"/>
      <c r="AE875" s="649"/>
      <c r="AF875" s="649"/>
      <c r="AG875" s="649"/>
      <c r="AH875" s="649"/>
      <c r="AI875" s="649"/>
      <c r="AJ875" s="649"/>
      <c r="AK875" s="649"/>
      <c r="AL875" s="649"/>
      <c r="AM875" s="649"/>
      <c r="AN875" s="649"/>
      <c r="AO875" s="649"/>
      <c r="AP875" s="649"/>
      <c r="AQ875" s="649"/>
      <c r="AR875" s="649"/>
      <c r="AS875" s="649"/>
      <c r="AT875" s="649"/>
      <c r="AU875" s="649"/>
      <c r="AV875" s="649"/>
      <c r="AW875" s="649"/>
      <c r="AX875" s="649"/>
      <c r="AY875" s="649"/>
      <c r="AZ875" s="649"/>
      <c r="BA875" s="649"/>
      <c r="BB875" s="649"/>
      <c r="BC875" s="649"/>
      <c r="BD875" s="649"/>
      <c r="BE875" s="649"/>
      <c r="BF875" s="649"/>
      <c r="BG875" s="649"/>
      <c r="BH875" s="649"/>
      <c r="BI875" s="649"/>
      <c r="BJ875" s="649"/>
      <c r="BK875" s="649"/>
      <c r="BL875" s="649"/>
      <c r="BM875" s="649"/>
      <c r="BN875" s="649"/>
      <c r="BO875" s="649"/>
      <c r="BP875" s="649"/>
      <c r="BQ875" s="649"/>
      <c r="BR875" s="649"/>
      <c r="BS875" s="649"/>
      <c r="BT875" s="649"/>
      <c r="BU875" s="649"/>
      <c r="BV875" s="649"/>
      <c r="BW875" s="649"/>
      <c r="BX875" s="649"/>
      <c r="BY875" s="649"/>
      <c r="BZ875" s="649"/>
      <c r="CA875" s="649"/>
      <c r="CB875" s="649"/>
      <c r="CC875" s="649"/>
      <c r="CD875" s="649"/>
      <c r="CE875" s="649"/>
      <c r="CF875" s="649"/>
      <c r="CG875" s="649"/>
      <c r="CH875" s="649"/>
      <c r="CI875" s="649"/>
      <c r="CJ875" s="649"/>
      <c r="CK875" s="649"/>
      <c r="CL875" s="649"/>
      <c r="CM875" s="649"/>
      <c r="CN875" s="649"/>
      <c r="CO875" s="649"/>
      <c r="CP875" s="649"/>
      <c r="CQ875" s="649"/>
      <c r="CR875" s="649"/>
      <c r="CS875" s="649"/>
      <c r="CT875" s="649"/>
      <c r="CU875" s="649"/>
      <c r="CV875" s="649"/>
      <c r="CW875" s="649"/>
      <c r="CX875" s="649"/>
      <c r="CY875" s="649"/>
      <c r="CZ875" s="649"/>
      <c r="DA875" s="214"/>
    </row>
    <row r="876" spans="1:106" s="16" customFormat="1" ht="15" customHeight="1" x14ac:dyDescent="0.3">
      <c r="A876" s="630" t="s">
        <v>441</v>
      </c>
      <c r="B876" s="631"/>
      <c r="C876" s="631"/>
      <c r="D876" s="631"/>
      <c r="E876" s="631"/>
      <c r="F876" s="631"/>
      <c r="G876" s="632"/>
      <c r="H876" s="584" t="s">
        <v>1047</v>
      </c>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5"/>
      <c r="AL876" s="585"/>
      <c r="AM876" s="585"/>
      <c r="AN876" s="585"/>
      <c r="AO876" s="585"/>
      <c r="AP876" s="585"/>
      <c r="AQ876" s="585"/>
      <c r="AR876" s="585"/>
      <c r="AS876" s="585"/>
      <c r="AT876" s="586"/>
      <c r="AU876" s="475" t="s">
        <v>697</v>
      </c>
      <c r="AV876" s="476"/>
      <c r="AW876" s="476"/>
      <c r="AX876" s="476"/>
      <c r="AY876" s="476"/>
      <c r="AZ876" s="476"/>
      <c r="BA876" s="476"/>
      <c r="BB876" s="477"/>
      <c r="BC876" s="627">
        <f>CI876/BS876</f>
        <v>4098.9439999999995</v>
      </c>
      <c r="BD876" s="628"/>
      <c r="BE876" s="628"/>
      <c r="BF876" s="628"/>
      <c r="BG876" s="628"/>
      <c r="BH876" s="628"/>
      <c r="BI876" s="628"/>
      <c r="BJ876" s="628"/>
      <c r="BK876" s="628"/>
      <c r="BL876" s="628"/>
      <c r="BM876" s="628"/>
      <c r="BN876" s="628"/>
      <c r="BO876" s="628"/>
      <c r="BP876" s="628"/>
      <c r="BQ876" s="628"/>
      <c r="BR876" s="629"/>
      <c r="BS876" s="639">
        <v>65</v>
      </c>
      <c r="BT876" s="640"/>
      <c r="BU876" s="640"/>
      <c r="BV876" s="640"/>
      <c r="BW876" s="640"/>
      <c r="BX876" s="640"/>
      <c r="BY876" s="640"/>
      <c r="BZ876" s="640"/>
      <c r="CA876" s="640"/>
      <c r="CB876" s="640"/>
      <c r="CC876" s="640"/>
      <c r="CD876" s="640"/>
      <c r="CE876" s="640"/>
      <c r="CF876" s="640"/>
      <c r="CG876" s="640"/>
      <c r="CH876" s="641"/>
      <c r="CI876" s="627">
        <v>266431.35999999999</v>
      </c>
      <c r="CJ876" s="628"/>
      <c r="CK876" s="628"/>
      <c r="CL876" s="628"/>
      <c r="CM876" s="628"/>
      <c r="CN876" s="628"/>
      <c r="CO876" s="628"/>
      <c r="CP876" s="628"/>
      <c r="CQ876" s="628"/>
      <c r="CR876" s="628"/>
      <c r="CS876" s="628"/>
      <c r="CT876" s="628"/>
      <c r="CU876" s="628"/>
      <c r="CV876" s="628"/>
      <c r="CW876" s="628"/>
      <c r="CX876" s="628"/>
      <c r="CY876" s="628"/>
      <c r="CZ876" s="629"/>
      <c r="DA876" s="214"/>
    </row>
    <row r="877" spans="1:106" s="16" customFormat="1" ht="15" customHeight="1" x14ac:dyDescent="0.3">
      <c r="A877" s="630" t="s">
        <v>444</v>
      </c>
      <c r="B877" s="631"/>
      <c r="C877" s="631"/>
      <c r="D877" s="631"/>
      <c r="E877" s="631"/>
      <c r="F877" s="631"/>
      <c r="G877" s="632"/>
      <c r="H877" s="584" t="s">
        <v>1048</v>
      </c>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5"/>
      <c r="AL877" s="585"/>
      <c r="AM877" s="585"/>
      <c r="AN877" s="585"/>
      <c r="AO877" s="585"/>
      <c r="AP877" s="585"/>
      <c r="AQ877" s="585"/>
      <c r="AR877" s="585"/>
      <c r="AS877" s="585"/>
      <c r="AT877" s="586"/>
      <c r="AU877" s="475" t="s">
        <v>690</v>
      </c>
      <c r="AV877" s="476"/>
      <c r="AW877" s="476"/>
      <c r="AX877" s="476"/>
      <c r="AY877" s="476"/>
      <c r="AZ877" s="476"/>
      <c r="BA877" s="476"/>
      <c r="BB877" s="477"/>
      <c r="BC877" s="675">
        <v>3</v>
      </c>
      <c r="BD877" s="676"/>
      <c r="BE877" s="676"/>
      <c r="BF877" s="676"/>
      <c r="BG877" s="676"/>
      <c r="BH877" s="676"/>
      <c r="BI877" s="676"/>
      <c r="BJ877" s="676"/>
      <c r="BK877" s="676"/>
      <c r="BL877" s="676"/>
      <c r="BM877" s="676"/>
      <c r="BN877" s="676"/>
      <c r="BO877" s="676"/>
      <c r="BP877" s="676"/>
      <c r="BQ877" s="676"/>
      <c r="BR877" s="677"/>
      <c r="BS877" s="639">
        <f>CI877/BC877</f>
        <v>3333.3333333333335</v>
      </c>
      <c r="BT877" s="640"/>
      <c r="BU877" s="640"/>
      <c r="BV877" s="640"/>
      <c r="BW877" s="640"/>
      <c r="BX877" s="640"/>
      <c r="BY877" s="640"/>
      <c r="BZ877" s="640"/>
      <c r="CA877" s="640"/>
      <c r="CB877" s="640"/>
      <c r="CC877" s="640"/>
      <c r="CD877" s="640"/>
      <c r="CE877" s="640"/>
      <c r="CF877" s="640"/>
      <c r="CG877" s="640"/>
      <c r="CH877" s="641"/>
      <c r="CI877" s="627">
        <v>10000</v>
      </c>
      <c r="CJ877" s="628"/>
      <c r="CK877" s="628"/>
      <c r="CL877" s="628"/>
      <c r="CM877" s="628"/>
      <c r="CN877" s="628"/>
      <c r="CO877" s="628"/>
      <c r="CP877" s="628"/>
      <c r="CQ877" s="628"/>
      <c r="CR877" s="628"/>
      <c r="CS877" s="628"/>
      <c r="CT877" s="628"/>
      <c r="CU877" s="628"/>
      <c r="CV877" s="628"/>
      <c r="CW877" s="628"/>
      <c r="CX877" s="628"/>
      <c r="CY877" s="628"/>
      <c r="CZ877" s="629"/>
      <c r="DA877" s="214"/>
    </row>
    <row r="878" spans="1:106" s="16" customFormat="1" ht="15" customHeight="1" x14ac:dyDescent="0.3">
      <c r="A878" s="630" t="s">
        <v>446</v>
      </c>
      <c r="B878" s="631"/>
      <c r="C878" s="631"/>
      <c r="D878" s="631"/>
      <c r="E878" s="631"/>
      <c r="F878" s="631"/>
      <c r="G878" s="632"/>
      <c r="H878" s="584" t="s">
        <v>1049</v>
      </c>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5"/>
      <c r="AL878" s="585"/>
      <c r="AM878" s="585"/>
      <c r="AN878" s="585"/>
      <c r="AO878" s="585"/>
      <c r="AP878" s="585"/>
      <c r="AQ878" s="585"/>
      <c r="AR878" s="585"/>
      <c r="AS878" s="585"/>
      <c r="AT878" s="586"/>
      <c r="AU878" s="475" t="s">
        <v>690</v>
      </c>
      <c r="AV878" s="476"/>
      <c r="AW878" s="476"/>
      <c r="AX878" s="476"/>
      <c r="AY878" s="476"/>
      <c r="AZ878" s="476"/>
      <c r="BA878" s="476"/>
      <c r="BB878" s="477"/>
      <c r="BC878" s="675">
        <v>5</v>
      </c>
      <c r="BD878" s="676"/>
      <c r="BE878" s="676"/>
      <c r="BF878" s="676"/>
      <c r="BG878" s="676"/>
      <c r="BH878" s="676"/>
      <c r="BI878" s="676"/>
      <c r="BJ878" s="676"/>
      <c r="BK878" s="676"/>
      <c r="BL878" s="676"/>
      <c r="BM878" s="676"/>
      <c r="BN878" s="676"/>
      <c r="BO878" s="676"/>
      <c r="BP878" s="676"/>
      <c r="BQ878" s="676"/>
      <c r="BR878" s="677"/>
      <c r="BS878" s="639">
        <f>CI878/BC878</f>
        <v>993</v>
      </c>
      <c r="BT878" s="640"/>
      <c r="BU878" s="640"/>
      <c r="BV878" s="640"/>
      <c r="BW878" s="640"/>
      <c r="BX878" s="640"/>
      <c r="BY878" s="640"/>
      <c r="BZ878" s="640"/>
      <c r="CA878" s="640"/>
      <c r="CB878" s="640"/>
      <c r="CC878" s="640"/>
      <c r="CD878" s="640"/>
      <c r="CE878" s="640"/>
      <c r="CF878" s="640"/>
      <c r="CG878" s="640"/>
      <c r="CH878" s="641"/>
      <c r="CI878" s="627">
        <v>4965</v>
      </c>
      <c r="CJ878" s="628"/>
      <c r="CK878" s="628"/>
      <c r="CL878" s="628"/>
      <c r="CM878" s="628"/>
      <c r="CN878" s="628"/>
      <c r="CO878" s="628"/>
      <c r="CP878" s="628"/>
      <c r="CQ878" s="628"/>
      <c r="CR878" s="628"/>
      <c r="CS878" s="628"/>
      <c r="CT878" s="628"/>
      <c r="CU878" s="628"/>
      <c r="CV878" s="628"/>
      <c r="CW878" s="628"/>
      <c r="CX878" s="628"/>
      <c r="CY878" s="628"/>
      <c r="CZ878" s="629"/>
      <c r="DA878" s="214"/>
    </row>
    <row r="879" spans="1:106" s="16" customFormat="1" ht="28.95" hidden="1" customHeight="1" x14ac:dyDescent="0.3">
      <c r="A879" s="630" t="s">
        <v>551</v>
      </c>
      <c r="B879" s="631"/>
      <c r="C879" s="631"/>
      <c r="D879" s="631"/>
      <c r="E879" s="631"/>
      <c r="F879" s="631"/>
      <c r="G879" s="632"/>
      <c r="H879" s="584" t="s">
        <v>864</v>
      </c>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5"/>
      <c r="AL879" s="585"/>
      <c r="AM879" s="585"/>
      <c r="AN879" s="585"/>
      <c r="AO879" s="585"/>
      <c r="AP879" s="585"/>
      <c r="AQ879" s="585"/>
      <c r="AR879" s="585"/>
      <c r="AS879" s="585"/>
      <c r="AT879" s="586"/>
      <c r="AU879" s="475" t="s">
        <v>690</v>
      </c>
      <c r="AV879" s="476"/>
      <c r="AW879" s="476"/>
      <c r="AX879" s="476"/>
      <c r="AY879" s="476"/>
      <c r="AZ879" s="476"/>
      <c r="BA879" s="476"/>
      <c r="BB879" s="477"/>
      <c r="BC879" s="675"/>
      <c r="BD879" s="676"/>
      <c r="BE879" s="676"/>
      <c r="BF879" s="676"/>
      <c r="BG879" s="676"/>
      <c r="BH879" s="676"/>
      <c r="BI879" s="676"/>
      <c r="BJ879" s="676"/>
      <c r="BK879" s="676"/>
      <c r="BL879" s="676"/>
      <c r="BM879" s="676"/>
      <c r="BN879" s="676"/>
      <c r="BO879" s="676"/>
      <c r="BP879" s="676"/>
      <c r="BQ879" s="676"/>
      <c r="BR879" s="677"/>
      <c r="BS879" s="639"/>
      <c r="BT879" s="640"/>
      <c r="BU879" s="640"/>
      <c r="BV879" s="640"/>
      <c r="BW879" s="640"/>
      <c r="BX879" s="640"/>
      <c r="BY879" s="640"/>
      <c r="BZ879" s="640"/>
      <c r="CA879" s="640"/>
      <c r="CB879" s="640"/>
      <c r="CC879" s="640"/>
      <c r="CD879" s="640"/>
      <c r="CE879" s="640"/>
      <c r="CF879" s="640"/>
      <c r="CG879" s="640"/>
      <c r="CH879" s="641"/>
      <c r="CI879" s="627">
        <f t="shared" ref="CI879:CI888" si="33">BC879*BS879</f>
        <v>0</v>
      </c>
      <c r="CJ879" s="628"/>
      <c r="CK879" s="628"/>
      <c r="CL879" s="628"/>
      <c r="CM879" s="628"/>
      <c r="CN879" s="628"/>
      <c r="CO879" s="628"/>
      <c r="CP879" s="628"/>
      <c r="CQ879" s="628"/>
      <c r="CR879" s="628"/>
      <c r="CS879" s="628"/>
      <c r="CT879" s="628"/>
      <c r="CU879" s="628"/>
      <c r="CV879" s="628"/>
      <c r="CW879" s="628"/>
      <c r="CX879" s="628"/>
      <c r="CY879" s="628"/>
      <c r="CZ879" s="629"/>
      <c r="DA879" s="227"/>
      <c r="DB879" s="228"/>
    </row>
    <row r="880" spans="1:106" s="16" customFormat="1" ht="15" hidden="1" customHeight="1" x14ac:dyDescent="0.3">
      <c r="A880" s="630" t="s">
        <v>599</v>
      </c>
      <c r="B880" s="631"/>
      <c r="C880" s="631"/>
      <c r="D880" s="631"/>
      <c r="E880" s="631"/>
      <c r="F880" s="631"/>
      <c r="G880" s="632"/>
      <c r="H880" s="584" t="s">
        <v>867</v>
      </c>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5"/>
      <c r="AL880" s="585"/>
      <c r="AM880" s="585"/>
      <c r="AN880" s="585"/>
      <c r="AO880" s="585"/>
      <c r="AP880" s="585"/>
      <c r="AQ880" s="585"/>
      <c r="AR880" s="585"/>
      <c r="AS880" s="585"/>
      <c r="AT880" s="586"/>
      <c r="AU880" s="475" t="s">
        <v>690</v>
      </c>
      <c r="AV880" s="476"/>
      <c r="AW880" s="476"/>
      <c r="AX880" s="476"/>
      <c r="AY880" s="476"/>
      <c r="AZ880" s="476"/>
      <c r="BA880" s="476"/>
      <c r="BB880" s="477"/>
      <c r="BC880" s="675"/>
      <c r="BD880" s="676"/>
      <c r="BE880" s="676"/>
      <c r="BF880" s="676"/>
      <c r="BG880" s="676"/>
      <c r="BH880" s="676"/>
      <c r="BI880" s="676"/>
      <c r="BJ880" s="676"/>
      <c r="BK880" s="676"/>
      <c r="BL880" s="676"/>
      <c r="BM880" s="676"/>
      <c r="BN880" s="676"/>
      <c r="BO880" s="676"/>
      <c r="BP880" s="676"/>
      <c r="BQ880" s="676"/>
      <c r="BR880" s="677"/>
      <c r="BS880" s="639"/>
      <c r="BT880" s="640"/>
      <c r="BU880" s="640"/>
      <c r="BV880" s="640"/>
      <c r="BW880" s="640"/>
      <c r="BX880" s="640"/>
      <c r="BY880" s="640"/>
      <c r="BZ880" s="640"/>
      <c r="CA880" s="640"/>
      <c r="CB880" s="640"/>
      <c r="CC880" s="640"/>
      <c r="CD880" s="640"/>
      <c r="CE880" s="640"/>
      <c r="CF880" s="640"/>
      <c r="CG880" s="640"/>
      <c r="CH880" s="641"/>
      <c r="CI880" s="627">
        <f t="shared" si="33"/>
        <v>0</v>
      </c>
      <c r="CJ880" s="628"/>
      <c r="CK880" s="628"/>
      <c r="CL880" s="628"/>
      <c r="CM880" s="628"/>
      <c r="CN880" s="628"/>
      <c r="CO880" s="628"/>
      <c r="CP880" s="628"/>
      <c r="CQ880" s="628"/>
      <c r="CR880" s="628"/>
      <c r="CS880" s="628"/>
      <c r="CT880" s="628"/>
      <c r="CU880" s="628"/>
      <c r="CV880" s="628"/>
      <c r="CW880" s="628"/>
      <c r="CX880" s="628"/>
      <c r="CY880" s="628"/>
      <c r="CZ880" s="629"/>
      <c r="DA880" s="227"/>
      <c r="DB880" s="228"/>
    </row>
    <row r="881" spans="1:111" s="16" customFormat="1" ht="15" hidden="1" customHeight="1" x14ac:dyDescent="0.3">
      <c r="A881" s="630" t="s">
        <v>642</v>
      </c>
      <c r="B881" s="631"/>
      <c r="C881" s="631"/>
      <c r="D881" s="631"/>
      <c r="E881" s="631"/>
      <c r="F881" s="631"/>
      <c r="G881" s="632"/>
      <c r="H881" s="584" t="s">
        <v>801</v>
      </c>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5"/>
      <c r="AL881" s="585"/>
      <c r="AM881" s="585"/>
      <c r="AN881" s="585"/>
      <c r="AO881" s="585"/>
      <c r="AP881" s="585"/>
      <c r="AQ881" s="585"/>
      <c r="AR881" s="585"/>
      <c r="AS881" s="585"/>
      <c r="AT881" s="586"/>
      <c r="AU881" s="475" t="s">
        <v>690</v>
      </c>
      <c r="AV881" s="476"/>
      <c r="AW881" s="476"/>
      <c r="AX881" s="476"/>
      <c r="AY881" s="476"/>
      <c r="AZ881" s="476"/>
      <c r="BA881" s="476"/>
      <c r="BB881" s="477"/>
      <c r="BC881" s="675"/>
      <c r="BD881" s="676"/>
      <c r="BE881" s="676"/>
      <c r="BF881" s="676"/>
      <c r="BG881" s="676"/>
      <c r="BH881" s="676"/>
      <c r="BI881" s="676"/>
      <c r="BJ881" s="676"/>
      <c r="BK881" s="676"/>
      <c r="BL881" s="676"/>
      <c r="BM881" s="676"/>
      <c r="BN881" s="676"/>
      <c r="BO881" s="676"/>
      <c r="BP881" s="676"/>
      <c r="BQ881" s="676"/>
      <c r="BR881" s="677"/>
      <c r="BS881" s="639"/>
      <c r="BT881" s="640"/>
      <c r="BU881" s="640"/>
      <c r="BV881" s="640"/>
      <c r="BW881" s="640"/>
      <c r="BX881" s="640"/>
      <c r="BY881" s="640"/>
      <c r="BZ881" s="640"/>
      <c r="CA881" s="640"/>
      <c r="CB881" s="640"/>
      <c r="CC881" s="640"/>
      <c r="CD881" s="640"/>
      <c r="CE881" s="640"/>
      <c r="CF881" s="640"/>
      <c r="CG881" s="640"/>
      <c r="CH881" s="641"/>
      <c r="CI881" s="627">
        <f t="shared" si="33"/>
        <v>0</v>
      </c>
      <c r="CJ881" s="628"/>
      <c r="CK881" s="628"/>
      <c r="CL881" s="628"/>
      <c r="CM881" s="628"/>
      <c r="CN881" s="628"/>
      <c r="CO881" s="628"/>
      <c r="CP881" s="628"/>
      <c r="CQ881" s="628"/>
      <c r="CR881" s="628"/>
      <c r="CS881" s="628"/>
      <c r="CT881" s="628"/>
      <c r="CU881" s="628"/>
      <c r="CV881" s="628"/>
      <c r="CW881" s="628"/>
      <c r="CX881" s="628"/>
      <c r="CY881" s="628"/>
      <c r="CZ881" s="629"/>
      <c r="DA881" s="217"/>
      <c r="DB881" s="244"/>
      <c r="DG881" s="245"/>
    </row>
    <row r="882" spans="1:111" s="16" customFormat="1" ht="15" hidden="1" customHeight="1" x14ac:dyDescent="0.3">
      <c r="A882" s="630" t="s">
        <v>648</v>
      </c>
      <c r="B882" s="631"/>
      <c r="C882" s="631"/>
      <c r="D882" s="631"/>
      <c r="E882" s="631"/>
      <c r="F882" s="631"/>
      <c r="G882" s="632"/>
      <c r="H882" s="584" t="s">
        <v>865</v>
      </c>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5"/>
      <c r="AL882" s="585"/>
      <c r="AM882" s="585"/>
      <c r="AN882" s="585"/>
      <c r="AO882" s="585"/>
      <c r="AP882" s="585"/>
      <c r="AQ882" s="585"/>
      <c r="AR882" s="585"/>
      <c r="AS882" s="585"/>
      <c r="AT882" s="586"/>
      <c r="AU882" s="475" t="s">
        <v>690</v>
      </c>
      <c r="AV882" s="476"/>
      <c r="AW882" s="476"/>
      <c r="AX882" s="476"/>
      <c r="AY882" s="476"/>
      <c r="AZ882" s="476"/>
      <c r="BA882" s="476"/>
      <c r="BB882" s="477"/>
      <c r="BC882" s="675"/>
      <c r="BD882" s="676"/>
      <c r="BE882" s="676"/>
      <c r="BF882" s="676"/>
      <c r="BG882" s="676"/>
      <c r="BH882" s="676"/>
      <c r="BI882" s="676"/>
      <c r="BJ882" s="676"/>
      <c r="BK882" s="676"/>
      <c r="BL882" s="676"/>
      <c r="BM882" s="676"/>
      <c r="BN882" s="676"/>
      <c r="BO882" s="676"/>
      <c r="BP882" s="676"/>
      <c r="BQ882" s="676"/>
      <c r="BR882" s="677"/>
      <c r="BS882" s="639"/>
      <c r="BT882" s="640"/>
      <c r="BU882" s="640"/>
      <c r="BV882" s="640"/>
      <c r="BW882" s="640"/>
      <c r="BX882" s="640"/>
      <c r="BY882" s="640"/>
      <c r="BZ882" s="640"/>
      <c r="CA882" s="640"/>
      <c r="CB882" s="640"/>
      <c r="CC882" s="640"/>
      <c r="CD882" s="640"/>
      <c r="CE882" s="640"/>
      <c r="CF882" s="640"/>
      <c r="CG882" s="640"/>
      <c r="CH882" s="641"/>
      <c r="CI882" s="627">
        <f t="shared" si="33"/>
        <v>0</v>
      </c>
      <c r="CJ882" s="628"/>
      <c r="CK882" s="628"/>
      <c r="CL882" s="628"/>
      <c r="CM882" s="628"/>
      <c r="CN882" s="628"/>
      <c r="CO882" s="628"/>
      <c r="CP882" s="628"/>
      <c r="CQ882" s="628"/>
      <c r="CR882" s="628"/>
      <c r="CS882" s="628"/>
      <c r="CT882" s="628"/>
      <c r="CU882" s="628"/>
      <c r="CV882" s="628"/>
      <c r="CW882" s="628"/>
      <c r="CX882" s="628"/>
      <c r="CY882" s="628"/>
      <c r="CZ882" s="629"/>
      <c r="DA882" s="238"/>
      <c r="DB882" s="245"/>
    </row>
    <row r="883" spans="1:111" s="16" customFormat="1" ht="15" hidden="1" customHeight="1" x14ac:dyDescent="0.3">
      <c r="A883" s="630" t="s">
        <v>650</v>
      </c>
      <c r="B883" s="631"/>
      <c r="C883" s="631"/>
      <c r="D883" s="631"/>
      <c r="E883" s="631"/>
      <c r="F883" s="631"/>
      <c r="G883" s="632"/>
      <c r="H883" s="584" t="s">
        <v>863</v>
      </c>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5"/>
      <c r="AL883" s="585"/>
      <c r="AM883" s="585"/>
      <c r="AN883" s="585"/>
      <c r="AO883" s="585"/>
      <c r="AP883" s="585"/>
      <c r="AQ883" s="585"/>
      <c r="AR883" s="585"/>
      <c r="AS883" s="585"/>
      <c r="AT883" s="586"/>
      <c r="AU883" s="475" t="s">
        <v>800</v>
      </c>
      <c r="AV883" s="476"/>
      <c r="AW883" s="476"/>
      <c r="AX883" s="476"/>
      <c r="AY883" s="476"/>
      <c r="AZ883" s="476"/>
      <c r="BA883" s="476"/>
      <c r="BB883" s="477"/>
      <c r="BC883" s="675"/>
      <c r="BD883" s="676"/>
      <c r="BE883" s="676"/>
      <c r="BF883" s="676"/>
      <c r="BG883" s="676"/>
      <c r="BH883" s="676"/>
      <c r="BI883" s="676"/>
      <c r="BJ883" s="676"/>
      <c r="BK883" s="676"/>
      <c r="BL883" s="676"/>
      <c r="BM883" s="676"/>
      <c r="BN883" s="676"/>
      <c r="BO883" s="676"/>
      <c r="BP883" s="676"/>
      <c r="BQ883" s="676"/>
      <c r="BR883" s="677"/>
      <c r="BS883" s="639"/>
      <c r="BT883" s="640"/>
      <c r="BU883" s="640"/>
      <c r="BV883" s="640"/>
      <c r="BW883" s="640"/>
      <c r="BX883" s="640"/>
      <c r="BY883" s="640"/>
      <c r="BZ883" s="640"/>
      <c r="CA883" s="640"/>
      <c r="CB883" s="640"/>
      <c r="CC883" s="640"/>
      <c r="CD883" s="640"/>
      <c r="CE883" s="640"/>
      <c r="CF883" s="640"/>
      <c r="CG883" s="640"/>
      <c r="CH883" s="641"/>
      <c r="CI883" s="627">
        <f t="shared" si="33"/>
        <v>0</v>
      </c>
      <c r="CJ883" s="628"/>
      <c r="CK883" s="628"/>
      <c r="CL883" s="628"/>
      <c r="CM883" s="628"/>
      <c r="CN883" s="628"/>
      <c r="CO883" s="628"/>
      <c r="CP883" s="628"/>
      <c r="CQ883" s="628"/>
      <c r="CR883" s="628"/>
      <c r="CS883" s="628"/>
      <c r="CT883" s="628"/>
      <c r="CU883" s="628"/>
      <c r="CV883" s="628"/>
      <c r="CW883" s="628"/>
      <c r="CX883" s="628"/>
      <c r="CY883" s="628"/>
      <c r="CZ883" s="629"/>
      <c r="DA883" s="238"/>
      <c r="DB883" s="245"/>
    </row>
    <row r="884" spans="1:111" s="16" customFormat="1" ht="15" hidden="1" customHeight="1" x14ac:dyDescent="0.3">
      <c r="A884" s="630" t="s">
        <v>487</v>
      </c>
      <c r="B884" s="631"/>
      <c r="C884" s="631"/>
      <c r="D884" s="631"/>
      <c r="E884" s="631"/>
      <c r="F884" s="631"/>
      <c r="G884" s="632"/>
      <c r="H884" s="584" t="s">
        <v>802</v>
      </c>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5"/>
      <c r="AL884" s="585"/>
      <c r="AM884" s="585"/>
      <c r="AN884" s="585"/>
      <c r="AO884" s="585"/>
      <c r="AP884" s="585"/>
      <c r="AQ884" s="585"/>
      <c r="AR884" s="585"/>
      <c r="AS884" s="585"/>
      <c r="AT884" s="586"/>
      <c r="AU884" s="475" t="s">
        <v>690</v>
      </c>
      <c r="AV884" s="476"/>
      <c r="AW884" s="476"/>
      <c r="AX884" s="476"/>
      <c r="AY884" s="476"/>
      <c r="AZ884" s="476"/>
      <c r="BA884" s="476"/>
      <c r="BB884" s="477"/>
      <c r="BC884" s="675"/>
      <c r="BD884" s="676"/>
      <c r="BE884" s="676"/>
      <c r="BF884" s="676"/>
      <c r="BG884" s="676"/>
      <c r="BH884" s="676"/>
      <c r="BI884" s="676"/>
      <c r="BJ884" s="676"/>
      <c r="BK884" s="676"/>
      <c r="BL884" s="676"/>
      <c r="BM884" s="676"/>
      <c r="BN884" s="676"/>
      <c r="BO884" s="676"/>
      <c r="BP884" s="676"/>
      <c r="BQ884" s="676"/>
      <c r="BR884" s="677"/>
      <c r="BS884" s="639"/>
      <c r="BT884" s="640"/>
      <c r="BU884" s="640"/>
      <c r="BV884" s="640"/>
      <c r="BW884" s="640"/>
      <c r="BX884" s="640"/>
      <c r="BY884" s="640"/>
      <c r="BZ884" s="640"/>
      <c r="CA884" s="640"/>
      <c r="CB884" s="640"/>
      <c r="CC884" s="640"/>
      <c r="CD884" s="640"/>
      <c r="CE884" s="640"/>
      <c r="CF884" s="640"/>
      <c r="CG884" s="640"/>
      <c r="CH884" s="641"/>
      <c r="CI884" s="627">
        <f t="shared" si="33"/>
        <v>0</v>
      </c>
      <c r="CJ884" s="628"/>
      <c r="CK884" s="628"/>
      <c r="CL884" s="628"/>
      <c r="CM884" s="628"/>
      <c r="CN884" s="628"/>
      <c r="CO884" s="628"/>
      <c r="CP884" s="628"/>
      <c r="CQ884" s="628"/>
      <c r="CR884" s="628"/>
      <c r="CS884" s="628"/>
      <c r="CT884" s="628"/>
      <c r="CU884" s="628"/>
      <c r="CV884" s="628"/>
      <c r="CW884" s="628"/>
      <c r="CX884" s="628"/>
      <c r="CY884" s="628"/>
      <c r="CZ884" s="629"/>
      <c r="DA884" s="238"/>
      <c r="DB884" s="245"/>
    </row>
    <row r="885" spans="1:111" s="16" customFormat="1" ht="15" hidden="1" customHeight="1" x14ac:dyDescent="0.3">
      <c r="A885" s="630" t="s">
        <v>653</v>
      </c>
      <c r="B885" s="631"/>
      <c r="C885" s="631"/>
      <c r="D885" s="631"/>
      <c r="E885" s="631"/>
      <c r="F885" s="631"/>
      <c r="G885" s="632"/>
      <c r="H885" s="584" t="s">
        <v>893</v>
      </c>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5"/>
      <c r="AL885" s="585"/>
      <c r="AM885" s="585"/>
      <c r="AN885" s="585"/>
      <c r="AO885" s="585"/>
      <c r="AP885" s="585"/>
      <c r="AQ885" s="585"/>
      <c r="AR885" s="585"/>
      <c r="AS885" s="585"/>
      <c r="AT885" s="586"/>
      <c r="AU885" s="475" t="s">
        <v>690</v>
      </c>
      <c r="AV885" s="476"/>
      <c r="AW885" s="476"/>
      <c r="AX885" s="476"/>
      <c r="AY885" s="476"/>
      <c r="AZ885" s="476"/>
      <c r="BA885" s="476"/>
      <c r="BB885" s="477"/>
      <c r="BC885" s="675"/>
      <c r="BD885" s="676"/>
      <c r="BE885" s="676"/>
      <c r="BF885" s="676"/>
      <c r="BG885" s="676"/>
      <c r="BH885" s="676"/>
      <c r="BI885" s="676"/>
      <c r="BJ885" s="676"/>
      <c r="BK885" s="676"/>
      <c r="BL885" s="676"/>
      <c r="BM885" s="676"/>
      <c r="BN885" s="676"/>
      <c r="BO885" s="676"/>
      <c r="BP885" s="676"/>
      <c r="BQ885" s="676"/>
      <c r="BR885" s="677"/>
      <c r="BS885" s="639"/>
      <c r="BT885" s="640"/>
      <c r="BU885" s="640"/>
      <c r="BV885" s="640"/>
      <c r="BW885" s="640"/>
      <c r="BX885" s="640"/>
      <c r="BY885" s="640"/>
      <c r="BZ885" s="640"/>
      <c r="CA885" s="640"/>
      <c r="CB885" s="640"/>
      <c r="CC885" s="640"/>
      <c r="CD885" s="640"/>
      <c r="CE885" s="640"/>
      <c r="CF885" s="640"/>
      <c r="CG885" s="640"/>
      <c r="CH885" s="641"/>
      <c r="CI885" s="627">
        <f t="shared" si="33"/>
        <v>0</v>
      </c>
      <c r="CJ885" s="628"/>
      <c r="CK885" s="628"/>
      <c r="CL885" s="628"/>
      <c r="CM885" s="628"/>
      <c r="CN885" s="628"/>
      <c r="CO885" s="628"/>
      <c r="CP885" s="628"/>
      <c r="CQ885" s="628"/>
      <c r="CR885" s="628"/>
      <c r="CS885" s="628"/>
      <c r="CT885" s="628"/>
      <c r="CU885" s="628"/>
      <c r="CV885" s="628"/>
      <c r="CW885" s="628"/>
      <c r="CX885" s="628"/>
      <c r="CY885" s="628"/>
      <c r="CZ885" s="629"/>
      <c r="DA885" s="238"/>
      <c r="DB885" s="245"/>
    </row>
    <row r="886" spans="1:111" s="16" customFormat="1" ht="15" hidden="1" customHeight="1" x14ac:dyDescent="0.3">
      <c r="A886" s="630" t="s">
        <v>654</v>
      </c>
      <c r="B886" s="631"/>
      <c r="C886" s="631"/>
      <c r="D886" s="631"/>
      <c r="E886" s="631"/>
      <c r="F886" s="631"/>
      <c r="G886" s="632"/>
      <c r="H886" s="584" t="s">
        <v>895</v>
      </c>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5"/>
      <c r="AL886" s="585"/>
      <c r="AM886" s="585"/>
      <c r="AN886" s="585"/>
      <c r="AO886" s="585"/>
      <c r="AP886" s="585"/>
      <c r="AQ886" s="585"/>
      <c r="AR886" s="585"/>
      <c r="AS886" s="585"/>
      <c r="AT886" s="586"/>
      <c r="AU886" s="475" t="s">
        <v>690</v>
      </c>
      <c r="AV886" s="476"/>
      <c r="AW886" s="476"/>
      <c r="AX886" s="476"/>
      <c r="AY886" s="476"/>
      <c r="AZ886" s="476"/>
      <c r="BA886" s="476"/>
      <c r="BB886" s="477"/>
      <c r="BC886" s="675"/>
      <c r="BD886" s="676"/>
      <c r="BE886" s="676"/>
      <c r="BF886" s="676"/>
      <c r="BG886" s="676"/>
      <c r="BH886" s="676"/>
      <c r="BI886" s="676"/>
      <c r="BJ886" s="676"/>
      <c r="BK886" s="676"/>
      <c r="BL886" s="676"/>
      <c r="BM886" s="676"/>
      <c r="BN886" s="676"/>
      <c r="BO886" s="676"/>
      <c r="BP886" s="676"/>
      <c r="BQ886" s="676"/>
      <c r="BR886" s="677"/>
      <c r="BS886" s="639"/>
      <c r="BT886" s="640"/>
      <c r="BU886" s="640"/>
      <c r="BV886" s="640"/>
      <c r="BW886" s="640"/>
      <c r="BX886" s="640"/>
      <c r="BY886" s="640"/>
      <c r="BZ886" s="640"/>
      <c r="CA886" s="640"/>
      <c r="CB886" s="640"/>
      <c r="CC886" s="640"/>
      <c r="CD886" s="640"/>
      <c r="CE886" s="640"/>
      <c r="CF886" s="640"/>
      <c r="CG886" s="640"/>
      <c r="CH886" s="641"/>
      <c r="CI886" s="627">
        <f t="shared" si="33"/>
        <v>0</v>
      </c>
      <c r="CJ886" s="628"/>
      <c r="CK886" s="628"/>
      <c r="CL886" s="628"/>
      <c r="CM886" s="628"/>
      <c r="CN886" s="628"/>
      <c r="CO886" s="628"/>
      <c r="CP886" s="628"/>
      <c r="CQ886" s="628"/>
      <c r="CR886" s="628"/>
      <c r="CS886" s="628"/>
      <c r="CT886" s="628"/>
      <c r="CU886" s="628"/>
      <c r="CV886" s="628"/>
      <c r="CW886" s="628"/>
      <c r="CX886" s="628"/>
      <c r="CY886" s="628"/>
      <c r="CZ886" s="629"/>
      <c r="DA886" s="238"/>
      <c r="DB886" s="245"/>
    </row>
    <row r="887" spans="1:111" s="16" customFormat="1" ht="15" hidden="1" customHeight="1" x14ac:dyDescent="0.3">
      <c r="A887" s="630" t="s">
        <v>655</v>
      </c>
      <c r="B887" s="631"/>
      <c r="C887" s="631"/>
      <c r="D887" s="631"/>
      <c r="E887" s="631"/>
      <c r="F887" s="631"/>
      <c r="G887" s="632"/>
      <c r="H887" s="584" t="s">
        <v>894</v>
      </c>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5"/>
      <c r="AL887" s="585"/>
      <c r="AM887" s="585"/>
      <c r="AN887" s="585"/>
      <c r="AO887" s="585"/>
      <c r="AP887" s="585"/>
      <c r="AQ887" s="585"/>
      <c r="AR887" s="585"/>
      <c r="AS887" s="585"/>
      <c r="AT887" s="586"/>
      <c r="AU887" s="475" t="s">
        <v>690</v>
      </c>
      <c r="AV887" s="476"/>
      <c r="AW887" s="476"/>
      <c r="AX887" s="476"/>
      <c r="AY887" s="476"/>
      <c r="AZ887" s="476"/>
      <c r="BA887" s="476"/>
      <c r="BB887" s="477"/>
      <c r="BC887" s="675"/>
      <c r="BD887" s="676"/>
      <c r="BE887" s="676"/>
      <c r="BF887" s="676"/>
      <c r="BG887" s="676"/>
      <c r="BH887" s="676"/>
      <c r="BI887" s="676"/>
      <c r="BJ887" s="676"/>
      <c r="BK887" s="676"/>
      <c r="BL887" s="676"/>
      <c r="BM887" s="676"/>
      <c r="BN887" s="676"/>
      <c r="BO887" s="676"/>
      <c r="BP887" s="676"/>
      <c r="BQ887" s="676"/>
      <c r="BR887" s="677"/>
      <c r="BS887" s="639"/>
      <c r="BT887" s="640"/>
      <c r="BU887" s="640"/>
      <c r="BV887" s="640"/>
      <c r="BW887" s="640"/>
      <c r="BX887" s="640"/>
      <c r="BY887" s="640"/>
      <c r="BZ887" s="640"/>
      <c r="CA887" s="640"/>
      <c r="CB887" s="640"/>
      <c r="CC887" s="640"/>
      <c r="CD887" s="640"/>
      <c r="CE887" s="640"/>
      <c r="CF887" s="640"/>
      <c r="CG887" s="640"/>
      <c r="CH887" s="641"/>
      <c r="CI887" s="627">
        <f t="shared" si="33"/>
        <v>0</v>
      </c>
      <c r="CJ887" s="628"/>
      <c r="CK887" s="628"/>
      <c r="CL887" s="628"/>
      <c r="CM887" s="628"/>
      <c r="CN887" s="628"/>
      <c r="CO887" s="628"/>
      <c r="CP887" s="628"/>
      <c r="CQ887" s="628"/>
      <c r="CR887" s="628"/>
      <c r="CS887" s="628"/>
      <c r="CT887" s="628"/>
      <c r="CU887" s="628"/>
      <c r="CV887" s="628"/>
      <c r="CW887" s="628"/>
      <c r="CX887" s="628"/>
      <c r="CY887" s="628"/>
      <c r="CZ887" s="629"/>
      <c r="DA887" s="214"/>
    </row>
    <row r="888" spans="1:111" s="16" customFormat="1" ht="15" hidden="1" customHeight="1" x14ac:dyDescent="0.3">
      <c r="A888" s="630" t="s">
        <v>656</v>
      </c>
      <c r="B888" s="631"/>
      <c r="C888" s="631"/>
      <c r="D888" s="631"/>
      <c r="E888" s="631"/>
      <c r="F888" s="631"/>
      <c r="G888" s="632"/>
      <c r="H888" s="584" t="s">
        <v>903</v>
      </c>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5"/>
      <c r="AL888" s="585"/>
      <c r="AM888" s="585"/>
      <c r="AN888" s="585"/>
      <c r="AO888" s="585"/>
      <c r="AP888" s="585"/>
      <c r="AQ888" s="585"/>
      <c r="AR888" s="585"/>
      <c r="AS888" s="585"/>
      <c r="AT888" s="586"/>
      <c r="AU888" s="475" t="s">
        <v>690</v>
      </c>
      <c r="AV888" s="476"/>
      <c r="AW888" s="476"/>
      <c r="AX888" s="476"/>
      <c r="AY888" s="476"/>
      <c r="AZ888" s="476"/>
      <c r="BA888" s="476"/>
      <c r="BB888" s="477"/>
      <c r="BC888" s="675"/>
      <c r="BD888" s="676"/>
      <c r="BE888" s="676"/>
      <c r="BF888" s="676"/>
      <c r="BG888" s="676"/>
      <c r="BH888" s="676"/>
      <c r="BI888" s="676"/>
      <c r="BJ888" s="676"/>
      <c r="BK888" s="676"/>
      <c r="BL888" s="676"/>
      <c r="BM888" s="676"/>
      <c r="BN888" s="676"/>
      <c r="BO888" s="676"/>
      <c r="BP888" s="676"/>
      <c r="BQ888" s="676"/>
      <c r="BR888" s="677"/>
      <c r="BS888" s="639"/>
      <c r="BT888" s="640"/>
      <c r="BU888" s="640"/>
      <c r="BV888" s="640"/>
      <c r="BW888" s="640"/>
      <c r="BX888" s="640"/>
      <c r="BY888" s="640"/>
      <c r="BZ888" s="640"/>
      <c r="CA888" s="640"/>
      <c r="CB888" s="640"/>
      <c r="CC888" s="640"/>
      <c r="CD888" s="640"/>
      <c r="CE888" s="640"/>
      <c r="CF888" s="640"/>
      <c r="CG888" s="640"/>
      <c r="CH888" s="641"/>
      <c r="CI888" s="627">
        <f t="shared" si="33"/>
        <v>0</v>
      </c>
      <c r="CJ888" s="628"/>
      <c r="CK888" s="628"/>
      <c r="CL888" s="628"/>
      <c r="CM888" s="628"/>
      <c r="CN888" s="628"/>
      <c r="CO888" s="628"/>
      <c r="CP888" s="628"/>
      <c r="CQ888" s="628"/>
      <c r="CR888" s="628"/>
      <c r="CS888" s="628"/>
      <c r="CT888" s="628"/>
      <c r="CU888" s="628"/>
      <c r="CV888" s="628"/>
      <c r="CW888" s="628"/>
      <c r="CX888" s="628"/>
      <c r="CY888" s="628"/>
      <c r="CZ888" s="629"/>
      <c r="DA888" s="214"/>
    </row>
    <row r="889" spans="1:111" s="16" customFormat="1" ht="18.75" customHeight="1" x14ac:dyDescent="0.3">
      <c r="A889" s="553" t="s">
        <v>292</v>
      </c>
      <c r="B889" s="554"/>
      <c r="C889" s="554"/>
      <c r="D889" s="554"/>
      <c r="E889" s="554"/>
      <c r="F889" s="554"/>
      <c r="G889" s="554"/>
      <c r="H889" s="554"/>
      <c r="I889" s="554"/>
      <c r="J889" s="554"/>
      <c r="K889" s="554"/>
      <c r="L889" s="554"/>
      <c r="M889" s="554"/>
      <c r="N889" s="554"/>
      <c r="O889" s="554"/>
      <c r="P889" s="554"/>
      <c r="Q889" s="554"/>
      <c r="R889" s="554"/>
      <c r="S889" s="554"/>
      <c r="T889" s="554"/>
      <c r="U889" s="554"/>
      <c r="V889" s="554"/>
      <c r="W889" s="554"/>
      <c r="X889" s="554"/>
      <c r="Y889" s="554"/>
      <c r="Z889" s="554"/>
      <c r="AA889" s="554"/>
      <c r="AB889" s="554"/>
      <c r="AC889" s="554"/>
      <c r="AD889" s="554"/>
      <c r="AE889" s="554"/>
      <c r="AF889" s="554"/>
      <c r="AG889" s="554"/>
      <c r="AH889" s="554"/>
      <c r="AI889" s="554"/>
      <c r="AJ889" s="554"/>
      <c r="AK889" s="554"/>
      <c r="AL889" s="554"/>
      <c r="AM889" s="554"/>
      <c r="AN889" s="554"/>
      <c r="AO889" s="554"/>
      <c r="AP889" s="554"/>
      <c r="AQ889" s="554"/>
      <c r="AR889" s="554"/>
      <c r="AS889" s="554"/>
      <c r="AT889" s="554"/>
      <c r="AU889" s="554"/>
      <c r="AV889" s="554"/>
      <c r="AW889" s="554"/>
      <c r="AX889" s="554"/>
      <c r="AY889" s="554"/>
      <c r="AZ889" s="554"/>
      <c r="BA889" s="554"/>
      <c r="BB889" s="554"/>
      <c r="BC889" s="554"/>
      <c r="BD889" s="554"/>
      <c r="BE889" s="554"/>
      <c r="BF889" s="554"/>
      <c r="BG889" s="554"/>
      <c r="BH889" s="554"/>
      <c r="BI889" s="554"/>
      <c r="BJ889" s="554"/>
      <c r="BK889" s="554"/>
      <c r="BL889" s="554"/>
      <c r="BM889" s="554"/>
      <c r="BN889" s="554"/>
      <c r="BO889" s="554"/>
      <c r="BP889" s="554"/>
      <c r="BQ889" s="554"/>
      <c r="BR889" s="555"/>
      <c r="BS889" s="582" t="s">
        <v>4</v>
      </c>
      <c r="BT889" s="582"/>
      <c r="BU889" s="582"/>
      <c r="BV889" s="582"/>
      <c r="BW889" s="582"/>
      <c r="BX889" s="582"/>
      <c r="BY889" s="582"/>
      <c r="BZ889" s="582"/>
      <c r="CA889" s="582"/>
      <c r="CB889" s="582"/>
      <c r="CC889" s="582"/>
      <c r="CD889" s="582"/>
      <c r="CE889" s="582"/>
      <c r="CF889" s="582"/>
      <c r="CG889" s="582"/>
      <c r="CH889" s="582"/>
      <c r="CI889" s="611">
        <f>SUM(CI876:CZ878)</f>
        <v>281396.36</v>
      </c>
      <c r="CJ889" s="611"/>
      <c r="CK889" s="611"/>
      <c r="CL889" s="611"/>
      <c r="CM889" s="611"/>
      <c r="CN889" s="611"/>
      <c r="CO889" s="611"/>
      <c r="CP889" s="611"/>
      <c r="CQ889" s="611"/>
      <c r="CR889" s="611"/>
      <c r="CS889" s="611"/>
      <c r="CT889" s="611"/>
      <c r="CU889" s="611"/>
      <c r="CV889" s="611"/>
      <c r="CW889" s="611"/>
      <c r="CX889" s="611"/>
      <c r="CY889" s="611"/>
      <c r="CZ889" s="611"/>
      <c r="DA889" s="214"/>
    </row>
    <row r="890" spans="1:111" s="16" customFormat="1" ht="18.75" hidden="1" customHeight="1" x14ac:dyDescent="0.3">
      <c r="A890" s="648" t="s">
        <v>573</v>
      </c>
      <c r="B890" s="649"/>
      <c r="C890" s="649"/>
      <c r="D890" s="649"/>
      <c r="E890" s="649"/>
      <c r="F890" s="649"/>
      <c r="G890" s="649"/>
      <c r="H890" s="649"/>
      <c r="I890" s="649"/>
      <c r="J890" s="649"/>
      <c r="K890" s="649"/>
      <c r="L890" s="649"/>
      <c r="M890" s="649"/>
      <c r="N890" s="649"/>
      <c r="O890" s="649"/>
      <c r="P890" s="649"/>
      <c r="Q890" s="649"/>
      <c r="R890" s="649"/>
      <c r="S890" s="649"/>
      <c r="T890" s="649"/>
      <c r="U890" s="649"/>
      <c r="V890" s="649"/>
      <c r="W890" s="649"/>
      <c r="X890" s="649"/>
      <c r="Y890" s="649"/>
      <c r="Z890" s="649"/>
      <c r="AA890" s="649"/>
      <c r="AB890" s="649"/>
      <c r="AC890" s="649"/>
      <c r="AD890" s="649"/>
      <c r="AE890" s="649"/>
      <c r="AF890" s="649"/>
      <c r="AG890" s="649"/>
      <c r="AH890" s="649"/>
      <c r="AI890" s="649"/>
      <c r="AJ890" s="649"/>
      <c r="AK890" s="649"/>
      <c r="AL890" s="649"/>
      <c r="AM890" s="649"/>
      <c r="AN890" s="649"/>
      <c r="AO890" s="649"/>
      <c r="AP890" s="649"/>
      <c r="AQ890" s="649"/>
      <c r="AR890" s="649"/>
      <c r="AS890" s="649"/>
      <c r="AT890" s="649"/>
      <c r="AU890" s="649"/>
      <c r="AV890" s="649"/>
      <c r="AW890" s="649"/>
      <c r="AX890" s="649"/>
      <c r="AY890" s="649"/>
      <c r="AZ890" s="649"/>
      <c r="BA890" s="649"/>
      <c r="BB890" s="649"/>
      <c r="BC890" s="649"/>
      <c r="BD890" s="649"/>
      <c r="BE890" s="649"/>
      <c r="BF890" s="649"/>
      <c r="BG890" s="649"/>
      <c r="BH890" s="649"/>
      <c r="BI890" s="649"/>
      <c r="BJ890" s="649"/>
      <c r="BK890" s="649"/>
      <c r="BL890" s="649"/>
      <c r="BM890" s="649"/>
      <c r="BN890" s="649"/>
      <c r="BO890" s="649"/>
      <c r="BP890" s="649"/>
      <c r="BQ890" s="649"/>
      <c r="BR890" s="649"/>
      <c r="BS890" s="649"/>
      <c r="BT890" s="649"/>
      <c r="BU890" s="649"/>
      <c r="BV890" s="649"/>
      <c r="BW890" s="649"/>
      <c r="BX890" s="649"/>
      <c r="BY890" s="649"/>
      <c r="BZ890" s="649"/>
      <c r="CA890" s="649"/>
      <c r="CB890" s="649"/>
      <c r="CC890" s="649"/>
      <c r="CD890" s="649"/>
      <c r="CE890" s="649"/>
      <c r="CF890" s="649"/>
      <c r="CG890" s="649"/>
      <c r="CH890" s="649"/>
      <c r="CI890" s="649"/>
      <c r="CJ890" s="649"/>
      <c r="CK890" s="649"/>
      <c r="CL890" s="649"/>
      <c r="CM890" s="649"/>
      <c r="CN890" s="649"/>
      <c r="CO890" s="649"/>
      <c r="CP890" s="649"/>
      <c r="CQ890" s="649"/>
      <c r="CR890" s="649"/>
      <c r="CS890" s="649"/>
      <c r="CT890" s="649"/>
      <c r="CU890" s="649"/>
      <c r="CV890" s="649"/>
      <c r="CW890" s="649"/>
      <c r="CX890" s="649"/>
      <c r="CY890" s="649"/>
      <c r="CZ890" s="649"/>
      <c r="DA890" s="214"/>
    </row>
    <row r="891" spans="1:111" s="16" customFormat="1" ht="18.75" hidden="1" customHeight="1" x14ac:dyDescent="0.3">
      <c r="A891" s="630" t="s">
        <v>441</v>
      </c>
      <c r="B891" s="631"/>
      <c r="C891" s="631"/>
      <c r="D891" s="631"/>
      <c r="E891" s="631"/>
      <c r="F891" s="631"/>
      <c r="G891" s="632"/>
      <c r="H891" s="584" t="s">
        <v>799</v>
      </c>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5"/>
      <c r="AL891" s="585"/>
      <c r="AM891" s="585"/>
      <c r="AN891" s="585"/>
      <c r="AO891" s="585"/>
      <c r="AP891" s="585"/>
      <c r="AQ891" s="585"/>
      <c r="AR891" s="585"/>
      <c r="AS891" s="585"/>
      <c r="AT891" s="585"/>
      <c r="AU891" s="584" t="s">
        <v>697</v>
      </c>
      <c r="AV891" s="585"/>
      <c r="AW891" s="585"/>
      <c r="AX891" s="585"/>
      <c r="AY891" s="585"/>
      <c r="AZ891" s="585"/>
      <c r="BA891" s="585"/>
      <c r="BB891" s="585"/>
      <c r="BC891" s="475">
        <f>2800+500+5</f>
        <v>3305</v>
      </c>
      <c r="BD891" s="476"/>
      <c r="BE891" s="476"/>
      <c r="BF891" s="476"/>
      <c r="BG891" s="476"/>
      <c r="BH891" s="476"/>
      <c r="BI891" s="476"/>
      <c r="BJ891" s="476"/>
      <c r="BK891" s="476"/>
      <c r="BL891" s="476"/>
      <c r="BM891" s="476"/>
      <c r="BN891" s="476"/>
      <c r="BO891" s="476"/>
      <c r="BP891" s="476"/>
      <c r="BQ891" s="476"/>
      <c r="BR891" s="477"/>
      <c r="BS891" s="672">
        <f>CI891/BC891</f>
        <v>0</v>
      </c>
      <c r="BT891" s="673"/>
      <c r="BU891" s="673"/>
      <c r="BV891" s="673"/>
      <c r="BW891" s="673"/>
      <c r="BX891" s="673"/>
      <c r="BY891" s="673"/>
      <c r="BZ891" s="673"/>
      <c r="CA891" s="673"/>
      <c r="CB891" s="673"/>
      <c r="CC891" s="673"/>
      <c r="CD891" s="673"/>
      <c r="CE891" s="673"/>
      <c r="CF891" s="673"/>
      <c r="CG891" s="673"/>
      <c r="CH891" s="674"/>
      <c r="CI891" s="660">
        <v>0</v>
      </c>
      <c r="CJ891" s="660"/>
      <c r="CK891" s="660"/>
      <c r="CL891" s="660"/>
      <c r="CM891" s="660"/>
      <c r="CN891" s="660"/>
      <c r="CO891" s="660"/>
      <c r="CP891" s="660"/>
      <c r="CQ891" s="660"/>
      <c r="CR891" s="660"/>
      <c r="CS891" s="660"/>
      <c r="CT891" s="660"/>
      <c r="CU891" s="660"/>
      <c r="CV891" s="660"/>
      <c r="CW891" s="660"/>
      <c r="CX891" s="660"/>
      <c r="CY891" s="660"/>
      <c r="CZ891" s="660"/>
      <c r="DA891" s="214"/>
    </row>
    <row r="892" spans="1:111" s="16" customFormat="1" ht="18.75" hidden="1" customHeight="1" x14ac:dyDescent="0.3">
      <c r="A892" s="553" t="s">
        <v>292</v>
      </c>
      <c r="B892" s="554"/>
      <c r="C892" s="554"/>
      <c r="D892" s="554"/>
      <c r="E892" s="554"/>
      <c r="F892" s="554"/>
      <c r="G892" s="554"/>
      <c r="H892" s="554"/>
      <c r="I892" s="554"/>
      <c r="J892" s="554"/>
      <c r="K892" s="554"/>
      <c r="L892" s="554"/>
      <c r="M892" s="554"/>
      <c r="N892" s="554"/>
      <c r="O892" s="554"/>
      <c r="P892" s="554"/>
      <c r="Q892" s="554"/>
      <c r="R892" s="554"/>
      <c r="S892" s="554"/>
      <c r="T892" s="554"/>
      <c r="U892" s="554"/>
      <c r="V892" s="554"/>
      <c r="W892" s="554"/>
      <c r="X892" s="554"/>
      <c r="Y892" s="554"/>
      <c r="Z892" s="554"/>
      <c r="AA892" s="554"/>
      <c r="AB892" s="554"/>
      <c r="AC892" s="554"/>
      <c r="AD892" s="554"/>
      <c r="AE892" s="554"/>
      <c r="AF892" s="554"/>
      <c r="AG892" s="554"/>
      <c r="AH892" s="554"/>
      <c r="AI892" s="554"/>
      <c r="AJ892" s="554"/>
      <c r="AK892" s="554"/>
      <c r="AL892" s="554"/>
      <c r="AM892" s="554"/>
      <c r="AN892" s="554"/>
      <c r="AO892" s="554"/>
      <c r="AP892" s="554"/>
      <c r="AQ892" s="554"/>
      <c r="AR892" s="554"/>
      <c r="AS892" s="554"/>
      <c r="AT892" s="554"/>
      <c r="AU892" s="554"/>
      <c r="AV892" s="554"/>
      <c r="AW892" s="554"/>
      <c r="AX892" s="554"/>
      <c r="AY892" s="554"/>
      <c r="AZ892" s="554"/>
      <c r="BA892" s="554"/>
      <c r="BB892" s="554"/>
      <c r="BC892" s="554"/>
      <c r="BD892" s="554"/>
      <c r="BE892" s="554"/>
      <c r="BF892" s="554"/>
      <c r="BG892" s="554"/>
      <c r="BH892" s="554"/>
      <c r="BI892" s="554"/>
      <c r="BJ892" s="554"/>
      <c r="BK892" s="554"/>
      <c r="BL892" s="554"/>
      <c r="BM892" s="554"/>
      <c r="BN892" s="554"/>
      <c r="BO892" s="554"/>
      <c r="BP892" s="554"/>
      <c r="BQ892" s="554"/>
      <c r="BR892" s="555"/>
      <c r="BS892" s="582" t="s">
        <v>4</v>
      </c>
      <c r="BT892" s="582"/>
      <c r="BU892" s="582"/>
      <c r="BV892" s="582"/>
      <c r="BW892" s="582"/>
      <c r="BX892" s="582"/>
      <c r="BY892" s="582"/>
      <c r="BZ892" s="582"/>
      <c r="CA892" s="582"/>
      <c r="CB892" s="582"/>
      <c r="CC892" s="582"/>
      <c r="CD892" s="582"/>
      <c r="CE892" s="582"/>
      <c r="CF892" s="582"/>
      <c r="CG892" s="582"/>
      <c r="CH892" s="582"/>
      <c r="CI892" s="611">
        <f>CI891</f>
        <v>0</v>
      </c>
      <c r="CJ892" s="611"/>
      <c r="CK892" s="611"/>
      <c r="CL892" s="611"/>
      <c r="CM892" s="611"/>
      <c r="CN892" s="611"/>
      <c r="CO892" s="611"/>
      <c r="CP892" s="611"/>
      <c r="CQ892" s="611"/>
      <c r="CR892" s="611"/>
      <c r="CS892" s="611"/>
      <c r="CT892" s="611"/>
      <c r="CU892" s="611"/>
      <c r="CV892" s="611"/>
      <c r="CW892" s="611"/>
      <c r="CX892" s="611"/>
      <c r="CY892" s="611"/>
      <c r="CZ892" s="611"/>
      <c r="DA892" s="214"/>
    </row>
    <row r="893" spans="1:111" s="16" customFormat="1" ht="15" customHeight="1" x14ac:dyDescent="0.3">
      <c r="A893" s="553" t="s">
        <v>56</v>
      </c>
      <c r="B893" s="554"/>
      <c r="C893" s="554"/>
      <c r="D893" s="554"/>
      <c r="E893" s="554"/>
      <c r="F893" s="554"/>
      <c r="G893" s="554"/>
      <c r="H893" s="554"/>
      <c r="I893" s="554"/>
      <c r="J893" s="554"/>
      <c r="K893" s="554"/>
      <c r="L893" s="554"/>
      <c r="M893" s="554"/>
      <c r="N893" s="554"/>
      <c r="O893" s="554"/>
      <c r="P893" s="554"/>
      <c r="Q893" s="554"/>
      <c r="R893" s="554"/>
      <c r="S893" s="554"/>
      <c r="T893" s="554"/>
      <c r="U893" s="554"/>
      <c r="V893" s="554"/>
      <c r="W893" s="554"/>
      <c r="X893" s="554"/>
      <c r="Y893" s="554"/>
      <c r="Z893" s="554"/>
      <c r="AA893" s="554"/>
      <c r="AB893" s="554"/>
      <c r="AC893" s="554"/>
      <c r="AD893" s="554"/>
      <c r="AE893" s="554"/>
      <c r="AF893" s="554"/>
      <c r="AG893" s="554"/>
      <c r="AH893" s="554"/>
      <c r="AI893" s="554"/>
      <c r="AJ893" s="554"/>
      <c r="AK893" s="554"/>
      <c r="AL893" s="554"/>
      <c r="AM893" s="554"/>
      <c r="AN893" s="554"/>
      <c r="AO893" s="554"/>
      <c r="AP893" s="554"/>
      <c r="AQ893" s="554"/>
      <c r="AR893" s="554"/>
      <c r="AS893" s="554"/>
      <c r="AT893" s="554"/>
      <c r="AU893" s="554"/>
      <c r="AV893" s="554"/>
      <c r="AW893" s="554"/>
      <c r="AX893" s="554"/>
      <c r="AY893" s="554"/>
      <c r="AZ893" s="554"/>
      <c r="BA893" s="554"/>
      <c r="BB893" s="555"/>
      <c r="BC893" s="582" t="s">
        <v>4</v>
      </c>
      <c r="BD893" s="582"/>
      <c r="BE893" s="582"/>
      <c r="BF893" s="582"/>
      <c r="BG893" s="582"/>
      <c r="BH893" s="582"/>
      <c r="BI893" s="582"/>
      <c r="BJ893" s="582"/>
      <c r="BK893" s="582"/>
      <c r="BL893" s="582"/>
      <c r="BM893" s="582"/>
      <c r="BN893" s="582"/>
      <c r="BO893" s="582"/>
      <c r="BP893" s="582"/>
      <c r="BQ893" s="582"/>
      <c r="BR893" s="582"/>
      <c r="BS893" s="582" t="s">
        <v>4</v>
      </c>
      <c r="BT893" s="582"/>
      <c r="BU893" s="582"/>
      <c r="BV893" s="582"/>
      <c r="BW893" s="582"/>
      <c r="BX893" s="582"/>
      <c r="BY893" s="582"/>
      <c r="BZ893" s="582"/>
      <c r="CA893" s="582"/>
      <c r="CB893" s="582"/>
      <c r="CC893" s="582"/>
      <c r="CD893" s="582"/>
      <c r="CE893" s="582"/>
      <c r="CF893" s="582"/>
      <c r="CG893" s="582"/>
      <c r="CH893" s="582"/>
      <c r="CI893" s="611">
        <f>CI768+CI874+CI889</f>
        <v>3155041.59</v>
      </c>
      <c r="CJ893" s="560"/>
      <c r="CK893" s="560"/>
      <c r="CL893" s="560"/>
      <c r="CM893" s="560"/>
      <c r="CN893" s="560"/>
      <c r="CO893" s="560"/>
      <c r="CP893" s="560"/>
      <c r="CQ893" s="560"/>
      <c r="CR893" s="560"/>
      <c r="CS893" s="560"/>
      <c r="CT893" s="560"/>
      <c r="CU893" s="560"/>
      <c r="CV893" s="560"/>
      <c r="CW893" s="560"/>
      <c r="CX893" s="560"/>
      <c r="CY893" s="560"/>
      <c r="CZ893" s="560"/>
      <c r="DA893" s="220"/>
    </row>
    <row r="894" spans="1:111" s="16" customFormat="1" ht="15" customHeight="1" x14ac:dyDescent="0.3">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222"/>
      <c r="AL894" s="222"/>
      <c r="AM894" s="222"/>
      <c r="AN894" s="222"/>
      <c r="AO894" s="222"/>
      <c r="AP894" s="222"/>
      <c r="AQ894" s="222"/>
      <c r="AR894" s="222"/>
      <c r="AS894" s="222"/>
      <c r="AT894" s="222"/>
      <c r="AU894" s="222"/>
      <c r="AV894" s="222"/>
      <c r="AW894" s="222"/>
      <c r="AX894" s="222"/>
      <c r="AY894" s="222"/>
      <c r="AZ894" s="222"/>
      <c r="BA894" s="222"/>
      <c r="BB894" s="222"/>
      <c r="BC894" s="223"/>
      <c r="BD894" s="223"/>
      <c r="BE894" s="223"/>
      <c r="BF894" s="223"/>
      <c r="BG894" s="223"/>
      <c r="BH894" s="223"/>
      <c r="BI894" s="223"/>
      <c r="BJ894" s="223"/>
      <c r="BK894" s="223"/>
      <c r="BL894" s="223"/>
      <c r="BM894" s="223"/>
      <c r="BN894" s="223"/>
      <c r="BO894" s="223"/>
      <c r="BP894" s="223"/>
      <c r="BQ894" s="223"/>
      <c r="BR894" s="223"/>
      <c r="BS894" s="223"/>
      <c r="BT894" s="223"/>
      <c r="BU894" s="223"/>
      <c r="BV894" s="223"/>
      <c r="BW894" s="223"/>
      <c r="BX894" s="223"/>
      <c r="BY894" s="223"/>
      <c r="BZ894" s="223"/>
      <c r="CA894" s="223"/>
      <c r="CB894" s="223"/>
      <c r="CC894" s="223"/>
      <c r="CD894" s="223"/>
      <c r="CE894" s="223"/>
      <c r="CF894" s="223"/>
      <c r="CG894" s="223"/>
      <c r="CH894" s="223"/>
      <c r="CI894" s="223"/>
      <c r="CJ894" s="223"/>
      <c r="CK894" s="223"/>
      <c r="CL894" s="223"/>
      <c r="CM894" s="223"/>
      <c r="CN894" s="223"/>
      <c r="CO894" s="223"/>
      <c r="CP894" s="223"/>
      <c r="CQ894" s="223"/>
      <c r="CR894" s="223"/>
      <c r="CS894" s="223"/>
      <c r="CT894" s="223"/>
      <c r="CU894" s="223"/>
      <c r="CV894" s="223"/>
      <c r="CW894" s="223"/>
      <c r="CX894" s="223"/>
      <c r="CY894" s="223"/>
      <c r="CZ894" s="223"/>
      <c r="DA894" s="237"/>
    </row>
    <row r="895" spans="1:111" s="20" customFormat="1" x14ac:dyDescent="0.25">
      <c r="A895" s="594" t="s">
        <v>363</v>
      </c>
      <c r="B895" s="594"/>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4"/>
      <c r="AL895" s="594"/>
      <c r="AM895" s="594"/>
      <c r="AN895" s="594"/>
      <c r="AO895" s="594"/>
      <c r="AP895" s="594"/>
      <c r="AQ895" s="594"/>
      <c r="AR895" s="594"/>
      <c r="AS895" s="594"/>
      <c r="AT895" s="594"/>
      <c r="AU895" s="594"/>
      <c r="AV895" s="594"/>
      <c r="AW895" s="594"/>
      <c r="AX895" s="594"/>
      <c r="AY895" s="594"/>
      <c r="AZ895" s="594"/>
      <c r="BA895" s="594"/>
      <c r="BB895" s="594"/>
      <c r="BC895" s="594"/>
      <c r="BD895" s="594"/>
      <c r="BE895" s="594"/>
      <c r="BF895" s="594"/>
      <c r="BG895" s="594"/>
      <c r="BH895" s="594"/>
      <c r="BI895" s="594"/>
      <c r="BJ895" s="594"/>
      <c r="BK895" s="594"/>
      <c r="BL895" s="594"/>
      <c r="BM895" s="594"/>
      <c r="BN895" s="594"/>
      <c r="BO895" s="594"/>
      <c r="BP895" s="594"/>
      <c r="BQ895" s="594"/>
      <c r="BR895" s="594"/>
      <c r="BS895" s="594"/>
      <c r="BT895" s="594"/>
      <c r="BU895" s="594"/>
      <c r="BV895" s="594"/>
      <c r="BW895" s="594"/>
      <c r="BX895" s="594"/>
      <c r="BY895" s="594"/>
      <c r="BZ895" s="594"/>
      <c r="CA895" s="594"/>
      <c r="CB895" s="594"/>
      <c r="CC895" s="594"/>
      <c r="CD895" s="594"/>
      <c r="CE895" s="594"/>
      <c r="CF895" s="594"/>
      <c r="CG895" s="594"/>
      <c r="CH895" s="594"/>
      <c r="CI895" s="594"/>
      <c r="CJ895" s="594"/>
      <c r="CK895" s="594"/>
      <c r="CL895" s="594"/>
      <c r="CM895" s="594"/>
      <c r="CN895" s="594"/>
      <c r="CO895" s="594"/>
      <c r="CP895" s="594"/>
      <c r="CQ895" s="594"/>
      <c r="CR895" s="594"/>
      <c r="CS895" s="594"/>
      <c r="CT895" s="594"/>
      <c r="CU895" s="594"/>
      <c r="CV895" s="594"/>
      <c r="CW895" s="594"/>
      <c r="CX895" s="594"/>
      <c r="CY895" s="594"/>
      <c r="CZ895" s="594"/>
    </row>
    <row r="896" spans="1:111" s="20" customFormat="1" x14ac:dyDescent="0.25"/>
    <row r="897" spans="1:106" s="20" customFormat="1" x14ac:dyDescent="0.25">
      <c r="A897" s="20" t="s">
        <v>47</v>
      </c>
      <c r="W897" s="595" t="s">
        <v>587</v>
      </c>
      <c r="X897" s="595"/>
      <c r="Y897" s="595"/>
      <c r="Z897" s="595"/>
      <c r="AA897" s="595"/>
      <c r="AB897" s="595"/>
      <c r="AC897" s="595"/>
      <c r="AD897" s="595"/>
      <c r="AE897" s="595"/>
      <c r="AF897" s="595"/>
      <c r="AG897" s="595"/>
      <c r="AH897" s="595"/>
      <c r="AI897" s="595"/>
      <c r="AJ897" s="595"/>
      <c r="AK897" s="595"/>
      <c r="AL897" s="595"/>
      <c r="AM897" s="595"/>
      <c r="AN897" s="595"/>
      <c r="AO897" s="595"/>
      <c r="AP897" s="595"/>
      <c r="AQ897" s="595"/>
      <c r="AR897" s="595"/>
      <c r="AS897" s="595"/>
      <c r="AT897" s="595"/>
      <c r="AU897" s="595"/>
      <c r="AV897" s="595"/>
      <c r="AW897" s="595"/>
      <c r="AX897" s="595"/>
      <c r="AY897" s="595"/>
      <c r="AZ897" s="595"/>
      <c r="BA897" s="595"/>
      <c r="BB897" s="595"/>
      <c r="BC897" s="595"/>
      <c r="BD897" s="595"/>
      <c r="BE897" s="595"/>
      <c r="BF897" s="595"/>
      <c r="BG897" s="595"/>
      <c r="BH897" s="595"/>
      <c r="BI897" s="595"/>
      <c r="BJ897" s="595"/>
      <c r="BK897" s="595"/>
      <c r="BL897" s="595"/>
      <c r="BM897" s="595"/>
      <c r="BN897" s="595"/>
      <c r="BO897" s="595"/>
      <c r="BP897" s="595"/>
      <c r="BQ897" s="595"/>
      <c r="BR897" s="595"/>
      <c r="BS897" s="595"/>
      <c r="BT897" s="595"/>
      <c r="BU897" s="595"/>
      <c r="BV897" s="595"/>
      <c r="BW897" s="595"/>
      <c r="BX897" s="595"/>
      <c r="BY897" s="595"/>
      <c r="BZ897" s="595"/>
      <c r="CA897" s="595"/>
      <c r="CB897" s="595"/>
      <c r="CC897" s="595"/>
      <c r="CD897" s="595"/>
      <c r="CE897" s="595"/>
      <c r="CF897" s="595"/>
      <c r="CG897" s="595"/>
      <c r="CH897" s="595"/>
      <c r="CI897" s="595"/>
      <c r="CJ897" s="595"/>
      <c r="CK897" s="595"/>
      <c r="CL897" s="595"/>
      <c r="CM897" s="595"/>
      <c r="CN897" s="595"/>
      <c r="CO897" s="595"/>
      <c r="CP897" s="595"/>
      <c r="CQ897" s="595"/>
      <c r="CR897" s="595"/>
      <c r="CS897" s="595"/>
      <c r="CT897" s="595"/>
      <c r="CU897" s="595"/>
      <c r="CV897" s="595"/>
      <c r="CW897" s="595"/>
      <c r="CX897" s="595"/>
      <c r="CY897" s="595"/>
      <c r="CZ897" s="595"/>
      <c r="DA897" s="230">
        <v>227</v>
      </c>
    </row>
    <row r="898" spans="1:106" s="20" customFormat="1" x14ac:dyDescent="0.25"/>
    <row r="899" spans="1:106" ht="30" customHeight="1" x14ac:dyDescent="0.25">
      <c r="A899" s="475" t="s">
        <v>49</v>
      </c>
      <c r="B899" s="476"/>
      <c r="C899" s="476"/>
      <c r="D899" s="476"/>
      <c r="E899" s="476"/>
      <c r="F899" s="476"/>
      <c r="G899" s="477"/>
      <c r="H899" s="475" t="s">
        <v>78</v>
      </c>
      <c r="I899" s="476"/>
      <c r="J899" s="476"/>
      <c r="K899" s="476"/>
      <c r="L899" s="476"/>
      <c r="M899" s="476"/>
      <c r="N899" s="476"/>
      <c r="O899" s="476"/>
      <c r="P899" s="476"/>
      <c r="Q899" s="476"/>
      <c r="R899" s="476"/>
      <c r="S899" s="476"/>
      <c r="T899" s="476"/>
      <c r="U899" s="476"/>
      <c r="V899" s="476"/>
      <c r="W899" s="476"/>
      <c r="X899" s="476"/>
      <c r="Y899" s="476"/>
      <c r="Z899" s="476"/>
      <c r="AA899" s="476"/>
      <c r="AB899" s="476"/>
      <c r="AC899" s="476"/>
      <c r="AD899" s="476"/>
      <c r="AE899" s="476"/>
      <c r="AF899" s="476"/>
      <c r="AG899" s="476"/>
      <c r="AH899" s="476"/>
      <c r="AI899" s="476"/>
      <c r="AJ899" s="476"/>
      <c r="AK899" s="476"/>
      <c r="AL899" s="476"/>
      <c r="AM899" s="476"/>
      <c r="AN899" s="476"/>
      <c r="AO899" s="476"/>
      <c r="AP899" s="476"/>
      <c r="AQ899" s="476"/>
      <c r="AR899" s="476"/>
      <c r="AS899" s="476"/>
      <c r="AT899" s="476"/>
      <c r="AU899" s="476"/>
      <c r="AV899" s="476"/>
      <c r="AW899" s="476"/>
      <c r="AX899" s="476"/>
      <c r="AY899" s="476"/>
      <c r="AZ899" s="476"/>
      <c r="BA899" s="476"/>
      <c r="BB899" s="476"/>
      <c r="BC899" s="476"/>
      <c r="BD899" s="476"/>
      <c r="BE899" s="476"/>
      <c r="BF899" s="476"/>
      <c r="BG899" s="476"/>
      <c r="BH899" s="476"/>
      <c r="BI899" s="476"/>
      <c r="BJ899" s="476"/>
      <c r="BK899" s="476"/>
      <c r="BL899" s="476"/>
      <c r="BM899" s="476"/>
      <c r="BN899" s="476"/>
      <c r="BO899" s="476"/>
      <c r="BP899" s="476"/>
      <c r="BQ899" s="476"/>
      <c r="BR899" s="477"/>
      <c r="BS899" s="606" t="s">
        <v>291</v>
      </c>
      <c r="BT899" s="606"/>
      <c r="BU899" s="606"/>
      <c r="BV899" s="606"/>
      <c r="BW899" s="606"/>
      <c r="BX899" s="606"/>
      <c r="BY899" s="606"/>
      <c r="BZ899" s="606"/>
      <c r="CA899" s="606"/>
      <c r="CB899" s="606"/>
      <c r="CC899" s="606"/>
      <c r="CD899" s="606"/>
      <c r="CE899" s="606"/>
      <c r="CF899" s="606"/>
      <c r="CG899" s="606"/>
      <c r="CH899" s="606"/>
      <c r="CI899" s="606" t="s">
        <v>99</v>
      </c>
      <c r="CJ899" s="606"/>
      <c r="CK899" s="606"/>
      <c r="CL899" s="606"/>
      <c r="CM899" s="606"/>
      <c r="CN899" s="606"/>
      <c r="CO899" s="606"/>
      <c r="CP899" s="606"/>
      <c r="CQ899" s="606"/>
      <c r="CR899" s="606"/>
      <c r="CS899" s="606"/>
      <c r="CT899" s="606"/>
      <c r="CU899" s="606"/>
      <c r="CV899" s="606"/>
      <c r="CW899" s="606"/>
      <c r="CX899" s="606"/>
      <c r="CY899" s="606"/>
      <c r="CZ899" s="606"/>
    </row>
    <row r="900" spans="1:106" s="17" customFormat="1" ht="13.2" x14ac:dyDescent="0.25">
      <c r="A900" s="591">
        <v>1</v>
      </c>
      <c r="B900" s="591"/>
      <c r="C900" s="591"/>
      <c r="D900" s="591"/>
      <c r="E900" s="591"/>
      <c r="F900" s="591"/>
      <c r="G900" s="591"/>
      <c r="H900" s="591">
        <v>2</v>
      </c>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1"/>
      <c r="AL900" s="591"/>
      <c r="AM900" s="591"/>
      <c r="AN900" s="591"/>
      <c r="AO900" s="591"/>
      <c r="AP900" s="591"/>
      <c r="AQ900" s="591"/>
      <c r="AR900" s="591"/>
      <c r="AS900" s="591"/>
      <c r="AT900" s="591"/>
      <c r="AU900" s="591"/>
      <c r="AV900" s="591"/>
      <c r="AW900" s="591"/>
      <c r="AX900" s="591"/>
      <c r="AY900" s="591"/>
      <c r="AZ900" s="591"/>
      <c r="BA900" s="591"/>
      <c r="BB900" s="591"/>
      <c r="BC900" s="591"/>
      <c r="BD900" s="591"/>
      <c r="BE900" s="591"/>
      <c r="BF900" s="591"/>
      <c r="BG900" s="591"/>
      <c r="BH900" s="591"/>
      <c r="BI900" s="591"/>
      <c r="BJ900" s="591"/>
      <c r="BK900" s="591"/>
      <c r="BL900" s="591"/>
      <c r="BM900" s="591"/>
      <c r="BN900" s="591"/>
      <c r="BO900" s="591"/>
      <c r="BP900" s="591"/>
      <c r="BQ900" s="591"/>
      <c r="BR900" s="591"/>
      <c r="BS900" s="591">
        <v>3</v>
      </c>
      <c r="BT900" s="591"/>
      <c r="BU900" s="591"/>
      <c r="BV900" s="591"/>
      <c r="BW900" s="591"/>
      <c r="BX900" s="591"/>
      <c r="BY900" s="591"/>
      <c r="BZ900" s="591"/>
      <c r="CA900" s="591"/>
      <c r="CB900" s="591"/>
      <c r="CC900" s="591"/>
      <c r="CD900" s="591"/>
      <c r="CE900" s="591"/>
      <c r="CF900" s="591"/>
      <c r="CG900" s="591"/>
      <c r="CH900" s="591"/>
      <c r="CI900" s="591">
        <v>4</v>
      </c>
      <c r="CJ900" s="591"/>
      <c r="CK900" s="591"/>
      <c r="CL900" s="591"/>
      <c r="CM900" s="591"/>
      <c r="CN900" s="591"/>
      <c r="CO900" s="591"/>
      <c r="CP900" s="591"/>
      <c r="CQ900" s="591"/>
      <c r="CR900" s="591"/>
      <c r="CS900" s="591"/>
      <c r="CT900" s="591"/>
      <c r="CU900" s="591"/>
      <c r="CV900" s="591"/>
      <c r="CW900" s="591"/>
      <c r="CX900" s="591"/>
      <c r="CY900" s="591"/>
      <c r="CZ900" s="591"/>
      <c r="DA900" s="232"/>
    </row>
    <row r="901" spans="1:106" ht="15" customHeight="1" x14ac:dyDescent="0.25">
      <c r="A901" s="656" t="s">
        <v>537</v>
      </c>
      <c r="B901" s="657"/>
      <c r="C901" s="657"/>
      <c r="D901" s="657"/>
      <c r="E901" s="657"/>
      <c r="F901" s="657"/>
      <c r="G901" s="657"/>
      <c r="H901" s="657"/>
      <c r="I901" s="657"/>
      <c r="J901" s="657"/>
      <c r="K901" s="657"/>
      <c r="L901" s="657"/>
      <c r="M901" s="657"/>
      <c r="N901" s="657"/>
      <c r="O901" s="657"/>
      <c r="P901" s="657"/>
      <c r="Q901" s="657"/>
      <c r="R901" s="657"/>
      <c r="S901" s="657"/>
      <c r="T901" s="657"/>
      <c r="U901" s="657"/>
      <c r="V901" s="657"/>
      <c r="W901" s="657"/>
      <c r="X901" s="657"/>
      <c r="Y901" s="657"/>
      <c r="Z901" s="657"/>
      <c r="AA901" s="657"/>
      <c r="AB901" s="657"/>
      <c r="AC901" s="657"/>
      <c r="AD901" s="657"/>
      <c r="AE901" s="657"/>
      <c r="AF901" s="657"/>
      <c r="AG901" s="657"/>
      <c r="AH901" s="657"/>
      <c r="AI901" s="657"/>
      <c r="AJ901" s="657"/>
      <c r="AK901" s="657"/>
      <c r="AL901" s="657"/>
      <c r="AM901" s="657"/>
      <c r="AN901" s="657"/>
      <c r="AO901" s="657"/>
      <c r="AP901" s="657"/>
      <c r="AQ901" s="657"/>
      <c r="AR901" s="657"/>
      <c r="AS901" s="657"/>
      <c r="AT901" s="657"/>
      <c r="AU901" s="657"/>
      <c r="AV901" s="657"/>
      <c r="AW901" s="657"/>
      <c r="AX901" s="657"/>
      <c r="AY901" s="657"/>
      <c r="AZ901" s="657"/>
      <c r="BA901" s="657"/>
      <c r="BB901" s="657"/>
      <c r="BC901" s="657"/>
      <c r="BD901" s="657"/>
      <c r="BE901" s="657"/>
      <c r="BF901" s="657"/>
      <c r="BG901" s="657"/>
      <c r="BH901" s="657"/>
      <c r="BI901" s="657"/>
      <c r="BJ901" s="657"/>
      <c r="BK901" s="657"/>
      <c r="BL901" s="657"/>
      <c r="BM901" s="657"/>
      <c r="BN901" s="657"/>
      <c r="BO901" s="657"/>
      <c r="BP901" s="657"/>
      <c r="BQ901" s="657"/>
      <c r="BR901" s="657"/>
      <c r="BS901" s="657"/>
      <c r="BT901" s="657"/>
      <c r="BU901" s="657"/>
      <c r="BV901" s="657"/>
      <c r="BW901" s="657"/>
      <c r="BX901" s="657"/>
      <c r="BY901" s="657"/>
      <c r="BZ901" s="657"/>
      <c r="CA901" s="657"/>
      <c r="CB901" s="657"/>
      <c r="CC901" s="657"/>
      <c r="CD901" s="657"/>
      <c r="CE901" s="657"/>
      <c r="CF901" s="657"/>
      <c r="CG901" s="657"/>
      <c r="CH901" s="657"/>
      <c r="CI901" s="657"/>
      <c r="CJ901" s="657"/>
      <c r="CK901" s="657"/>
      <c r="CL901" s="657"/>
      <c r="CM901" s="657"/>
      <c r="CN901" s="657"/>
      <c r="CO901" s="657"/>
      <c r="CP901" s="657"/>
      <c r="CQ901" s="657"/>
      <c r="CR901" s="657"/>
      <c r="CS901" s="657"/>
      <c r="CT901" s="657"/>
      <c r="CU901" s="657"/>
      <c r="CV901" s="657"/>
      <c r="CW901" s="657"/>
      <c r="CX901" s="657"/>
      <c r="CY901" s="657"/>
      <c r="CZ901" s="658"/>
    </row>
    <row r="902" spans="1:106" ht="15" customHeight="1" x14ac:dyDescent="0.25">
      <c r="A902" s="659" t="s">
        <v>441</v>
      </c>
      <c r="B902" s="659"/>
      <c r="C902" s="659"/>
      <c r="D902" s="659"/>
      <c r="E902" s="659"/>
      <c r="F902" s="659"/>
      <c r="G902" s="659"/>
      <c r="H902" s="584" t="s">
        <v>803</v>
      </c>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5"/>
      <c r="AL902" s="585"/>
      <c r="AM902" s="585"/>
      <c r="AN902" s="585"/>
      <c r="AO902" s="585"/>
      <c r="AP902" s="585"/>
      <c r="AQ902" s="585"/>
      <c r="AR902" s="585"/>
      <c r="AS902" s="585"/>
      <c r="AT902" s="585"/>
      <c r="AU902" s="585"/>
      <c r="AV902" s="585"/>
      <c r="AW902" s="585"/>
      <c r="AX902" s="585"/>
      <c r="AY902" s="585"/>
      <c r="AZ902" s="585"/>
      <c r="BA902" s="585"/>
      <c r="BB902" s="585"/>
      <c r="BC902" s="585"/>
      <c r="BD902" s="585"/>
      <c r="BE902" s="585"/>
      <c r="BF902" s="585"/>
      <c r="BG902" s="585"/>
      <c r="BH902" s="585"/>
      <c r="BI902" s="585"/>
      <c r="BJ902" s="585"/>
      <c r="BK902" s="585"/>
      <c r="BL902" s="585"/>
      <c r="BM902" s="585"/>
      <c r="BN902" s="585"/>
      <c r="BO902" s="585"/>
      <c r="BP902" s="585"/>
      <c r="BQ902" s="585"/>
      <c r="BR902" s="586"/>
      <c r="BS902" s="582">
        <v>3</v>
      </c>
      <c r="BT902" s="582"/>
      <c r="BU902" s="582"/>
      <c r="BV902" s="582"/>
      <c r="BW902" s="582"/>
      <c r="BX902" s="582"/>
      <c r="BY902" s="582"/>
      <c r="BZ902" s="582"/>
      <c r="CA902" s="582"/>
      <c r="CB902" s="582"/>
      <c r="CC902" s="582"/>
      <c r="CD902" s="582"/>
      <c r="CE902" s="582"/>
      <c r="CF902" s="582"/>
      <c r="CG902" s="582"/>
      <c r="CH902" s="582"/>
      <c r="CI902" s="664">
        <f>25000</f>
        <v>25000</v>
      </c>
      <c r="CJ902" s="664"/>
      <c r="CK902" s="664"/>
      <c r="CL902" s="664"/>
      <c r="CM902" s="664"/>
      <c r="CN902" s="664"/>
      <c r="CO902" s="664"/>
      <c r="CP902" s="664"/>
      <c r="CQ902" s="664"/>
      <c r="CR902" s="664"/>
      <c r="CS902" s="664"/>
      <c r="CT902" s="664"/>
      <c r="CU902" s="664"/>
      <c r="CV902" s="664"/>
      <c r="CW902" s="664"/>
      <c r="CX902" s="664"/>
      <c r="CY902" s="664"/>
      <c r="CZ902" s="664"/>
    </row>
    <row r="903" spans="1:106" ht="15" customHeight="1" x14ac:dyDescent="0.25">
      <c r="A903" s="553" t="s">
        <v>292</v>
      </c>
      <c r="B903" s="554"/>
      <c r="C903" s="554"/>
      <c r="D903" s="554"/>
      <c r="E903" s="554"/>
      <c r="F903" s="554"/>
      <c r="G903" s="554"/>
      <c r="H903" s="554"/>
      <c r="I903" s="554"/>
      <c r="J903" s="554"/>
      <c r="K903" s="554"/>
      <c r="L903" s="554"/>
      <c r="M903" s="554"/>
      <c r="N903" s="554"/>
      <c r="O903" s="554"/>
      <c r="P903" s="554"/>
      <c r="Q903" s="554"/>
      <c r="R903" s="554"/>
      <c r="S903" s="554"/>
      <c r="T903" s="554"/>
      <c r="U903" s="554"/>
      <c r="V903" s="554"/>
      <c r="W903" s="554"/>
      <c r="X903" s="554"/>
      <c r="Y903" s="554"/>
      <c r="Z903" s="554"/>
      <c r="AA903" s="554"/>
      <c r="AB903" s="554"/>
      <c r="AC903" s="554"/>
      <c r="AD903" s="554"/>
      <c r="AE903" s="554"/>
      <c r="AF903" s="554"/>
      <c r="AG903" s="554"/>
      <c r="AH903" s="554"/>
      <c r="AI903" s="554"/>
      <c r="AJ903" s="554"/>
      <c r="AK903" s="554"/>
      <c r="AL903" s="554"/>
      <c r="AM903" s="554"/>
      <c r="AN903" s="554"/>
      <c r="AO903" s="554"/>
      <c r="AP903" s="554"/>
      <c r="AQ903" s="554"/>
      <c r="AR903" s="554"/>
      <c r="AS903" s="554"/>
      <c r="AT903" s="554"/>
      <c r="AU903" s="554"/>
      <c r="AV903" s="554"/>
      <c r="AW903" s="554"/>
      <c r="AX903" s="554"/>
      <c r="AY903" s="554"/>
      <c r="AZ903" s="554"/>
      <c r="BA903" s="554"/>
      <c r="BB903" s="554"/>
      <c r="BC903" s="554"/>
      <c r="BD903" s="554"/>
      <c r="BE903" s="554"/>
      <c r="BF903" s="554"/>
      <c r="BG903" s="554"/>
      <c r="BH903" s="554"/>
      <c r="BI903" s="554"/>
      <c r="BJ903" s="554"/>
      <c r="BK903" s="554"/>
      <c r="BL903" s="554"/>
      <c r="BM903" s="554"/>
      <c r="BN903" s="554"/>
      <c r="BO903" s="554"/>
      <c r="BP903" s="554"/>
      <c r="BQ903" s="554"/>
      <c r="BR903" s="555"/>
      <c r="BS903" s="582" t="s">
        <v>4</v>
      </c>
      <c r="BT903" s="582"/>
      <c r="BU903" s="582"/>
      <c r="BV903" s="582"/>
      <c r="BW903" s="582"/>
      <c r="BX903" s="582"/>
      <c r="BY903" s="582"/>
      <c r="BZ903" s="582"/>
      <c r="CA903" s="582"/>
      <c r="CB903" s="582"/>
      <c r="CC903" s="582"/>
      <c r="CD903" s="582"/>
      <c r="CE903" s="582"/>
      <c r="CF903" s="582"/>
      <c r="CG903" s="582"/>
      <c r="CH903" s="582"/>
      <c r="CI903" s="611">
        <f>CI902</f>
        <v>25000</v>
      </c>
      <c r="CJ903" s="560"/>
      <c r="CK903" s="560"/>
      <c r="CL903" s="560"/>
      <c r="CM903" s="560"/>
      <c r="CN903" s="560"/>
      <c r="CO903" s="560"/>
      <c r="CP903" s="560"/>
      <c r="CQ903" s="560"/>
      <c r="CR903" s="560"/>
      <c r="CS903" s="560"/>
      <c r="CT903" s="560"/>
      <c r="CU903" s="560"/>
      <c r="CV903" s="560"/>
      <c r="CW903" s="560"/>
      <c r="CX903" s="560"/>
      <c r="CY903" s="560"/>
      <c r="CZ903" s="560"/>
    </row>
    <row r="904" spans="1:106" ht="15" hidden="1" customHeight="1" x14ac:dyDescent="0.25">
      <c r="A904" s="643" t="s">
        <v>634</v>
      </c>
      <c r="B904" s="643"/>
      <c r="C904" s="643"/>
      <c r="D904" s="643"/>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c r="AA904" s="643"/>
      <c r="AB904" s="643"/>
      <c r="AC904" s="643"/>
      <c r="AD904" s="643"/>
      <c r="AE904" s="643"/>
      <c r="AF904" s="643"/>
      <c r="AG904" s="643"/>
      <c r="AH904" s="643"/>
      <c r="AI904" s="643"/>
      <c r="AJ904" s="643"/>
      <c r="AK904" s="643"/>
      <c r="AL904" s="643"/>
      <c r="AM904" s="643"/>
      <c r="AN904" s="643"/>
      <c r="AO904" s="643"/>
      <c r="AP904" s="643"/>
      <c r="AQ904" s="643"/>
      <c r="AR904" s="643"/>
      <c r="AS904" s="643"/>
      <c r="AT904" s="643"/>
      <c r="AU904" s="643"/>
      <c r="AV904" s="643"/>
      <c r="AW904" s="643"/>
      <c r="AX904" s="643"/>
      <c r="AY904" s="643"/>
      <c r="AZ904" s="643"/>
      <c r="BA904" s="643"/>
      <c r="BB904" s="643"/>
      <c r="BC904" s="643"/>
      <c r="BD904" s="643"/>
      <c r="BE904" s="643"/>
      <c r="BF904" s="643"/>
      <c r="BG904" s="643"/>
      <c r="BH904" s="643"/>
      <c r="BI904" s="643"/>
      <c r="BJ904" s="643"/>
      <c r="BK904" s="643"/>
      <c r="BL904" s="643"/>
      <c r="BM904" s="643"/>
      <c r="BN904" s="643"/>
      <c r="BO904" s="643"/>
      <c r="BP904" s="643"/>
      <c r="BQ904" s="643"/>
      <c r="BR904" s="643"/>
      <c r="BS904" s="643"/>
      <c r="BT904" s="643"/>
      <c r="BU904" s="643"/>
      <c r="BV904" s="643"/>
      <c r="BW904" s="643"/>
      <c r="BX904" s="643"/>
      <c r="BY904" s="643"/>
      <c r="BZ904" s="643"/>
      <c r="CA904" s="643"/>
      <c r="CB904" s="643"/>
      <c r="CC904" s="643"/>
      <c r="CD904" s="643"/>
      <c r="CE904" s="643"/>
      <c r="CF904" s="643"/>
      <c r="CG904" s="643"/>
      <c r="CH904" s="643"/>
      <c r="CI904" s="643"/>
      <c r="CJ904" s="643"/>
      <c r="CK904" s="643"/>
      <c r="CL904" s="643"/>
      <c r="CM904" s="643"/>
      <c r="CN904" s="643"/>
      <c r="CO904" s="643"/>
      <c r="CP904" s="643"/>
      <c r="CQ904" s="643"/>
      <c r="CR904" s="643"/>
      <c r="CS904" s="643"/>
      <c r="CT904" s="643"/>
      <c r="CU904" s="643"/>
      <c r="CV904" s="643"/>
      <c r="CW904" s="643"/>
      <c r="CX904" s="643"/>
      <c r="CY904" s="643"/>
      <c r="CZ904" s="643"/>
    </row>
    <row r="905" spans="1:106" ht="15" hidden="1" customHeight="1" x14ac:dyDescent="0.25">
      <c r="A905" s="659" t="s">
        <v>441</v>
      </c>
      <c r="B905" s="659"/>
      <c r="C905" s="659"/>
      <c r="D905" s="659"/>
      <c r="E905" s="659"/>
      <c r="F905" s="659"/>
      <c r="G905" s="659"/>
      <c r="H905" s="584" t="s">
        <v>803</v>
      </c>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5"/>
      <c r="AL905" s="585"/>
      <c r="AM905" s="585"/>
      <c r="AN905" s="585"/>
      <c r="AO905" s="585"/>
      <c r="AP905" s="585"/>
      <c r="AQ905" s="585"/>
      <c r="AR905" s="585"/>
      <c r="AS905" s="585"/>
      <c r="AT905" s="585"/>
      <c r="AU905" s="585"/>
      <c r="AV905" s="585"/>
      <c r="AW905" s="585"/>
      <c r="AX905" s="585"/>
      <c r="AY905" s="585"/>
      <c r="AZ905" s="585"/>
      <c r="BA905" s="585"/>
      <c r="BB905" s="585"/>
      <c r="BC905" s="585"/>
      <c r="BD905" s="585"/>
      <c r="BE905" s="585"/>
      <c r="BF905" s="585"/>
      <c r="BG905" s="585"/>
      <c r="BH905" s="585"/>
      <c r="BI905" s="585"/>
      <c r="BJ905" s="585"/>
      <c r="BK905" s="585"/>
      <c r="BL905" s="585"/>
      <c r="BM905" s="585"/>
      <c r="BN905" s="585"/>
      <c r="BO905" s="585"/>
      <c r="BP905" s="585"/>
      <c r="BQ905" s="585"/>
      <c r="BR905" s="586"/>
      <c r="BS905" s="582"/>
      <c r="BT905" s="582"/>
      <c r="BU905" s="582"/>
      <c r="BV905" s="582"/>
      <c r="BW905" s="582"/>
      <c r="BX905" s="582"/>
      <c r="BY905" s="582"/>
      <c r="BZ905" s="582"/>
      <c r="CA905" s="582"/>
      <c r="CB905" s="582"/>
      <c r="CC905" s="582"/>
      <c r="CD905" s="582"/>
      <c r="CE905" s="582"/>
      <c r="CF905" s="582"/>
      <c r="CG905" s="582"/>
      <c r="CH905" s="582"/>
      <c r="CI905" s="664"/>
      <c r="CJ905" s="664"/>
      <c r="CK905" s="664"/>
      <c r="CL905" s="664"/>
      <c r="CM905" s="664"/>
      <c r="CN905" s="664"/>
      <c r="CO905" s="664"/>
      <c r="CP905" s="664"/>
      <c r="CQ905" s="664"/>
      <c r="CR905" s="664"/>
      <c r="CS905" s="664"/>
      <c r="CT905" s="664"/>
      <c r="CU905" s="664"/>
      <c r="CV905" s="664"/>
      <c r="CW905" s="664"/>
      <c r="CX905" s="664"/>
      <c r="CY905" s="664"/>
      <c r="CZ905" s="664"/>
    </row>
    <row r="906" spans="1:106" ht="15" hidden="1" customHeight="1" x14ac:dyDescent="0.25">
      <c r="A906" s="553" t="s">
        <v>292</v>
      </c>
      <c r="B906" s="554"/>
      <c r="C906" s="554"/>
      <c r="D906" s="554"/>
      <c r="E906" s="554"/>
      <c r="F906" s="554"/>
      <c r="G906" s="554"/>
      <c r="H906" s="554"/>
      <c r="I906" s="554"/>
      <c r="J906" s="554"/>
      <c r="K906" s="554"/>
      <c r="L906" s="554"/>
      <c r="M906" s="554"/>
      <c r="N906" s="554"/>
      <c r="O906" s="554"/>
      <c r="P906" s="554"/>
      <c r="Q906" s="554"/>
      <c r="R906" s="554"/>
      <c r="S906" s="554"/>
      <c r="T906" s="554"/>
      <c r="U906" s="554"/>
      <c r="V906" s="554"/>
      <c r="W906" s="554"/>
      <c r="X906" s="554"/>
      <c r="Y906" s="554"/>
      <c r="Z906" s="554"/>
      <c r="AA906" s="554"/>
      <c r="AB906" s="554"/>
      <c r="AC906" s="554"/>
      <c r="AD906" s="554"/>
      <c r="AE906" s="554"/>
      <c r="AF906" s="554"/>
      <c r="AG906" s="554"/>
      <c r="AH906" s="554"/>
      <c r="AI906" s="554"/>
      <c r="AJ906" s="554"/>
      <c r="AK906" s="554"/>
      <c r="AL906" s="554"/>
      <c r="AM906" s="554"/>
      <c r="AN906" s="554"/>
      <c r="AO906" s="554"/>
      <c r="AP906" s="554"/>
      <c r="AQ906" s="554"/>
      <c r="AR906" s="554"/>
      <c r="AS906" s="554"/>
      <c r="AT906" s="554"/>
      <c r="AU906" s="554"/>
      <c r="AV906" s="554"/>
      <c r="AW906" s="554"/>
      <c r="AX906" s="554"/>
      <c r="AY906" s="554"/>
      <c r="AZ906" s="554"/>
      <c r="BA906" s="554"/>
      <c r="BB906" s="554"/>
      <c r="BC906" s="554"/>
      <c r="BD906" s="554"/>
      <c r="BE906" s="554"/>
      <c r="BF906" s="554"/>
      <c r="BG906" s="554"/>
      <c r="BH906" s="554"/>
      <c r="BI906" s="554"/>
      <c r="BJ906" s="554"/>
      <c r="BK906" s="554"/>
      <c r="BL906" s="554"/>
      <c r="BM906" s="554"/>
      <c r="BN906" s="554"/>
      <c r="BO906" s="554"/>
      <c r="BP906" s="554"/>
      <c r="BQ906" s="554"/>
      <c r="BR906" s="555"/>
      <c r="BS906" s="582" t="s">
        <v>4</v>
      </c>
      <c r="BT906" s="582"/>
      <c r="BU906" s="582"/>
      <c r="BV906" s="582"/>
      <c r="BW906" s="582"/>
      <c r="BX906" s="582"/>
      <c r="BY906" s="582"/>
      <c r="BZ906" s="582"/>
      <c r="CA906" s="582"/>
      <c r="CB906" s="582"/>
      <c r="CC906" s="582"/>
      <c r="CD906" s="582"/>
      <c r="CE906" s="582"/>
      <c r="CF906" s="582"/>
      <c r="CG906" s="582"/>
      <c r="CH906" s="582"/>
      <c r="CI906" s="611">
        <f>CI905</f>
        <v>0</v>
      </c>
      <c r="CJ906" s="560"/>
      <c r="CK906" s="560"/>
      <c r="CL906" s="560"/>
      <c r="CM906" s="560"/>
      <c r="CN906" s="560"/>
      <c r="CO906" s="560"/>
      <c r="CP906" s="560"/>
      <c r="CQ906" s="560"/>
      <c r="CR906" s="560"/>
      <c r="CS906" s="560"/>
      <c r="CT906" s="560"/>
      <c r="CU906" s="560"/>
      <c r="CV906" s="560"/>
      <c r="CW906" s="560"/>
      <c r="CX906" s="560"/>
      <c r="CY906" s="560"/>
      <c r="CZ906" s="560"/>
    </row>
    <row r="907" spans="1:106" ht="15" hidden="1" customHeight="1" x14ac:dyDescent="0.25">
      <c r="A907" s="656" t="s">
        <v>804</v>
      </c>
      <c r="B907" s="657"/>
      <c r="C907" s="657"/>
      <c r="D907" s="657"/>
      <c r="E907" s="657"/>
      <c r="F907" s="657"/>
      <c r="G907" s="657"/>
      <c r="H907" s="657"/>
      <c r="I907" s="657"/>
      <c r="J907" s="657"/>
      <c r="K907" s="657"/>
      <c r="L907" s="657"/>
      <c r="M907" s="657"/>
      <c r="N907" s="657"/>
      <c r="O907" s="657"/>
      <c r="P907" s="657"/>
      <c r="Q907" s="657"/>
      <c r="R907" s="657"/>
      <c r="S907" s="657"/>
      <c r="T907" s="657"/>
      <c r="U907" s="657"/>
      <c r="V907" s="657"/>
      <c r="W907" s="657"/>
      <c r="X907" s="657"/>
      <c r="Y907" s="657"/>
      <c r="Z907" s="657"/>
      <c r="AA907" s="657"/>
      <c r="AB907" s="657"/>
      <c r="AC907" s="657"/>
      <c r="AD907" s="657"/>
      <c r="AE907" s="657"/>
      <c r="AF907" s="657"/>
      <c r="AG907" s="657"/>
      <c r="AH907" s="657"/>
      <c r="AI907" s="657"/>
      <c r="AJ907" s="657"/>
      <c r="AK907" s="657"/>
      <c r="AL907" s="657"/>
      <c r="AM907" s="657"/>
      <c r="AN907" s="657"/>
      <c r="AO907" s="657"/>
      <c r="AP907" s="657"/>
      <c r="AQ907" s="657"/>
      <c r="AR907" s="657"/>
      <c r="AS907" s="657"/>
      <c r="AT907" s="657"/>
      <c r="AU907" s="657"/>
      <c r="AV907" s="657"/>
      <c r="AW907" s="657"/>
      <c r="AX907" s="657"/>
      <c r="AY907" s="657"/>
      <c r="AZ907" s="657"/>
      <c r="BA907" s="657"/>
      <c r="BB907" s="657"/>
      <c r="BC907" s="657"/>
      <c r="BD907" s="657"/>
      <c r="BE907" s="657"/>
      <c r="BF907" s="657"/>
      <c r="BG907" s="657"/>
      <c r="BH907" s="657"/>
      <c r="BI907" s="657"/>
      <c r="BJ907" s="657"/>
      <c r="BK907" s="657"/>
      <c r="BL907" s="657"/>
      <c r="BM907" s="657"/>
      <c r="BN907" s="657"/>
      <c r="BO907" s="657"/>
      <c r="BP907" s="657"/>
      <c r="BQ907" s="657"/>
      <c r="BR907" s="657"/>
      <c r="BS907" s="657"/>
      <c r="BT907" s="657"/>
      <c r="BU907" s="657"/>
      <c r="BV907" s="657"/>
      <c r="BW907" s="657"/>
      <c r="BX907" s="657"/>
      <c r="BY907" s="657"/>
      <c r="BZ907" s="657"/>
      <c r="CA907" s="657"/>
      <c r="CB907" s="657"/>
      <c r="CC907" s="657"/>
      <c r="CD907" s="657"/>
      <c r="CE907" s="657"/>
      <c r="CF907" s="657"/>
      <c r="CG907" s="657"/>
      <c r="CH907" s="657"/>
      <c r="CI907" s="657"/>
      <c r="CJ907" s="657"/>
      <c r="CK907" s="657"/>
      <c r="CL907" s="657"/>
      <c r="CM907" s="657"/>
      <c r="CN907" s="657"/>
      <c r="CO907" s="657"/>
      <c r="CP907" s="657"/>
      <c r="CQ907" s="657"/>
      <c r="CR907" s="657"/>
      <c r="CS907" s="657"/>
      <c r="CT907" s="657"/>
      <c r="CU907" s="657"/>
      <c r="CV907" s="657"/>
      <c r="CW907" s="657"/>
      <c r="CX907" s="657"/>
      <c r="CY907" s="657"/>
      <c r="CZ907" s="658"/>
    </row>
    <row r="908" spans="1:106" ht="17.25" hidden="1" customHeight="1" x14ac:dyDescent="0.25">
      <c r="A908" s="659" t="s">
        <v>441</v>
      </c>
      <c r="B908" s="659"/>
      <c r="C908" s="659"/>
      <c r="D908" s="659"/>
      <c r="E908" s="659"/>
      <c r="F908" s="659"/>
      <c r="G908" s="659"/>
      <c r="H908" s="584" t="s">
        <v>805</v>
      </c>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5"/>
      <c r="AL908" s="585"/>
      <c r="AM908" s="585"/>
      <c r="AN908" s="585"/>
      <c r="AO908" s="585"/>
      <c r="AP908" s="585"/>
      <c r="AQ908" s="585"/>
      <c r="AR908" s="585"/>
      <c r="AS908" s="585"/>
      <c r="AT908" s="585"/>
      <c r="AU908" s="585"/>
      <c r="AV908" s="585"/>
      <c r="AW908" s="585"/>
      <c r="AX908" s="585"/>
      <c r="AY908" s="585"/>
      <c r="AZ908" s="585"/>
      <c r="BA908" s="585"/>
      <c r="BB908" s="585"/>
      <c r="BC908" s="585"/>
      <c r="BD908" s="585"/>
      <c r="BE908" s="585"/>
      <c r="BF908" s="585"/>
      <c r="BG908" s="585"/>
      <c r="BH908" s="585"/>
      <c r="BI908" s="585"/>
      <c r="BJ908" s="585"/>
      <c r="BK908" s="585"/>
      <c r="BL908" s="585"/>
      <c r="BM908" s="585"/>
      <c r="BN908" s="585"/>
      <c r="BO908" s="585"/>
      <c r="BP908" s="585"/>
      <c r="BQ908" s="585"/>
      <c r="BR908" s="586"/>
      <c r="BS908" s="582">
        <v>1</v>
      </c>
      <c r="BT908" s="582"/>
      <c r="BU908" s="582"/>
      <c r="BV908" s="582"/>
      <c r="BW908" s="582"/>
      <c r="BX908" s="582"/>
      <c r="BY908" s="582"/>
      <c r="BZ908" s="582"/>
      <c r="CA908" s="582"/>
      <c r="CB908" s="582"/>
      <c r="CC908" s="582"/>
      <c r="CD908" s="582"/>
      <c r="CE908" s="582"/>
      <c r="CF908" s="582"/>
      <c r="CG908" s="582"/>
      <c r="CH908" s="582"/>
      <c r="CI908" s="664"/>
      <c r="CJ908" s="664"/>
      <c r="CK908" s="664"/>
      <c r="CL908" s="664"/>
      <c r="CM908" s="664"/>
      <c r="CN908" s="664"/>
      <c r="CO908" s="664"/>
      <c r="CP908" s="664"/>
      <c r="CQ908" s="664"/>
      <c r="CR908" s="664"/>
      <c r="CS908" s="664"/>
      <c r="CT908" s="664"/>
      <c r="CU908" s="664"/>
      <c r="CV908" s="664"/>
      <c r="CW908" s="664"/>
      <c r="CX908" s="664"/>
      <c r="CY908" s="664"/>
      <c r="CZ908" s="664"/>
      <c r="DA908" s="231"/>
      <c r="DB908" s="246"/>
    </row>
    <row r="909" spans="1:106" ht="15" hidden="1" customHeight="1" x14ac:dyDescent="0.25">
      <c r="A909" s="553" t="s">
        <v>292</v>
      </c>
      <c r="B909" s="554"/>
      <c r="C909" s="554"/>
      <c r="D909" s="554"/>
      <c r="E909" s="554"/>
      <c r="F909" s="554"/>
      <c r="G909" s="554"/>
      <c r="H909" s="554"/>
      <c r="I909" s="554"/>
      <c r="J909" s="554"/>
      <c r="K909" s="554"/>
      <c r="L909" s="554"/>
      <c r="M909" s="554"/>
      <c r="N909" s="554"/>
      <c r="O909" s="554"/>
      <c r="P909" s="554"/>
      <c r="Q909" s="554"/>
      <c r="R909" s="554"/>
      <c r="S909" s="554"/>
      <c r="T909" s="554"/>
      <c r="U909" s="554"/>
      <c r="V909" s="554"/>
      <c r="W909" s="554"/>
      <c r="X909" s="554"/>
      <c r="Y909" s="554"/>
      <c r="Z909" s="554"/>
      <c r="AA909" s="554"/>
      <c r="AB909" s="554"/>
      <c r="AC909" s="554"/>
      <c r="AD909" s="554"/>
      <c r="AE909" s="554"/>
      <c r="AF909" s="554"/>
      <c r="AG909" s="554"/>
      <c r="AH909" s="554"/>
      <c r="AI909" s="554"/>
      <c r="AJ909" s="554"/>
      <c r="AK909" s="554"/>
      <c r="AL909" s="554"/>
      <c r="AM909" s="554"/>
      <c r="AN909" s="554"/>
      <c r="AO909" s="554"/>
      <c r="AP909" s="554"/>
      <c r="AQ909" s="554"/>
      <c r="AR909" s="554"/>
      <c r="AS909" s="554"/>
      <c r="AT909" s="554"/>
      <c r="AU909" s="554"/>
      <c r="AV909" s="554"/>
      <c r="AW909" s="554"/>
      <c r="AX909" s="554"/>
      <c r="AY909" s="554"/>
      <c r="AZ909" s="554"/>
      <c r="BA909" s="554"/>
      <c r="BB909" s="554"/>
      <c r="BC909" s="554"/>
      <c r="BD909" s="554"/>
      <c r="BE909" s="554"/>
      <c r="BF909" s="554"/>
      <c r="BG909" s="554"/>
      <c r="BH909" s="554"/>
      <c r="BI909" s="554"/>
      <c r="BJ909" s="554"/>
      <c r="BK909" s="554"/>
      <c r="BL909" s="554"/>
      <c r="BM909" s="554"/>
      <c r="BN909" s="554"/>
      <c r="BO909" s="554"/>
      <c r="BP909" s="554"/>
      <c r="BQ909" s="554"/>
      <c r="BR909" s="555"/>
      <c r="BS909" s="582" t="s">
        <v>4</v>
      </c>
      <c r="BT909" s="582"/>
      <c r="BU909" s="582"/>
      <c r="BV909" s="582"/>
      <c r="BW909" s="582"/>
      <c r="BX909" s="582"/>
      <c r="BY909" s="582"/>
      <c r="BZ909" s="582"/>
      <c r="CA909" s="582"/>
      <c r="CB909" s="582"/>
      <c r="CC909" s="582"/>
      <c r="CD909" s="582"/>
      <c r="CE909" s="582"/>
      <c r="CF909" s="582"/>
      <c r="CG909" s="582"/>
      <c r="CH909" s="582"/>
      <c r="CI909" s="611">
        <f>CI908</f>
        <v>0</v>
      </c>
      <c r="CJ909" s="611"/>
      <c r="CK909" s="611"/>
      <c r="CL909" s="611"/>
      <c r="CM909" s="611"/>
      <c r="CN909" s="611"/>
      <c r="CO909" s="611"/>
      <c r="CP909" s="611"/>
      <c r="CQ909" s="611"/>
      <c r="CR909" s="611"/>
      <c r="CS909" s="611"/>
      <c r="CT909" s="611"/>
      <c r="CU909" s="611"/>
      <c r="CV909" s="611"/>
      <c r="CW909" s="611"/>
      <c r="CX909" s="611"/>
      <c r="CY909" s="611"/>
      <c r="CZ909" s="611"/>
    </row>
    <row r="910" spans="1:106" ht="15" customHeight="1" x14ac:dyDescent="0.25">
      <c r="A910" s="656" t="s">
        <v>804</v>
      </c>
      <c r="B910" s="657"/>
      <c r="C910" s="657"/>
      <c r="D910" s="657"/>
      <c r="E910" s="657"/>
      <c r="F910" s="657"/>
      <c r="G910" s="657"/>
      <c r="H910" s="657"/>
      <c r="I910" s="657"/>
      <c r="J910" s="657"/>
      <c r="K910" s="657"/>
      <c r="L910" s="657"/>
      <c r="M910" s="657"/>
      <c r="N910" s="657"/>
      <c r="O910" s="657"/>
      <c r="P910" s="657"/>
      <c r="Q910" s="657"/>
      <c r="R910" s="657"/>
      <c r="S910" s="657"/>
      <c r="T910" s="657"/>
      <c r="U910" s="657"/>
      <c r="V910" s="657"/>
      <c r="W910" s="657"/>
      <c r="X910" s="657"/>
      <c r="Y910" s="657"/>
      <c r="Z910" s="657"/>
      <c r="AA910" s="657"/>
      <c r="AB910" s="657"/>
      <c r="AC910" s="657"/>
      <c r="AD910" s="657"/>
      <c r="AE910" s="657"/>
      <c r="AF910" s="657"/>
      <c r="AG910" s="657"/>
      <c r="AH910" s="657"/>
      <c r="AI910" s="657"/>
      <c r="AJ910" s="657"/>
      <c r="AK910" s="657"/>
      <c r="AL910" s="657"/>
      <c r="AM910" s="657"/>
      <c r="AN910" s="657"/>
      <c r="AO910" s="657"/>
      <c r="AP910" s="657"/>
      <c r="AQ910" s="657"/>
      <c r="AR910" s="657"/>
      <c r="AS910" s="657"/>
      <c r="AT910" s="657"/>
      <c r="AU910" s="657"/>
      <c r="AV910" s="657"/>
      <c r="AW910" s="657"/>
      <c r="AX910" s="657"/>
      <c r="AY910" s="657"/>
      <c r="AZ910" s="657"/>
      <c r="BA910" s="657"/>
      <c r="BB910" s="657"/>
      <c r="BC910" s="657"/>
      <c r="BD910" s="657"/>
      <c r="BE910" s="657"/>
      <c r="BF910" s="657"/>
      <c r="BG910" s="657"/>
      <c r="BH910" s="657"/>
      <c r="BI910" s="657"/>
      <c r="BJ910" s="657"/>
      <c r="BK910" s="657"/>
      <c r="BL910" s="657"/>
      <c r="BM910" s="657"/>
      <c r="BN910" s="657"/>
      <c r="BO910" s="657"/>
      <c r="BP910" s="657"/>
      <c r="BQ910" s="657"/>
      <c r="BR910" s="657"/>
      <c r="BS910" s="657"/>
      <c r="BT910" s="657"/>
      <c r="BU910" s="657"/>
      <c r="BV910" s="657"/>
      <c r="BW910" s="657"/>
      <c r="BX910" s="657"/>
      <c r="BY910" s="657"/>
      <c r="BZ910" s="657"/>
      <c r="CA910" s="657"/>
      <c r="CB910" s="657"/>
      <c r="CC910" s="657"/>
      <c r="CD910" s="657"/>
      <c r="CE910" s="657"/>
      <c r="CF910" s="657"/>
      <c r="CG910" s="657"/>
      <c r="CH910" s="657"/>
      <c r="CI910" s="657"/>
      <c r="CJ910" s="657"/>
      <c r="CK910" s="657"/>
      <c r="CL910" s="657"/>
      <c r="CM910" s="657"/>
      <c r="CN910" s="657"/>
      <c r="CO910" s="657"/>
      <c r="CP910" s="657"/>
      <c r="CQ910" s="657"/>
      <c r="CR910" s="657"/>
      <c r="CS910" s="657"/>
      <c r="CT910" s="657"/>
      <c r="CU910" s="657"/>
      <c r="CV910" s="657"/>
      <c r="CW910" s="657"/>
      <c r="CX910" s="657"/>
      <c r="CY910" s="657"/>
      <c r="CZ910" s="658"/>
    </row>
    <row r="911" spans="1:106" ht="19.5" customHeight="1" x14ac:dyDescent="0.25">
      <c r="A911" s="659" t="s">
        <v>441</v>
      </c>
      <c r="B911" s="659"/>
      <c r="C911" s="659"/>
      <c r="D911" s="659"/>
      <c r="E911" s="659"/>
      <c r="F911" s="659"/>
      <c r="G911" s="659"/>
      <c r="H911" s="584" t="s">
        <v>805</v>
      </c>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5"/>
      <c r="AL911" s="585"/>
      <c r="AM911" s="585"/>
      <c r="AN911" s="585"/>
      <c r="AO911" s="585"/>
      <c r="AP911" s="585"/>
      <c r="AQ911" s="585"/>
      <c r="AR911" s="585"/>
      <c r="AS911" s="585"/>
      <c r="AT911" s="585"/>
      <c r="AU911" s="585"/>
      <c r="AV911" s="585"/>
      <c r="AW911" s="585"/>
      <c r="AX911" s="585"/>
      <c r="AY911" s="585"/>
      <c r="AZ911" s="585"/>
      <c r="BA911" s="585"/>
      <c r="BB911" s="585"/>
      <c r="BC911" s="585"/>
      <c r="BD911" s="585"/>
      <c r="BE911" s="585"/>
      <c r="BF911" s="585"/>
      <c r="BG911" s="585"/>
      <c r="BH911" s="585"/>
      <c r="BI911" s="585"/>
      <c r="BJ911" s="585"/>
      <c r="BK911" s="585"/>
      <c r="BL911" s="585"/>
      <c r="BM911" s="585"/>
      <c r="BN911" s="585"/>
      <c r="BO911" s="585"/>
      <c r="BP911" s="585"/>
      <c r="BQ911" s="585"/>
      <c r="BR911" s="586"/>
      <c r="BS911" s="475">
        <v>1</v>
      </c>
      <c r="BT911" s="476"/>
      <c r="BU911" s="476"/>
      <c r="BV911" s="476"/>
      <c r="BW911" s="476"/>
      <c r="BX911" s="476"/>
      <c r="BY911" s="476"/>
      <c r="BZ911" s="476"/>
      <c r="CA911" s="476"/>
      <c r="CB911" s="476"/>
      <c r="CC911" s="476"/>
      <c r="CD911" s="476"/>
      <c r="CE911" s="476"/>
      <c r="CF911" s="476"/>
      <c r="CG911" s="476"/>
      <c r="CH911" s="476"/>
      <c r="CI911" s="660">
        <v>6000</v>
      </c>
      <c r="CJ911" s="660"/>
      <c r="CK911" s="660"/>
      <c r="CL911" s="660"/>
      <c r="CM911" s="660"/>
      <c r="CN911" s="660"/>
      <c r="CO911" s="660"/>
      <c r="CP911" s="660"/>
      <c r="CQ911" s="660"/>
      <c r="CR911" s="660"/>
      <c r="CS911" s="660"/>
      <c r="CT911" s="660"/>
      <c r="CU911" s="660"/>
      <c r="CV911" s="660"/>
      <c r="CW911" s="660"/>
      <c r="CX911" s="660"/>
      <c r="CY911" s="660"/>
      <c r="CZ911" s="660"/>
    </row>
    <row r="912" spans="1:106" ht="15" customHeight="1" x14ac:dyDescent="0.25">
      <c r="A912" s="553" t="s">
        <v>292</v>
      </c>
      <c r="B912" s="554"/>
      <c r="C912" s="554"/>
      <c r="D912" s="554"/>
      <c r="E912" s="554"/>
      <c r="F912" s="554"/>
      <c r="G912" s="554"/>
      <c r="H912" s="554"/>
      <c r="I912" s="554"/>
      <c r="J912" s="554"/>
      <c r="K912" s="554"/>
      <c r="L912" s="554"/>
      <c r="M912" s="554"/>
      <c r="N912" s="554"/>
      <c r="O912" s="554"/>
      <c r="P912" s="554"/>
      <c r="Q912" s="554"/>
      <c r="R912" s="554"/>
      <c r="S912" s="554"/>
      <c r="T912" s="554"/>
      <c r="U912" s="554"/>
      <c r="V912" s="554"/>
      <c r="W912" s="554"/>
      <c r="X912" s="554"/>
      <c r="Y912" s="554"/>
      <c r="Z912" s="554"/>
      <c r="AA912" s="554"/>
      <c r="AB912" s="554"/>
      <c r="AC912" s="554"/>
      <c r="AD912" s="554"/>
      <c r="AE912" s="554"/>
      <c r="AF912" s="554"/>
      <c r="AG912" s="554"/>
      <c r="AH912" s="554"/>
      <c r="AI912" s="554"/>
      <c r="AJ912" s="554"/>
      <c r="AK912" s="554"/>
      <c r="AL912" s="554"/>
      <c r="AM912" s="554"/>
      <c r="AN912" s="554"/>
      <c r="AO912" s="554"/>
      <c r="AP912" s="554"/>
      <c r="AQ912" s="554"/>
      <c r="AR912" s="554"/>
      <c r="AS912" s="554"/>
      <c r="AT912" s="554"/>
      <c r="AU912" s="554"/>
      <c r="AV912" s="554"/>
      <c r="AW912" s="554"/>
      <c r="AX912" s="554"/>
      <c r="AY912" s="554"/>
      <c r="AZ912" s="554"/>
      <c r="BA912" s="554"/>
      <c r="BB912" s="554"/>
      <c r="BC912" s="554"/>
      <c r="BD912" s="554"/>
      <c r="BE912" s="554"/>
      <c r="BF912" s="554"/>
      <c r="BG912" s="554"/>
      <c r="BH912" s="554"/>
      <c r="BI912" s="554"/>
      <c r="BJ912" s="554"/>
      <c r="BK912" s="554"/>
      <c r="BL912" s="554"/>
      <c r="BM912" s="554"/>
      <c r="BN912" s="554"/>
      <c r="BO912" s="554"/>
      <c r="BP912" s="554"/>
      <c r="BQ912" s="554"/>
      <c r="BR912" s="555"/>
      <c r="BS912" s="582" t="s">
        <v>4</v>
      </c>
      <c r="BT912" s="582"/>
      <c r="BU912" s="582"/>
      <c r="BV912" s="582"/>
      <c r="BW912" s="582"/>
      <c r="BX912" s="582"/>
      <c r="BY912" s="582"/>
      <c r="BZ912" s="582"/>
      <c r="CA912" s="582"/>
      <c r="CB912" s="582"/>
      <c r="CC912" s="582"/>
      <c r="CD912" s="582"/>
      <c r="CE912" s="582"/>
      <c r="CF912" s="582"/>
      <c r="CG912" s="582"/>
      <c r="CH912" s="582"/>
      <c r="CI912" s="611">
        <f>CI911</f>
        <v>6000</v>
      </c>
      <c r="CJ912" s="611"/>
      <c r="CK912" s="611"/>
      <c r="CL912" s="611"/>
      <c r="CM912" s="611"/>
      <c r="CN912" s="611"/>
      <c r="CO912" s="611"/>
      <c r="CP912" s="611"/>
      <c r="CQ912" s="611"/>
      <c r="CR912" s="611"/>
      <c r="CS912" s="611"/>
      <c r="CT912" s="611"/>
      <c r="CU912" s="611"/>
      <c r="CV912" s="611"/>
      <c r="CW912" s="611"/>
      <c r="CX912" s="611"/>
      <c r="CY912" s="611"/>
      <c r="CZ912" s="611"/>
    </row>
    <row r="913" spans="1:105" ht="15" customHeight="1" x14ac:dyDescent="0.25">
      <c r="A913" s="553" t="s">
        <v>37</v>
      </c>
      <c r="B913" s="554"/>
      <c r="C913" s="554"/>
      <c r="D913" s="554"/>
      <c r="E913" s="554"/>
      <c r="F913" s="554"/>
      <c r="G913" s="554"/>
      <c r="H913" s="554"/>
      <c r="I913" s="554"/>
      <c r="J913" s="554"/>
      <c r="K913" s="554"/>
      <c r="L913" s="554"/>
      <c r="M913" s="554"/>
      <c r="N913" s="554"/>
      <c r="O913" s="554"/>
      <c r="P913" s="554"/>
      <c r="Q913" s="554"/>
      <c r="R913" s="554"/>
      <c r="S913" s="554"/>
      <c r="T913" s="554"/>
      <c r="U913" s="554"/>
      <c r="V913" s="554"/>
      <c r="W913" s="554"/>
      <c r="X913" s="554"/>
      <c r="Y913" s="554"/>
      <c r="Z913" s="554"/>
      <c r="AA913" s="554"/>
      <c r="AB913" s="554"/>
      <c r="AC913" s="554"/>
      <c r="AD913" s="554"/>
      <c r="AE913" s="554"/>
      <c r="AF913" s="554"/>
      <c r="AG913" s="554"/>
      <c r="AH913" s="554"/>
      <c r="AI913" s="554"/>
      <c r="AJ913" s="554"/>
      <c r="AK913" s="554"/>
      <c r="AL913" s="554"/>
      <c r="AM913" s="554"/>
      <c r="AN913" s="554"/>
      <c r="AO913" s="554"/>
      <c r="AP913" s="554"/>
      <c r="AQ913" s="554"/>
      <c r="AR913" s="554"/>
      <c r="AS913" s="554"/>
      <c r="AT913" s="554"/>
      <c r="AU913" s="554"/>
      <c r="AV913" s="554"/>
      <c r="AW913" s="554"/>
      <c r="AX913" s="554"/>
      <c r="AY913" s="554"/>
      <c r="AZ913" s="554"/>
      <c r="BA913" s="554"/>
      <c r="BB913" s="554"/>
      <c r="BC913" s="554"/>
      <c r="BD913" s="554"/>
      <c r="BE913" s="554"/>
      <c r="BF913" s="554"/>
      <c r="BG913" s="554"/>
      <c r="BH913" s="554"/>
      <c r="BI913" s="554"/>
      <c r="BJ913" s="554"/>
      <c r="BK913" s="554"/>
      <c r="BL913" s="554"/>
      <c r="BM913" s="554"/>
      <c r="BN913" s="554"/>
      <c r="BO913" s="554"/>
      <c r="BP913" s="554"/>
      <c r="BQ913" s="554"/>
      <c r="BR913" s="555"/>
      <c r="BS913" s="582" t="s">
        <v>4</v>
      </c>
      <c r="BT913" s="582"/>
      <c r="BU913" s="582"/>
      <c r="BV913" s="582"/>
      <c r="BW913" s="582"/>
      <c r="BX913" s="582"/>
      <c r="BY913" s="582"/>
      <c r="BZ913" s="582"/>
      <c r="CA913" s="582"/>
      <c r="CB913" s="582"/>
      <c r="CC913" s="582"/>
      <c r="CD913" s="582"/>
      <c r="CE913" s="582"/>
      <c r="CF913" s="582"/>
      <c r="CG913" s="582"/>
      <c r="CH913" s="582"/>
      <c r="CI913" s="611">
        <f>CI903+CI912</f>
        <v>31000</v>
      </c>
      <c r="CJ913" s="560"/>
      <c r="CK913" s="560"/>
      <c r="CL913" s="560"/>
      <c r="CM913" s="560"/>
      <c r="CN913" s="560"/>
      <c r="CO913" s="560"/>
      <c r="CP913" s="560"/>
      <c r="CQ913" s="560"/>
      <c r="CR913" s="560"/>
      <c r="CS913" s="560"/>
      <c r="CT913" s="560"/>
      <c r="CU913" s="560"/>
      <c r="CV913" s="560"/>
      <c r="CW913" s="560"/>
      <c r="CX913" s="560"/>
      <c r="CY913" s="560"/>
      <c r="CZ913" s="560"/>
      <c r="DA913" s="243"/>
    </row>
    <row r="914" spans="1:105" ht="15" customHeight="1" x14ac:dyDescent="0.25">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c r="AC914" s="222"/>
      <c r="AD914" s="222"/>
      <c r="AE914" s="222"/>
      <c r="AF914" s="222"/>
      <c r="AG914" s="222"/>
      <c r="AH914" s="222"/>
      <c r="AI914" s="222"/>
      <c r="AJ914" s="222"/>
      <c r="AK914" s="222"/>
      <c r="AL914" s="222"/>
      <c r="AM914" s="222"/>
      <c r="AN914" s="222"/>
      <c r="AO914" s="222"/>
      <c r="AP914" s="222"/>
      <c r="AQ914" s="222"/>
      <c r="AR914" s="222"/>
      <c r="AS914" s="222"/>
      <c r="AT914" s="222"/>
      <c r="AU914" s="222"/>
      <c r="AV914" s="222"/>
      <c r="AW914" s="222"/>
      <c r="AX914" s="222"/>
      <c r="AY914" s="222"/>
      <c r="AZ914" s="222"/>
      <c r="BA914" s="222"/>
      <c r="BB914" s="222"/>
      <c r="BC914" s="222"/>
      <c r="BD914" s="222"/>
      <c r="BE914" s="222"/>
      <c r="BF914" s="222"/>
      <c r="BG914" s="222"/>
      <c r="BH914" s="222"/>
      <c r="BI914" s="222"/>
      <c r="BJ914" s="222"/>
      <c r="BK914" s="222"/>
      <c r="BL914" s="222"/>
      <c r="BM914" s="222"/>
      <c r="BN914" s="222"/>
      <c r="BO914" s="222"/>
      <c r="BP914" s="222"/>
      <c r="BQ914" s="222"/>
      <c r="BR914" s="222"/>
      <c r="BS914" s="223"/>
      <c r="BT914" s="223"/>
      <c r="BU914" s="223"/>
      <c r="BV914" s="223"/>
      <c r="BW914" s="223"/>
      <c r="BX914" s="223"/>
      <c r="BY914" s="223"/>
      <c r="BZ914" s="223"/>
      <c r="CA914" s="223"/>
      <c r="CB914" s="223"/>
      <c r="CC914" s="223"/>
      <c r="CD914" s="223"/>
      <c r="CE914" s="223"/>
      <c r="CF914" s="223"/>
      <c r="CG914" s="223"/>
      <c r="CH914" s="223"/>
      <c r="CI914" s="229"/>
      <c r="CJ914" s="45"/>
      <c r="CK914" s="45"/>
      <c r="CL914" s="45"/>
      <c r="CM914" s="45"/>
      <c r="CN914" s="45"/>
      <c r="CO914" s="45"/>
      <c r="CP914" s="45"/>
      <c r="CQ914" s="45"/>
      <c r="CR914" s="45"/>
      <c r="CS914" s="45"/>
      <c r="CT914" s="45"/>
      <c r="CU914" s="45"/>
      <c r="CV914" s="45"/>
      <c r="CW914" s="45"/>
      <c r="CX914" s="45"/>
      <c r="CY914" s="45"/>
      <c r="CZ914" s="45"/>
    </row>
    <row r="915" spans="1:105" s="20" customFormat="1" ht="17.25" hidden="1" customHeight="1" x14ac:dyDescent="0.25">
      <c r="A915" s="524" t="s">
        <v>366</v>
      </c>
      <c r="B915" s="524"/>
      <c r="C915" s="524"/>
      <c r="D915" s="524"/>
      <c r="E915" s="524"/>
      <c r="F915" s="524"/>
      <c r="G915" s="524"/>
      <c r="H915" s="524"/>
      <c r="I915" s="524"/>
      <c r="J915" s="524"/>
      <c r="K915" s="524"/>
      <c r="L915" s="524"/>
      <c r="M915" s="524"/>
      <c r="N915" s="524"/>
      <c r="O915" s="524"/>
      <c r="P915" s="524"/>
      <c r="Q915" s="524"/>
      <c r="R915" s="524"/>
      <c r="S915" s="524"/>
      <c r="T915" s="524"/>
      <c r="U915" s="524"/>
      <c r="V915" s="524"/>
      <c r="W915" s="524"/>
      <c r="X915" s="524"/>
      <c r="Y915" s="524"/>
      <c r="Z915" s="524"/>
      <c r="AA915" s="524"/>
      <c r="AB915" s="524"/>
      <c r="AC915" s="524"/>
      <c r="AD915" s="524"/>
      <c r="AE915" s="524"/>
      <c r="AF915" s="524"/>
      <c r="AG915" s="524"/>
      <c r="AH915" s="524"/>
      <c r="AI915" s="524"/>
      <c r="AJ915" s="524"/>
      <c r="AK915" s="524"/>
      <c r="AL915" s="524"/>
      <c r="AM915" s="524"/>
      <c r="AN915" s="524"/>
      <c r="AO915" s="524"/>
      <c r="AP915" s="524"/>
      <c r="AQ915" s="524"/>
      <c r="AR915" s="524"/>
      <c r="AS915" s="524"/>
      <c r="AT915" s="524"/>
      <c r="AU915" s="524"/>
      <c r="AV915" s="524"/>
      <c r="AW915" s="524"/>
      <c r="AX915" s="524"/>
      <c r="AY915" s="524"/>
      <c r="AZ915" s="524"/>
      <c r="BA915" s="524"/>
      <c r="BB915" s="524"/>
      <c r="BC915" s="524"/>
      <c r="BD915" s="524"/>
      <c r="BE915" s="524"/>
      <c r="BF915" s="524"/>
      <c r="BG915" s="524"/>
      <c r="BH915" s="524"/>
      <c r="BI915" s="524"/>
      <c r="BJ915" s="524"/>
      <c r="BK915" s="524"/>
      <c r="BL915" s="524"/>
      <c r="BM915" s="524"/>
      <c r="BN915" s="524"/>
      <c r="BO915" s="524"/>
      <c r="BP915" s="524"/>
      <c r="BQ915" s="524"/>
      <c r="BR915" s="524"/>
      <c r="BS915" s="524"/>
      <c r="BT915" s="524"/>
      <c r="BU915" s="524"/>
      <c r="BV915" s="524"/>
      <c r="BW915" s="524"/>
      <c r="BX915" s="524"/>
      <c r="BY915" s="524"/>
      <c r="BZ915" s="524"/>
      <c r="CA915" s="524"/>
      <c r="CB915" s="524"/>
      <c r="CC915" s="524"/>
      <c r="CD915" s="524"/>
      <c r="CE915" s="524"/>
      <c r="CF915" s="524"/>
      <c r="CG915" s="524"/>
      <c r="CH915" s="524"/>
      <c r="CI915" s="524"/>
      <c r="CJ915" s="524"/>
      <c r="CK915" s="524"/>
      <c r="CL915" s="524"/>
      <c r="CM915" s="524"/>
      <c r="CN915" s="524"/>
      <c r="CO915" s="524"/>
      <c r="CP915" s="524"/>
      <c r="CQ915" s="524"/>
      <c r="CR915" s="524"/>
      <c r="CS915" s="524"/>
      <c r="CT915" s="524"/>
      <c r="CU915" s="524"/>
      <c r="CV915" s="524"/>
      <c r="CW915" s="524"/>
      <c r="CX915" s="524"/>
      <c r="CY915" s="524"/>
      <c r="CZ915" s="524"/>
    </row>
    <row r="916" spans="1:105" s="20" customFormat="1" ht="13.5" hidden="1"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row>
    <row r="917" spans="1:105" s="20" customFormat="1" hidden="1" x14ac:dyDescent="0.25">
      <c r="A917" s="20" t="s">
        <v>47</v>
      </c>
      <c r="W917" s="595"/>
      <c r="X917" s="595"/>
      <c r="Y917" s="595"/>
      <c r="Z917" s="595"/>
      <c r="AA917" s="595"/>
      <c r="AB917" s="595"/>
      <c r="AC917" s="595"/>
      <c r="AD917" s="595"/>
      <c r="AE917" s="595"/>
      <c r="AF917" s="595"/>
      <c r="AG917" s="595"/>
      <c r="AH917" s="595"/>
      <c r="AI917" s="595"/>
      <c r="AJ917" s="595"/>
      <c r="AK917" s="595"/>
      <c r="AL917" s="595"/>
      <c r="AM917" s="595"/>
      <c r="AN917" s="595"/>
      <c r="AO917" s="595"/>
      <c r="AP917" s="595"/>
      <c r="AQ917" s="595"/>
      <c r="AR917" s="595"/>
      <c r="AS917" s="595"/>
      <c r="AT917" s="595"/>
      <c r="AU917" s="595"/>
      <c r="AV917" s="595"/>
      <c r="AW917" s="595"/>
      <c r="AX917" s="595"/>
      <c r="AY917" s="595"/>
      <c r="AZ917" s="595"/>
      <c r="BA917" s="595"/>
      <c r="BB917" s="595"/>
      <c r="BC917" s="595"/>
      <c r="BD917" s="595"/>
      <c r="BE917" s="595"/>
      <c r="BF917" s="595"/>
      <c r="BG917" s="595"/>
      <c r="BH917" s="595"/>
      <c r="BI917" s="595"/>
      <c r="BJ917" s="595"/>
      <c r="BK917" s="595"/>
      <c r="BL917" s="595"/>
      <c r="BM917" s="595"/>
      <c r="BN917" s="595"/>
      <c r="BO917" s="595"/>
      <c r="BP917" s="595"/>
      <c r="BQ917" s="595"/>
      <c r="BR917" s="595"/>
      <c r="BS917" s="595"/>
      <c r="BT917" s="595"/>
      <c r="BU917" s="595"/>
      <c r="BV917" s="595"/>
      <c r="BW917" s="595"/>
      <c r="BX917" s="595"/>
      <c r="BY917" s="595"/>
      <c r="BZ917" s="595"/>
      <c r="CA917" s="595"/>
      <c r="CB917" s="595"/>
      <c r="CC917" s="595"/>
      <c r="CD917" s="595"/>
      <c r="CE917" s="595"/>
      <c r="CF917" s="595"/>
      <c r="CG917" s="595"/>
      <c r="CH917" s="595"/>
      <c r="CI917" s="595"/>
      <c r="CJ917" s="595"/>
      <c r="CK917" s="595"/>
      <c r="CL917" s="595"/>
      <c r="CM917" s="595"/>
      <c r="CN917" s="595"/>
      <c r="CO917" s="595"/>
      <c r="CP917" s="595"/>
      <c r="CQ917" s="595"/>
      <c r="CR917" s="595"/>
      <c r="CS917" s="595"/>
      <c r="CT917" s="595"/>
      <c r="CU917" s="595"/>
      <c r="CV917" s="595"/>
      <c r="CW917" s="595"/>
      <c r="CX917" s="595"/>
      <c r="CY917" s="595"/>
      <c r="CZ917" s="595"/>
    </row>
    <row r="918" spans="1:105" s="20" customFormat="1" hidden="1" x14ac:dyDescent="0.25">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I918" s="14"/>
      <c r="CJ918" s="14"/>
      <c r="CK918" s="14"/>
      <c r="CL918" s="14"/>
      <c r="CM918" s="14"/>
      <c r="CN918" s="14"/>
      <c r="CO918" s="14"/>
      <c r="CP918" s="14"/>
      <c r="CQ918" s="14"/>
      <c r="CR918" s="14"/>
      <c r="CS918" s="14"/>
      <c r="CT918" s="14"/>
      <c r="CU918" s="14"/>
      <c r="CV918" s="14"/>
      <c r="CW918" s="14"/>
      <c r="CX918" s="14"/>
      <c r="CY918" s="14"/>
      <c r="CZ918" s="14"/>
    </row>
    <row r="919" spans="1:105" s="20" customFormat="1" hidden="1" x14ac:dyDescent="0.25">
      <c r="A919" s="475" t="s">
        <v>49</v>
      </c>
      <c r="B919" s="476"/>
      <c r="C919" s="476"/>
      <c r="D919" s="476"/>
      <c r="E919" s="476"/>
      <c r="F919" s="476"/>
      <c r="G919" s="477"/>
      <c r="H919" s="475" t="s">
        <v>0</v>
      </c>
      <c r="I919" s="476"/>
      <c r="J919" s="476"/>
      <c r="K919" s="476"/>
      <c r="L919" s="476"/>
      <c r="M919" s="476"/>
      <c r="N919" s="476"/>
      <c r="O919" s="476"/>
      <c r="P919" s="476"/>
      <c r="Q919" s="476"/>
      <c r="R919" s="476"/>
      <c r="S919" s="476"/>
      <c r="T919" s="476"/>
      <c r="U919" s="476"/>
      <c r="V919" s="476"/>
      <c r="W919" s="476"/>
      <c r="X919" s="476"/>
      <c r="Y919" s="476"/>
      <c r="Z919" s="476"/>
      <c r="AA919" s="476"/>
      <c r="AB919" s="476"/>
      <c r="AC919" s="476"/>
      <c r="AD919" s="476"/>
      <c r="AE919" s="476"/>
      <c r="AF919" s="476"/>
      <c r="AG919" s="476"/>
      <c r="AH919" s="476"/>
      <c r="AI919" s="476"/>
      <c r="AJ919" s="476"/>
      <c r="AK919" s="476"/>
      <c r="AL919" s="476"/>
      <c r="AM919" s="476"/>
      <c r="AN919" s="476"/>
      <c r="AO919" s="476"/>
      <c r="AP919" s="476"/>
      <c r="AQ919" s="476"/>
      <c r="AR919" s="476"/>
      <c r="AS919" s="476"/>
      <c r="AT919" s="477"/>
      <c r="AU919" s="475" t="s">
        <v>196</v>
      </c>
      <c r="AV919" s="476"/>
      <c r="AW919" s="476"/>
      <c r="AX919" s="476"/>
      <c r="AY919" s="476"/>
      <c r="AZ919" s="476"/>
      <c r="BA919" s="476"/>
      <c r="BB919" s="477"/>
      <c r="BC919" s="475" t="s">
        <v>91</v>
      </c>
      <c r="BD919" s="476"/>
      <c r="BE919" s="476"/>
      <c r="BF919" s="476"/>
      <c r="BG919" s="476"/>
      <c r="BH919" s="476"/>
      <c r="BI919" s="476"/>
      <c r="BJ919" s="476"/>
      <c r="BK919" s="476"/>
      <c r="BL919" s="476"/>
      <c r="BM919" s="476"/>
      <c r="BN919" s="476"/>
      <c r="BO919" s="476"/>
      <c r="BP919" s="476"/>
      <c r="BQ919" s="476"/>
      <c r="BR919" s="477"/>
      <c r="BS919" s="475" t="s">
        <v>96</v>
      </c>
      <c r="BT919" s="476"/>
      <c r="BU919" s="476"/>
      <c r="BV919" s="476"/>
      <c r="BW919" s="476"/>
      <c r="BX919" s="476"/>
      <c r="BY919" s="476"/>
      <c r="BZ919" s="476"/>
      <c r="CA919" s="476"/>
      <c r="CB919" s="476"/>
      <c r="CC919" s="476"/>
      <c r="CD919" s="476"/>
      <c r="CE919" s="476"/>
      <c r="CF919" s="476"/>
      <c r="CG919" s="476"/>
      <c r="CH919" s="477"/>
      <c r="CI919" s="475" t="s">
        <v>368</v>
      </c>
      <c r="CJ919" s="476"/>
      <c r="CK919" s="476"/>
      <c r="CL919" s="476"/>
      <c r="CM919" s="476"/>
      <c r="CN919" s="476"/>
      <c r="CO919" s="476"/>
      <c r="CP919" s="476"/>
      <c r="CQ919" s="476"/>
      <c r="CR919" s="476"/>
      <c r="CS919" s="476"/>
      <c r="CT919" s="476"/>
      <c r="CU919" s="476"/>
      <c r="CV919" s="476"/>
      <c r="CW919" s="476"/>
      <c r="CX919" s="476"/>
      <c r="CY919" s="476"/>
      <c r="CZ919" s="477"/>
    </row>
    <row r="920" spans="1:105" s="20" customFormat="1" hidden="1" x14ac:dyDescent="0.25">
      <c r="A920" s="661">
        <v>1</v>
      </c>
      <c r="B920" s="662"/>
      <c r="C920" s="662"/>
      <c r="D920" s="662"/>
      <c r="E920" s="662"/>
      <c r="F920" s="662"/>
      <c r="G920" s="663"/>
      <c r="H920" s="661">
        <v>2</v>
      </c>
      <c r="I920" s="662"/>
      <c r="J920" s="662"/>
      <c r="K920" s="662"/>
      <c r="L920" s="662"/>
      <c r="M920" s="662"/>
      <c r="N920" s="662"/>
      <c r="O920" s="662"/>
      <c r="P920" s="662"/>
      <c r="Q920" s="662"/>
      <c r="R920" s="662"/>
      <c r="S920" s="662"/>
      <c r="T920" s="662"/>
      <c r="U920" s="662"/>
      <c r="V920" s="662"/>
      <c r="W920" s="662"/>
      <c r="X920" s="662"/>
      <c r="Y920" s="662"/>
      <c r="Z920" s="662"/>
      <c r="AA920" s="662"/>
      <c r="AB920" s="662"/>
      <c r="AC920" s="662"/>
      <c r="AD920" s="662"/>
      <c r="AE920" s="662"/>
      <c r="AF920" s="662"/>
      <c r="AG920" s="662"/>
      <c r="AH920" s="662"/>
      <c r="AI920" s="662"/>
      <c r="AJ920" s="662"/>
      <c r="AK920" s="662"/>
      <c r="AL920" s="662"/>
      <c r="AM920" s="662"/>
      <c r="AN920" s="662"/>
      <c r="AO920" s="662"/>
      <c r="AP920" s="662"/>
      <c r="AQ920" s="662"/>
      <c r="AR920" s="662"/>
      <c r="AS920" s="662"/>
      <c r="AT920" s="663"/>
      <c r="AU920" s="661">
        <v>3</v>
      </c>
      <c r="AV920" s="662"/>
      <c r="AW920" s="662"/>
      <c r="AX920" s="662"/>
      <c r="AY920" s="662"/>
      <c r="AZ920" s="662"/>
      <c r="BA920" s="662"/>
      <c r="BB920" s="663"/>
      <c r="BC920" s="661">
        <v>4</v>
      </c>
      <c r="BD920" s="662"/>
      <c r="BE920" s="662"/>
      <c r="BF920" s="662"/>
      <c r="BG920" s="662"/>
      <c r="BH920" s="662"/>
      <c r="BI920" s="662"/>
      <c r="BJ920" s="662"/>
      <c r="BK920" s="662"/>
      <c r="BL920" s="662"/>
      <c r="BM920" s="662"/>
      <c r="BN920" s="662"/>
      <c r="BO920" s="662"/>
      <c r="BP920" s="662"/>
      <c r="BQ920" s="662"/>
      <c r="BR920" s="663"/>
      <c r="BS920" s="661">
        <v>5</v>
      </c>
      <c r="BT920" s="662"/>
      <c r="BU920" s="662"/>
      <c r="BV920" s="662"/>
      <c r="BW920" s="662"/>
      <c r="BX920" s="662"/>
      <c r="BY920" s="662"/>
      <c r="BZ920" s="662"/>
      <c r="CA920" s="662"/>
      <c r="CB920" s="662"/>
      <c r="CC920" s="662"/>
      <c r="CD920" s="662"/>
      <c r="CE920" s="662"/>
      <c r="CF920" s="662"/>
      <c r="CG920" s="662"/>
      <c r="CH920" s="663"/>
      <c r="CI920" s="661">
        <v>6</v>
      </c>
      <c r="CJ920" s="662"/>
      <c r="CK920" s="662"/>
      <c r="CL920" s="662"/>
      <c r="CM920" s="662"/>
      <c r="CN920" s="662"/>
      <c r="CO920" s="662"/>
      <c r="CP920" s="662"/>
      <c r="CQ920" s="662"/>
      <c r="CR920" s="662"/>
      <c r="CS920" s="662"/>
      <c r="CT920" s="662"/>
      <c r="CU920" s="662"/>
      <c r="CV920" s="662"/>
      <c r="CW920" s="662"/>
      <c r="CX920" s="662"/>
      <c r="CY920" s="662"/>
      <c r="CZ920" s="663"/>
    </row>
    <row r="921" spans="1:105" s="20" customFormat="1" hidden="1" x14ac:dyDescent="0.25">
      <c r="A921" s="648" t="s">
        <v>258</v>
      </c>
      <c r="B921" s="649"/>
      <c r="C921" s="649"/>
      <c r="D921" s="649"/>
      <c r="E921" s="649"/>
      <c r="F921" s="649"/>
      <c r="G921" s="649"/>
      <c r="H921" s="649"/>
      <c r="I921" s="649"/>
      <c r="J921" s="649"/>
      <c r="K921" s="649"/>
      <c r="L921" s="649"/>
      <c r="M921" s="649"/>
      <c r="N921" s="649"/>
      <c r="O921" s="649"/>
      <c r="P921" s="649"/>
      <c r="Q921" s="649"/>
      <c r="R921" s="649"/>
      <c r="S921" s="649"/>
      <c r="T921" s="649"/>
      <c r="U921" s="649"/>
      <c r="V921" s="649"/>
      <c r="W921" s="649"/>
      <c r="X921" s="649"/>
      <c r="Y921" s="649"/>
      <c r="Z921" s="649"/>
      <c r="AA921" s="649"/>
      <c r="AB921" s="649"/>
      <c r="AC921" s="649"/>
      <c r="AD921" s="649"/>
      <c r="AE921" s="649"/>
      <c r="AF921" s="649"/>
      <c r="AG921" s="649"/>
      <c r="AH921" s="649"/>
      <c r="AI921" s="649"/>
      <c r="AJ921" s="649"/>
      <c r="AK921" s="649"/>
      <c r="AL921" s="649"/>
      <c r="AM921" s="649"/>
      <c r="AN921" s="649"/>
      <c r="AO921" s="649"/>
      <c r="AP921" s="649"/>
      <c r="AQ921" s="649"/>
      <c r="AR921" s="649"/>
      <c r="AS921" s="649"/>
      <c r="AT921" s="649"/>
      <c r="AU921" s="649"/>
      <c r="AV921" s="649"/>
      <c r="AW921" s="649"/>
      <c r="AX921" s="649"/>
      <c r="AY921" s="649"/>
      <c r="AZ921" s="649"/>
      <c r="BA921" s="649"/>
      <c r="BB921" s="649"/>
      <c r="BC921" s="649"/>
      <c r="BD921" s="649"/>
      <c r="BE921" s="649"/>
      <c r="BF921" s="649"/>
      <c r="BG921" s="649"/>
      <c r="BH921" s="649"/>
      <c r="BI921" s="649"/>
      <c r="BJ921" s="649"/>
      <c r="BK921" s="649"/>
      <c r="BL921" s="649"/>
      <c r="BM921" s="649"/>
      <c r="BN921" s="649"/>
      <c r="BO921" s="649"/>
      <c r="BP921" s="649"/>
      <c r="BQ921" s="649"/>
      <c r="BR921" s="649"/>
      <c r="BS921" s="649"/>
      <c r="BT921" s="649"/>
      <c r="BU921" s="649"/>
      <c r="BV921" s="649"/>
      <c r="BW921" s="649"/>
      <c r="BX921" s="649"/>
      <c r="BY921" s="649"/>
      <c r="BZ921" s="649"/>
      <c r="CA921" s="649"/>
      <c r="CB921" s="649"/>
      <c r="CC921" s="649"/>
      <c r="CD921" s="649"/>
      <c r="CE921" s="649"/>
      <c r="CF921" s="649"/>
      <c r="CG921" s="649"/>
      <c r="CH921" s="649"/>
      <c r="CI921" s="649"/>
      <c r="CJ921" s="649"/>
      <c r="CK921" s="649"/>
      <c r="CL921" s="649"/>
      <c r="CM921" s="649"/>
      <c r="CN921" s="649"/>
      <c r="CO921" s="649"/>
      <c r="CP921" s="649"/>
      <c r="CQ921" s="649"/>
      <c r="CR921" s="649"/>
      <c r="CS921" s="649"/>
      <c r="CT921" s="649"/>
      <c r="CU921" s="649"/>
      <c r="CV921" s="649"/>
      <c r="CW921" s="649"/>
      <c r="CX921" s="649"/>
      <c r="CY921" s="649"/>
      <c r="CZ921" s="650"/>
    </row>
    <row r="922" spans="1:105" s="20" customFormat="1" hidden="1" x14ac:dyDescent="0.25">
      <c r="A922" s="630"/>
      <c r="B922" s="631"/>
      <c r="C922" s="631"/>
      <c r="D922" s="631"/>
      <c r="E922" s="631"/>
      <c r="F922" s="631"/>
      <c r="G922" s="632"/>
      <c r="H922" s="475"/>
      <c r="I922" s="476"/>
      <c r="J922" s="476"/>
      <c r="K922" s="476"/>
      <c r="L922" s="476"/>
      <c r="M922" s="476"/>
      <c r="N922" s="476"/>
      <c r="O922" s="476"/>
      <c r="P922" s="476"/>
      <c r="Q922" s="476"/>
      <c r="R922" s="476"/>
      <c r="S922" s="476"/>
      <c r="T922" s="476"/>
      <c r="U922" s="476"/>
      <c r="V922" s="476"/>
      <c r="W922" s="476"/>
      <c r="X922" s="476"/>
      <c r="Y922" s="476"/>
      <c r="Z922" s="476"/>
      <c r="AA922" s="476"/>
      <c r="AB922" s="476"/>
      <c r="AC922" s="476"/>
      <c r="AD922" s="476"/>
      <c r="AE922" s="476"/>
      <c r="AF922" s="476"/>
      <c r="AG922" s="476"/>
      <c r="AH922" s="476"/>
      <c r="AI922" s="476"/>
      <c r="AJ922" s="476"/>
      <c r="AK922" s="476"/>
      <c r="AL922" s="476"/>
      <c r="AM922" s="476"/>
      <c r="AN922" s="476"/>
      <c r="AO922" s="476"/>
      <c r="AP922" s="476"/>
      <c r="AQ922" s="476"/>
      <c r="AR922" s="476"/>
      <c r="AS922" s="476"/>
      <c r="AT922" s="477"/>
      <c r="AU922" s="475"/>
      <c r="AV922" s="476"/>
      <c r="AW922" s="476"/>
      <c r="AX922" s="476"/>
      <c r="AY922" s="476"/>
      <c r="AZ922" s="476"/>
      <c r="BA922" s="476"/>
      <c r="BB922" s="477"/>
      <c r="BC922" s="544"/>
      <c r="BD922" s="545"/>
      <c r="BE922" s="545"/>
      <c r="BF922" s="545"/>
      <c r="BG922" s="545"/>
      <c r="BH922" s="545"/>
      <c r="BI922" s="545"/>
      <c r="BJ922" s="545"/>
      <c r="BK922" s="545"/>
      <c r="BL922" s="545"/>
      <c r="BM922" s="545"/>
      <c r="BN922" s="545"/>
      <c r="BO922" s="545"/>
      <c r="BP922" s="545"/>
      <c r="BQ922" s="545"/>
      <c r="BR922" s="546"/>
      <c r="BS922" s="544"/>
      <c r="BT922" s="545"/>
      <c r="BU922" s="545"/>
      <c r="BV922" s="545"/>
      <c r="BW922" s="545"/>
      <c r="BX922" s="545"/>
      <c r="BY922" s="545"/>
      <c r="BZ922" s="545"/>
      <c r="CA922" s="545"/>
      <c r="CB922" s="545"/>
      <c r="CC922" s="545"/>
      <c r="CD922" s="545"/>
      <c r="CE922" s="545"/>
      <c r="CF922" s="545"/>
      <c r="CG922" s="545"/>
      <c r="CH922" s="546"/>
      <c r="CI922" s="544"/>
      <c r="CJ922" s="545"/>
      <c r="CK922" s="545"/>
      <c r="CL922" s="545"/>
      <c r="CM922" s="545"/>
      <c r="CN922" s="545"/>
      <c r="CO922" s="545"/>
      <c r="CP922" s="545"/>
      <c r="CQ922" s="545"/>
      <c r="CR922" s="545"/>
      <c r="CS922" s="545"/>
      <c r="CT922" s="545"/>
      <c r="CU922" s="545"/>
      <c r="CV922" s="545"/>
      <c r="CW922" s="545"/>
      <c r="CX922" s="545"/>
      <c r="CY922" s="545"/>
      <c r="CZ922" s="546"/>
    </row>
    <row r="923" spans="1:105" s="20" customFormat="1" hidden="1" x14ac:dyDescent="0.25">
      <c r="A923" s="633" t="s">
        <v>292</v>
      </c>
      <c r="B923" s="634"/>
      <c r="C923" s="634"/>
      <c r="D923" s="634"/>
      <c r="E923" s="634"/>
      <c r="F923" s="634"/>
      <c r="G923" s="634"/>
      <c r="H923" s="634"/>
      <c r="I923" s="634"/>
      <c r="J923" s="634"/>
      <c r="K923" s="634"/>
      <c r="L923" s="634"/>
      <c r="M923" s="634"/>
      <c r="N923" s="634"/>
      <c r="O923" s="634"/>
      <c r="P923" s="634"/>
      <c r="Q923" s="634"/>
      <c r="R923" s="634"/>
      <c r="S923" s="634"/>
      <c r="T923" s="634"/>
      <c r="U923" s="634"/>
      <c r="V923" s="634"/>
      <c r="W923" s="634"/>
      <c r="X923" s="634"/>
      <c r="Y923" s="634"/>
      <c r="Z923" s="634"/>
      <c r="AA923" s="634"/>
      <c r="AB923" s="634"/>
      <c r="AC923" s="634"/>
      <c r="AD923" s="634"/>
      <c r="AE923" s="634"/>
      <c r="AF923" s="634"/>
      <c r="AG923" s="634"/>
      <c r="AH923" s="634"/>
      <c r="AI923" s="634"/>
      <c r="AJ923" s="634"/>
      <c r="AK923" s="634"/>
      <c r="AL923" s="634"/>
      <c r="AM923" s="634"/>
      <c r="AN923" s="634"/>
      <c r="AO923" s="634"/>
      <c r="AP923" s="634"/>
      <c r="AQ923" s="634"/>
      <c r="AR923" s="634"/>
      <c r="AS923" s="634"/>
      <c r="AT923" s="634"/>
      <c r="AU923" s="634"/>
      <c r="AV923" s="634"/>
      <c r="AW923" s="634"/>
      <c r="AX923" s="634"/>
      <c r="AY923" s="634"/>
      <c r="AZ923" s="634"/>
      <c r="BA923" s="634"/>
      <c r="BB923" s="635"/>
      <c r="BC923" s="544" t="s">
        <v>4</v>
      </c>
      <c r="BD923" s="545"/>
      <c r="BE923" s="545"/>
      <c r="BF923" s="545"/>
      <c r="BG923" s="545"/>
      <c r="BH923" s="545"/>
      <c r="BI923" s="545"/>
      <c r="BJ923" s="545"/>
      <c r="BK923" s="545"/>
      <c r="BL923" s="545"/>
      <c r="BM923" s="545"/>
      <c r="BN923" s="545"/>
      <c r="BO923" s="545"/>
      <c r="BP923" s="545"/>
      <c r="BQ923" s="545"/>
      <c r="BR923" s="546"/>
      <c r="BS923" s="544" t="s">
        <v>4</v>
      </c>
      <c r="BT923" s="545"/>
      <c r="BU923" s="545"/>
      <c r="BV923" s="545"/>
      <c r="BW923" s="545"/>
      <c r="BX923" s="545"/>
      <c r="BY923" s="545"/>
      <c r="BZ923" s="545"/>
      <c r="CA923" s="545"/>
      <c r="CB923" s="545"/>
      <c r="CC923" s="545"/>
      <c r="CD923" s="545"/>
      <c r="CE923" s="545"/>
      <c r="CF923" s="545"/>
      <c r="CG923" s="545"/>
      <c r="CH923" s="546"/>
      <c r="CI923" s="544"/>
      <c r="CJ923" s="545"/>
      <c r="CK923" s="545"/>
      <c r="CL923" s="545"/>
      <c r="CM923" s="545"/>
      <c r="CN923" s="545"/>
      <c r="CO923" s="545"/>
      <c r="CP923" s="545"/>
      <c r="CQ923" s="545"/>
      <c r="CR923" s="545"/>
      <c r="CS923" s="545"/>
      <c r="CT923" s="545"/>
      <c r="CU923" s="545"/>
      <c r="CV923" s="545"/>
      <c r="CW923" s="545"/>
      <c r="CX923" s="545"/>
      <c r="CY923" s="545"/>
      <c r="CZ923" s="546"/>
    </row>
    <row r="924" spans="1:105" s="20" customFormat="1" hidden="1" x14ac:dyDescent="0.25">
      <c r="A924" s="648" t="s">
        <v>258</v>
      </c>
      <c r="B924" s="649"/>
      <c r="C924" s="649"/>
      <c r="D924" s="649"/>
      <c r="E924" s="649"/>
      <c r="F924" s="649"/>
      <c r="G924" s="649"/>
      <c r="H924" s="649"/>
      <c r="I924" s="649"/>
      <c r="J924" s="649"/>
      <c r="K924" s="649"/>
      <c r="L924" s="649"/>
      <c r="M924" s="649"/>
      <c r="N924" s="649"/>
      <c r="O924" s="649"/>
      <c r="P924" s="649"/>
      <c r="Q924" s="649"/>
      <c r="R924" s="649"/>
      <c r="S924" s="649"/>
      <c r="T924" s="649"/>
      <c r="U924" s="649"/>
      <c r="V924" s="649"/>
      <c r="W924" s="649"/>
      <c r="X924" s="649"/>
      <c r="Y924" s="649"/>
      <c r="Z924" s="649"/>
      <c r="AA924" s="649"/>
      <c r="AB924" s="649"/>
      <c r="AC924" s="649"/>
      <c r="AD924" s="649"/>
      <c r="AE924" s="649"/>
      <c r="AF924" s="649"/>
      <c r="AG924" s="649"/>
      <c r="AH924" s="649"/>
      <c r="AI924" s="649"/>
      <c r="AJ924" s="649"/>
      <c r="AK924" s="649"/>
      <c r="AL924" s="649"/>
      <c r="AM924" s="649"/>
      <c r="AN924" s="649"/>
      <c r="AO924" s="649"/>
      <c r="AP924" s="649"/>
      <c r="AQ924" s="649"/>
      <c r="AR924" s="649"/>
      <c r="AS924" s="649"/>
      <c r="AT924" s="649"/>
      <c r="AU924" s="649"/>
      <c r="AV924" s="649"/>
      <c r="AW924" s="649"/>
      <c r="AX924" s="649"/>
      <c r="AY924" s="649"/>
      <c r="AZ924" s="649"/>
      <c r="BA924" s="649"/>
      <c r="BB924" s="649"/>
      <c r="BC924" s="649"/>
      <c r="BD924" s="649"/>
      <c r="BE924" s="649"/>
      <c r="BF924" s="649"/>
      <c r="BG924" s="649"/>
      <c r="BH924" s="649"/>
      <c r="BI924" s="649"/>
      <c r="BJ924" s="649"/>
      <c r="BK924" s="649"/>
      <c r="BL924" s="649"/>
      <c r="BM924" s="649"/>
      <c r="BN924" s="649"/>
      <c r="BO924" s="649"/>
      <c r="BP924" s="649"/>
      <c r="BQ924" s="649"/>
      <c r="BR924" s="649"/>
      <c r="BS924" s="649"/>
      <c r="BT924" s="649"/>
      <c r="BU924" s="649"/>
      <c r="BV924" s="649"/>
      <c r="BW924" s="649"/>
      <c r="BX924" s="649"/>
      <c r="BY924" s="649"/>
      <c r="BZ924" s="649"/>
      <c r="CA924" s="649"/>
      <c r="CB924" s="649"/>
      <c r="CC924" s="649"/>
      <c r="CD924" s="649"/>
      <c r="CE924" s="649"/>
      <c r="CF924" s="649"/>
      <c r="CG924" s="649"/>
      <c r="CH924" s="649"/>
      <c r="CI924" s="649"/>
      <c r="CJ924" s="649"/>
      <c r="CK924" s="649"/>
      <c r="CL924" s="649"/>
      <c r="CM924" s="649"/>
      <c r="CN924" s="649"/>
      <c r="CO924" s="649"/>
      <c r="CP924" s="649"/>
      <c r="CQ924" s="649"/>
      <c r="CR924" s="649"/>
      <c r="CS924" s="649"/>
      <c r="CT924" s="649"/>
      <c r="CU924" s="649"/>
      <c r="CV924" s="649"/>
      <c r="CW924" s="649"/>
      <c r="CX924" s="649"/>
      <c r="CY924" s="649"/>
      <c r="CZ924" s="650"/>
    </row>
    <row r="925" spans="1:105" s="20" customFormat="1" hidden="1" x14ac:dyDescent="0.25">
      <c r="A925" s="630"/>
      <c r="B925" s="631"/>
      <c r="C925" s="631"/>
      <c r="D925" s="631"/>
      <c r="E925" s="631"/>
      <c r="F925" s="631"/>
      <c r="G925" s="632"/>
      <c r="H925" s="475"/>
      <c r="I925" s="476"/>
      <c r="J925" s="476"/>
      <c r="K925" s="476"/>
      <c r="L925" s="476"/>
      <c r="M925" s="476"/>
      <c r="N925" s="476"/>
      <c r="O925" s="476"/>
      <c r="P925" s="476"/>
      <c r="Q925" s="476"/>
      <c r="R925" s="476"/>
      <c r="S925" s="476"/>
      <c r="T925" s="476"/>
      <c r="U925" s="476"/>
      <c r="V925" s="476"/>
      <c r="W925" s="476"/>
      <c r="X925" s="476"/>
      <c r="Y925" s="476"/>
      <c r="Z925" s="476"/>
      <c r="AA925" s="476"/>
      <c r="AB925" s="476"/>
      <c r="AC925" s="476"/>
      <c r="AD925" s="476"/>
      <c r="AE925" s="476"/>
      <c r="AF925" s="476"/>
      <c r="AG925" s="476"/>
      <c r="AH925" s="476"/>
      <c r="AI925" s="476"/>
      <c r="AJ925" s="476"/>
      <c r="AK925" s="476"/>
      <c r="AL925" s="476"/>
      <c r="AM925" s="476"/>
      <c r="AN925" s="476"/>
      <c r="AO925" s="476"/>
      <c r="AP925" s="476"/>
      <c r="AQ925" s="476"/>
      <c r="AR925" s="476"/>
      <c r="AS925" s="476"/>
      <c r="AT925" s="477"/>
      <c r="AU925" s="475"/>
      <c r="AV925" s="476"/>
      <c r="AW925" s="476"/>
      <c r="AX925" s="476"/>
      <c r="AY925" s="476"/>
      <c r="AZ925" s="476"/>
      <c r="BA925" s="476"/>
      <c r="BB925" s="477"/>
      <c r="BC925" s="544"/>
      <c r="BD925" s="545"/>
      <c r="BE925" s="545"/>
      <c r="BF925" s="545"/>
      <c r="BG925" s="545"/>
      <c r="BH925" s="545"/>
      <c r="BI925" s="545"/>
      <c r="BJ925" s="545"/>
      <c r="BK925" s="545"/>
      <c r="BL925" s="545"/>
      <c r="BM925" s="545"/>
      <c r="BN925" s="545"/>
      <c r="BO925" s="545"/>
      <c r="BP925" s="545"/>
      <c r="BQ925" s="545"/>
      <c r="BR925" s="546"/>
      <c r="BS925" s="544"/>
      <c r="BT925" s="545"/>
      <c r="BU925" s="545"/>
      <c r="BV925" s="545"/>
      <c r="BW925" s="545"/>
      <c r="BX925" s="545"/>
      <c r="BY925" s="545"/>
      <c r="BZ925" s="545"/>
      <c r="CA925" s="545"/>
      <c r="CB925" s="545"/>
      <c r="CC925" s="545"/>
      <c r="CD925" s="545"/>
      <c r="CE925" s="545"/>
      <c r="CF925" s="545"/>
      <c r="CG925" s="545"/>
      <c r="CH925" s="546"/>
      <c r="CI925" s="544"/>
      <c r="CJ925" s="545"/>
      <c r="CK925" s="545"/>
      <c r="CL925" s="545"/>
      <c r="CM925" s="545"/>
      <c r="CN925" s="545"/>
      <c r="CO925" s="545"/>
      <c r="CP925" s="545"/>
      <c r="CQ925" s="545"/>
      <c r="CR925" s="545"/>
      <c r="CS925" s="545"/>
      <c r="CT925" s="545"/>
      <c r="CU925" s="545"/>
      <c r="CV925" s="545"/>
      <c r="CW925" s="545"/>
      <c r="CX925" s="545"/>
      <c r="CY925" s="545"/>
      <c r="CZ925" s="546"/>
    </row>
    <row r="926" spans="1:105" s="20" customFormat="1" hidden="1" x14ac:dyDescent="0.25">
      <c r="A926" s="633" t="s">
        <v>292</v>
      </c>
      <c r="B926" s="634"/>
      <c r="C926" s="634"/>
      <c r="D926" s="634"/>
      <c r="E926" s="634"/>
      <c r="F926" s="634"/>
      <c r="G926" s="634"/>
      <c r="H926" s="634"/>
      <c r="I926" s="634"/>
      <c r="J926" s="634"/>
      <c r="K926" s="634"/>
      <c r="L926" s="634"/>
      <c r="M926" s="634"/>
      <c r="N926" s="634"/>
      <c r="O926" s="634"/>
      <c r="P926" s="634"/>
      <c r="Q926" s="634"/>
      <c r="R926" s="634"/>
      <c r="S926" s="634"/>
      <c r="T926" s="634"/>
      <c r="U926" s="634"/>
      <c r="V926" s="634"/>
      <c r="W926" s="634"/>
      <c r="X926" s="634"/>
      <c r="Y926" s="634"/>
      <c r="Z926" s="634"/>
      <c r="AA926" s="634"/>
      <c r="AB926" s="634"/>
      <c r="AC926" s="634"/>
      <c r="AD926" s="634"/>
      <c r="AE926" s="634"/>
      <c r="AF926" s="634"/>
      <c r="AG926" s="634"/>
      <c r="AH926" s="634"/>
      <c r="AI926" s="634"/>
      <c r="AJ926" s="634"/>
      <c r="AK926" s="634"/>
      <c r="AL926" s="634"/>
      <c r="AM926" s="634"/>
      <c r="AN926" s="634"/>
      <c r="AO926" s="634"/>
      <c r="AP926" s="634"/>
      <c r="AQ926" s="634"/>
      <c r="AR926" s="634"/>
      <c r="AS926" s="634"/>
      <c r="AT926" s="634"/>
      <c r="AU926" s="634"/>
      <c r="AV926" s="634"/>
      <c r="AW926" s="634"/>
      <c r="AX926" s="634"/>
      <c r="AY926" s="634"/>
      <c r="AZ926" s="634"/>
      <c r="BA926" s="634"/>
      <c r="BB926" s="635"/>
      <c r="BC926" s="544" t="s">
        <v>4</v>
      </c>
      <c r="BD926" s="545"/>
      <c r="BE926" s="545"/>
      <c r="BF926" s="545"/>
      <c r="BG926" s="545"/>
      <c r="BH926" s="545"/>
      <c r="BI926" s="545"/>
      <c r="BJ926" s="545"/>
      <c r="BK926" s="545"/>
      <c r="BL926" s="545"/>
      <c r="BM926" s="545"/>
      <c r="BN926" s="545"/>
      <c r="BO926" s="545"/>
      <c r="BP926" s="545"/>
      <c r="BQ926" s="545"/>
      <c r="BR926" s="546"/>
      <c r="BS926" s="544" t="s">
        <v>4</v>
      </c>
      <c r="BT926" s="545"/>
      <c r="BU926" s="545"/>
      <c r="BV926" s="545"/>
      <c r="BW926" s="545"/>
      <c r="BX926" s="545"/>
      <c r="BY926" s="545"/>
      <c r="BZ926" s="545"/>
      <c r="CA926" s="545"/>
      <c r="CB926" s="545"/>
      <c r="CC926" s="545"/>
      <c r="CD926" s="545"/>
      <c r="CE926" s="545"/>
      <c r="CF926" s="545"/>
      <c r="CG926" s="545"/>
      <c r="CH926" s="546"/>
      <c r="CI926" s="544"/>
      <c r="CJ926" s="545"/>
      <c r="CK926" s="545"/>
      <c r="CL926" s="545"/>
      <c r="CM926" s="545"/>
      <c r="CN926" s="545"/>
      <c r="CO926" s="545"/>
      <c r="CP926" s="545"/>
      <c r="CQ926" s="545"/>
      <c r="CR926" s="545"/>
      <c r="CS926" s="545"/>
      <c r="CT926" s="545"/>
      <c r="CU926" s="545"/>
      <c r="CV926" s="545"/>
      <c r="CW926" s="545"/>
      <c r="CX926" s="545"/>
      <c r="CY926" s="545"/>
      <c r="CZ926" s="546"/>
    </row>
    <row r="927" spans="1:105" s="20" customFormat="1" ht="13.5" hidden="1" customHeight="1" x14ac:dyDescent="0.25">
      <c r="A927" s="553" t="s">
        <v>56</v>
      </c>
      <c r="B927" s="554"/>
      <c r="C927" s="554"/>
      <c r="D927" s="554"/>
      <c r="E927" s="554"/>
      <c r="F927" s="554"/>
      <c r="G927" s="554"/>
      <c r="H927" s="554"/>
      <c r="I927" s="554"/>
      <c r="J927" s="554"/>
      <c r="K927" s="554"/>
      <c r="L927" s="554"/>
      <c r="M927" s="554"/>
      <c r="N927" s="554"/>
      <c r="O927" s="554"/>
      <c r="P927" s="554"/>
      <c r="Q927" s="554"/>
      <c r="R927" s="554"/>
      <c r="S927" s="554"/>
      <c r="T927" s="554"/>
      <c r="U927" s="554"/>
      <c r="V927" s="554"/>
      <c r="W927" s="554"/>
      <c r="X927" s="554"/>
      <c r="Y927" s="554"/>
      <c r="Z927" s="554"/>
      <c r="AA927" s="554"/>
      <c r="AB927" s="554"/>
      <c r="AC927" s="554"/>
      <c r="AD927" s="554"/>
      <c r="AE927" s="554"/>
      <c r="AF927" s="554"/>
      <c r="AG927" s="554"/>
      <c r="AH927" s="554"/>
      <c r="AI927" s="554"/>
      <c r="AJ927" s="554"/>
      <c r="AK927" s="554"/>
      <c r="AL927" s="554"/>
      <c r="AM927" s="554"/>
      <c r="AN927" s="554"/>
      <c r="AO927" s="554"/>
      <c r="AP927" s="554"/>
      <c r="AQ927" s="554"/>
      <c r="AR927" s="554"/>
      <c r="AS927" s="554"/>
      <c r="AT927" s="554"/>
      <c r="AU927" s="554"/>
      <c r="AV927" s="554"/>
      <c r="AW927" s="554"/>
      <c r="AX927" s="554"/>
      <c r="AY927" s="554"/>
      <c r="AZ927" s="554"/>
      <c r="BA927" s="554"/>
      <c r="BB927" s="555"/>
      <c r="BC927" s="544" t="s">
        <v>4</v>
      </c>
      <c r="BD927" s="545"/>
      <c r="BE927" s="545"/>
      <c r="BF927" s="545"/>
      <c r="BG927" s="545"/>
      <c r="BH927" s="545"/>
      <c r="BI927" s="545"/>
      <c r="BJ927" s="545"/>
      <c r="BK927" s="545"/>
      <c r="BL927" s="545"/>
      <c r="BM927" s="545"/>
      <c r="BN927" s="545"/>
      <c r="BO927" s="545"/>
      <c r="BP927" s="545"/>
      <c r="BQ927" s="545"/>
      <c r="BR927" s="546"/>
      <c r="BS927" s="544" t="s">
        <v>4</v>
      </c>
      <c r="BT927" s="545"/>
      <c r="BU927" s="545"/>
      <c r="BV927" s="545"/>
      <c r="BW927" s="545"/>
      <c r="BX927" s="545"/>
      <c r="BY927" s="545"/>
      <c r="BZ927" s="545"/>
      <c r="CA927" s="545"/>
      <c r="CB927" s="545"/>
      <c r="CC927" s="545"/>
      <c r="CD927" s="545"/>
      <c r="CE927" s="545"/>
      <c r="CF927" s="545"/>
      <c r="CG927" s="545"/>
      <c r="CH927" s="546"/>
      <c r="CI927" s="544"/>
      <c r="CJ927" s="545"/>
      <c r="CK927" s="545"/>
      <c r="CL927" s="545"/>
      <c r="CM927" s="545"/>
      <c r="CN927" s="545"/>
      <c r="CO927" s="545"/>
      <c r="CP927" s="545"/>
      <c r="CQ927" s="545"/>
      <c r="CR927" s="545"/>
      <c r="CS927" s="545"/>
      <c r="CT927" s="545"/>
      <c r="CU927" s="545"/>
      <c r="CV927" s="545"/>
      <c r="CW927" s="545"/>
      <c r="CX927" s="545"/>
      <c r="CY927" s="545"/>
      <c r="CZ927" s="546"/>
    </row>
    <row r="928" spans="1:105" s="20" customFormat="1" ht="13.5" hidden="1" customHeight="1" x14ac:dyDescent="0.25">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c r="AC928" s="222"/>
      <c r="AD928" s="222"/>
      <c r="AE928" s="222"/>
      <c r="AF928" s="222"/>
      <c r="AG928" s="222"/>
      <c r="AH928" s="222"/>
      <c r="AI928" s="222"/>
      <c r="AJ928" s="222"/>
      <c r="AK928" s="222"/>
      <c r="AL928" s="222"/>
      <c r="AM928" s="222"/>
      <c r="AN928" s="222"/>
      <c r="AO928" s="222"/>
      <c r="AP928" s="222"/>
      <c r="AQ928" s="222"/>
      <c r="AR928" s="222"/>
      <c r="AS928" s="222"/>
      <c r="AT928" s="222"/>
      <c r="AU928" s="222"/>
      <c r="AV928" s="222"/>
      <c r="AW928" s="222"/>
      <c r="AX928" s="222"/>
      <c r="AY928" s="222"/>
      <c r="AZ928" s="222"/>
      <c r="BA928" s="222"/>
      <c r="BB928" s="222"/>
      <c r="BC928" s="223"/>
      <c r="BD928" s="223"/>
      <c r="BE928" s="223"/>
      <c r="BF928" s="223"/>
      <c r="BG928" s="223"/>
      <c r="BH928" s="223"/>
      <c r="BI928" s="223"/>
      <c r="BJ928" s="223"/>
      <c r="BK928" s="223"/>
      <c r="BL928" s="223"/>
      <c r="BM928" s="223"/>
      <c r="BN928" s="223"/>
      <c r="BO928" s="223"/>
      <c r="BP928" s="223"/>
      <c r="BQ928" s="223"/>
      <c r="BR928" s="223"/>
      <c r="BS928" s="223"/>
      <c r="BT928" s="223"/>
      <c r="BU928" s="223"/>
      <c r="BV928" s="223"/>
      <c r="BW928" s="223"/>
      <c r="BX928" s="223"/>
      <c r="BY928" s="223"/>
      <c r="BZ928" s="223"/>
      <c r="CA928" s="223"/>
      <c r="CB928" s="223"/>
      <c r="CC928" s="223"/>
      <c r="CD928" s="223"/>
      <c r="CE928" s="223"/>
      <c r="CF928" s="223"/>
      <c r="CG928" s="223"/>
      <c r="CH928" s="223"/>
      <c r="CI928" s="223"/>
      <c r="CJ928" s="223"/>
      <c r="CK928" s="223"/>
      <c r="CL928" s="223"/>
      <c r="CM928" s="223"/>
      <c r="CN928" s="223"/>
      <c r="CO928" s="223"/>
      <c r="CP928" s="223"/>
      <c r="CQ928" s="223"/>
      <c r="CR928" s="223"/>
      <c r="CS928" s="223"/>
      <c r="CT928" s="223"/>
      <c r="CU928" s="223"/>
      <c r="CV928" s="223"/>
      <c r="CW928" s="223"/>
      <c r="CX928" s="223"/>
      <c r="CY928" s="223"/>
      <c r="CZ928" s="223"/>
    </row>
    <row r="929" spans="1:111" s="20" customFormat="1" ht="13.5" hidden="1" customHeight="1" x14ac:dyDescent="0.25">
      <c r="A929" s="524" t="s">
        <v>367</v>
      </c>
      <c r="B929" s="524"/>
      <c r="C929" s="524"/>
      <c r="D929" s="524"/>
      <c r="E929" s="524"/>
      <c r="F929" s="524"/>
      <c r="G929" s="524"/>
      <c r="H929" s="524"/>
      <c r="I929" s="524"/>
      <c r="J929" s="524"/>
      <c r="K929" s="524"/>
      <c r="L929" s="524"/>
      <c r="M929" s="524"/>
      <c r="N929" s="524"/>
      <c r="O929" s="524"/>
      <c r="P929" s="524"/>
      <c r="Q929" s="524"/>
      <c r="R929" s="524"/>
      <c r="S929" s="524"/>
      <c r="T929" s="524"/>
      <c r="U929" s="524"/>
      <c r="V929" s="524"/>
      <c r="W929" s="524"/>
      <c r="X929" s="524"/>
      <c r="Y929" s="524"/>
      <c r="Z929" s="524"/>
      <c r="AA929" s="524"/>
      <c r="AB929" s="524"/>
      <c r="AC929" s="524"/>
      <c r="AD929" s="524"/>
      <c r="AE929" s="524"/>
      <c r="AF929" s="524"/>
      <c r="AG929" s="524"/>
      <c r="AH929" s="524"/>
      <c r="AI929" s="524"/>
      <c r="AJ929" s="524"/>
      <c r="AK929" s="524"/>
      <c r="AL929" s="524"/>
      <c r="AM929" s="524"/>
      <c r="AN929" s="524"/>
      <c r="AO929" s="524"/>
      <c r="AP929" s="524"/>
      <c r="AQ929" s="524"/>
      <c r="AR929" s="524"/>
      <c r="AS929" s="524"/>
      <c r="AT929" s="524"/>
      <c r="AU929" s="524"/>
      <c r="AV929" s="524"/>
      <c r="AW929" s="524"/>
      <c r="AX929" s="524"/>
      <c r="AY929" s="524"/>
      <c r="AZ929" s="524"/>
      <c r="BA929" s="524"/>
      <c r="BB929" s="524"/>
      <c r="BC929" s="524"/>
      <c r="BD929" s="524"/>
      <c r="BE929" s="524"/>
      <c r="BF929" s="524"/>
      <c r="BG929" s="524"/>
      <c r="BH929" s="524"/>
      <c r="BI929" s="524"/>
      <c r="BJ929" s="524"/>
      <c r="BK929" s="524"/>
      <c r="BL929" s="524"/>
      <c r="BM929" s="524"/>
      <c r="BN929" s="524"/>
      <c r="BO929" s="524"/>
      <c r="BP929" s="524"/>
      <c r="BQ929" s="524"/>
      <c r="BR929" s="524"/>
      <c r="BS929" s="524"/>
      <c r="BT929" s="524"/>
      <c r="BU929" s="524"/>
      <c r="BV929" s="524"/>
      <c r="BW929" s="524"/>
      <c r="BX929" s="524"/>
      <c r="BY929" s="524"/>
      <c r="BZ929" s="524"/>
      <c r="CA929" s="524"/>
      <c r="CB929" s="524"/>
      <c r="CC929" s="524"/>
      <c r="CD929" s="524"/>
      <c r="CE929" s="524"/>
      <c r="CF929" s="524"/>
      <c r="CG929" s="524"/>
      <c r="CH929" s="524"/>
      <c r="CI929" s="524"/>
      <c r="CJ929" s="524"/>
      <c r="CK929" s="524"/>
      <c r="CL929" s="524"/>
      <c r="CM929" s="524"/>
      <c r="CN929" s="524"/>
      <c r="CO929" s="524"/>
      <c r="CP929" s="524"/>
      <c r="CQ929" s="524"/>
      <c r="CR929" s="524"/>
      <c r="CS929" s="524"/>
      <c r="CT929" s="524"/>
      <c r="CU929" s="524"/>
      <c r="CV929" s="524"/>
      <c r="CW929" s="524"/>
      <c r="CX929" s="524"/>
      <c r="CY929" s="524"/>
      <c r="CZ929" s="524"/>
    </row>
    <row r="930" spans="1:111" s="20" customFormat="1" ht="13.5" hidden="1"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c r="CT930" s="43"/>
      <c r="CU930" s="43"/>
      <c r="CV930" s="43"/>
      <c r="CW930" s="43"/>
      <c r="CX930" s="43"/>
      <c r="CY930" s="43"/>
      <c r="CZ930" s="43"/>
    </row>
    <row r="931" spans="1:111" s="20" customFormat="1" ht="13.5" hidden="1" customHeight="1" x14ac:dyDescent="0.25">
      <c r="A931" s="524" t="s">
        <v>264</v>
      </c>
      <c r="B931" s="524"/>
      <c r="C931" s="524"/>
      <c r="D931" s="524"/>
      <c r="E931" s="524"/>
      <c r="F931" s="524"/>
      <c r="G931" s="524"/>
      <c r="H931" s="524"/>
      <c r="I931" s="524"/>
      <c r="J931" s="524"/>
      <c r="K931" s="524"/>
      <c r="L931" s="524"/>
      <c r="M931" s="524"/>
      <c r="N931" s="524"/>
      <c r="O931" s="524"/>
      <c r="P931" s="524"/>
      <c r="Q931" s="524"/>
      <c r="R931" s="524"/>
      <c r="S931" s="524"/>
      <c r="T931" s="524"/>
      <c r="U931" s="524"/>
      <c r="V931" s="524"/>
      <c r="W931" s="524"/>
      <c r="X931" s="524"/>
      <c r="Y931" s="524"/>
      <c r="Z931" s="524"/>
      <c r="AA931" s="524"/>
      <c r="AB931" s="524"/>
      <c r="AC931" s="524"/>
      <c r="AD931" s="524"/>
      <c r="AE931" s="524"/>
      <c r="AF931" s="524"/>
      <c r="AG931" s="524"/>
      <c r="AH931" s="524"/>
      <c r="AI931" s="524"/>
      <c r="AJ931" s="524"/>
      <c r="AK931" s="524"/>
      <c r="AL931" s="524"/>
      <c r="AM931" s="524"/>
      <c r="AN931" s="524"/>
      <c r="AO931" s="524"/>
      <c r="AP931" s="524"/>
      <c r="AQ931" s="524"/>
      <c r="AR931" s="524"/>
      <c r="AS931" s="524"/>
      <c r="AT931" s="524"/>
      <c r="AU931" s="524"/>
      <c r="AV931" s="524"/>
      <c r="AW931" s="524"/>
      <c r="AX931" s="524"/>
      <c r="AY931" s="524"/>
      <c r="AZ931" s="524"/>
      <c r="BA931" s="524"/>
      <c r="BB931" s="524"/>
      <c r="BC931" s="247"/>
      <c r="BD931" s="247"/>
      <c r="BE931" s="247"/>
      <c r="BF931" s="247"/>
      <c r="BG931" s="247"/>
      <c r="BH931" s="247"/>
      <c r="BI931" s="247"/>
      <c r="BJ931" s="247"/>
      <c r="BK931" s="247"/>
      <c r="BL931" s="247"/>
      <c r="BM931" s="247"/>
      <c r="BN931" s="247"/>
      <c r="BO931" s="247"/>
      <c r="BP931" s="247"/>
      <c r="BQ931" s="247"/>
      <c r="BR931" s="247"/>
      <c r="BS931" s="247"/>
      <c r="BT931" s="247"/>
      <c r="BU931" s="247"/>
      <c r="BV931" s="247"/>
      <c r="BW931" s="247"/>
      <c r="BX931" s="247"/>
      <c r="BY931" s="247"/>
      <c r="BZ931" s="247"/>
      <c r="CA931" s="247"/>
      <c r="CB931" s="247"/>
      <c r="CC931" s="247"/>
      <c r="CD931" s="247"/>
      <c r="CE931" s="247"/>
      <c r="CF931" s="247"/>
      <c r="CG931" s="247"/>
      <c r="CH931" s="247"/>
      <c r="CI931" s="247"/>
      <c r="CJ931" s="247"/>
      <c r="CK931" s="247"/>
      <c r="CL931" s="247"/>
      <c r="CM931" s="247"/>
      <c r="CN931" s="247"/>
      <c r="CO931" s="247"/>
      <c r="CP931" s="247"/>
      <c r="CQ931" s="247"/>
      <c r="CR931" s="247"/>
      <c r="CS931" s="247"/>
      <c r="CT931" s="247"/>
      <c r="CU931" s="247"/>
      <c r="CV931" s="247"/>
      <c r="CW931" s="247"/>
      <c r="CX931" s="247"/>
      <c r="CY931" s="247"/>
      <c r="CZ931" s="247"/>
    </row>
    <row r="932" spans="1:111" s="20" customFormat="1" ht="13.5" hidden="1" customHeight="1" x14ac:dyDescent="0.25">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c r="CM932" s="14"/>
      <c r="CN932" s="14"/>
      <c r="CO932" s="14"/>
      <c r="CP932" s="14"/>
      <c r="CQ932" s="14"/>
      <c r="CR932" s="14"/>
      <c r="CS932" s="14"/>
      <c r="CT932" s="14"/>
      <c r="CU932" s="14"/>
      <c r="CV932" s="14"/>
      <c r="CW932" s="14"/>
      <c r="CX932" s="14"/>
      <c r="CY932" s="14"/>
      <c r="CZ932" s="14"/>
    </row>
    <row r="933" spans="1:111" s="20" customFormat="1" ht="13.5" hidden="1" customHeight="1" x14ac:dyDescent="0.25">
      <c r="A933" s="475" t="s">
        <v>49</v>
      </c>
      <c r="B933" s="476"/>
      <c r="C933" s="476"/>
      <c r="D933" s="476"/>
      <c r="E933" s="476"/>
      <c r="F933" s="476"/>
      <c r="G933" s="477"/>
      <c r="H933" s="475" t="s">
        <v>0</v>
      </c>
      <c r="I933" s="476"/>
      <c r="J933" s="476"/>
      <c r="K933" s="476"/>
      <c r="L933" s="476"/>
      <c r="M933" s="476"/>
      <c r="N933" s="476"/>
      <c r="O933" s="476"/>
      <c r="P933" s="476"/>
      <c r="Q933" s="476"/>
      <c r="R933" s="476"/>
      <c r="S933" s="476"/>
      <c r="T933" s="476"/>
      <c r="U933" s="476"/>
      <c r="V933" s="476"/>
      <c r="W933" s="476"/>
      <c r="X933" s="476"/>
      <c r="Y933" s="476"/>
      <c r="Z933" s="476"/>
      <c r="AA933" s="476"/>
      <c r="AB933" s="476"/>
      <c r="AC933" s="476"/>
      <c r="AD933" s="476"/>
      <c r="AE933" s="476"/>
      <c r="AF933" s="476"/>
      <c r="AG933" s="476"/>
      <c r="AH933" s="476"/>
      <c r="AI933" s="476"/>
      <c r="AJ933" s="476"/>
      <c r="AK933" s="476"/>
      <c r="AL933" s="476"/>
      <c r="AM933" s="476"/>
      <c r="AN933" s="476"/>
      <c r="AO933" s="476"/>
      <c r="AP933" s="476"/>
      <c r="AQ933" s="476"/>
      <c r="AR933" s="476"/>
      <c r="AS933" s="476"/>
      <c r="AT933" s="476"/>
      <c r="AU933" s="476"/>
      <c r="AV933" s="476"/>
      <c r="AW933" s="476"/>
      <c r="AX933" s="476"/>
      <c r="AY933" s="476"/>
      <c r="AZ933" s="476"/>
      <c r="BA933" s="476"/>
      <c r="BB933" s="477"/>
      <c r="BC933" s="475" t="s">
        <v>265</v>
      </c>
      <c r="BD933" s="476"/>
      <c r="BE933" s="476"/>
      <c r="BF933" s="476"/>
      <c r="BG933" s="476"/>
      <c r="BH933" s="476"/>
      <c r="BI933" s="476"/>
      <c r="BJ933" s="476"/>
      <c r="BK933" s="476"/>
      <c r="BL933" s="476"/>
      <c r="BM933" s="476"/>
      <c r="BN933" s="476"/>
      <c r="BO933" s="476"/>
      <c r="BP933" s="476"/>
      <c r="BQ933" s="476"/>
      <c r="BR933" s="476"/>
      <c r="BS933" s="476"/>
      <c r="BT933" s="476"/>
      <c r="BU933" s="476"/>
      <c r="BV933" s="476"/>
      <c r="BW933" s="476"/>
      <c r="BX933" s="476"/>
      <c r="BY933" s="476"/>
      <c r="BZ933" s="476"/>
      <c r="CA933" s="476"/>
      <c r="CB933" s="476"/>
      <c r="CC933" s="476"/>
      <c r="CD933" s="476"/>
      <c r="CE933" s="476"/>
      <c r="CF933" s="476"/>
      <c r="CG933" s="476"/>
      <c r="CH933" s="476"/>
      <c r="CI933" s="476"/>
      <c r="CJ933" s="476"/>
      <c r="CK933" s="476"/>
      <c r="CL933" s="476"/>
      <c r="CM933" s="476"/>
      <c r="CN933" s="476"/>
      <c r="CO933" s="476"/>
      <c r="CP933" s="476"/>
      <c r="CQ933" s="476"/>
      <c r="CR933" s="476"/>
      <c r="CS933" s="476"/>
      <c r="CT933" s="476"/>
      <c r="CU933" s="476"/>
      <c r="CV933" s="476"/>
      <c r="CW933" s="476"/>
      <c r="CX933" s="476"/>
      <c r="CY933" s="476"/>
      <c r="CZ933" s="477"/>
    </row>
    <row r="934" spans="1:111" s="20" customFormat="1" ht="13.5" hidden="1" customHeight="1" x14ac:dyDescent="0.25">
      <c r="A934" s="661">
        <v>1</v>
      </c>
      <c r="B934" s="662"/>
      <c r="C934" s="662"/>
      <c r="D934" s="662"/>
      <c r="E934" s="662"/>
      <c r="F934" s="662"/>
      <c r="G934" s="663"/>
      <c r="H934" s="661">
        <v>2</v>
      </c>
      <c r="I934" s="662"/>
      <c r="J934" s="662"/>
      <c r="K934" s="662"/>
      <c r="L934" s="662"/>
      <c r="M934" s="662"/>
      <c r="N934" s="662"/>
      <c r="O934" s="662"/>
      <c r="P934" s="662"/>
      <c r="Q934" s="662"/>
      <c r="R934" s="662"/>
      <c r="S934" s="662"/>
      <c r="T934" s="662"/>
      <c r="U934" s="662"/>
      <c r="V934" s="662"/>
      <c r="W934" s="662"/>
      <c r="X934" s="662"/>
      <c r="Y934" s="662"/>
      <c r="Z934" s="662"/>
      <c r="AA934" s="662"/>
      <c r="AB934" s="662"/>
      <c r="AC934" s="662"/>
      <c r="AD934" s="662"/>
      <c r="AE934" s="662"/>
      <c r="AF934" s="662"/>
      <c r="AG934" s="662"/>
      <c r="AH934" s="662"/>
      <c r="AI934" s="662"/>
      <c r="AJ934" s="662"/>
      <c r="AK934" s="662"/>
      <c r="AL934" s="662"/>
      <c r="AM934" s="662"/>
      <c r="AN934" s="662"/>
      <c r="AO934" s="662"/>
      <c r="AP934" s="662"/>
      <c r="AQ934" s="662"/>
      <c r="AR934" s="662"/>
      <c r="AS934" s="662"/>
      <c r="AT934" s="662"/>
      <c r="AU934" s="662"/>
      <c r="AV934" s="662"/>
      <c r="AW934" s="662"/>
      <c r="AX934" s="662"/>
      <c r="AY934" s="662"/>
      <c r="AZ934" s="662"/>
      <c r="BA934" s="662"/>
      <c r="BB934" s="663"/>
      <c r="BC934" s="661">
        <v>3</v>
      </c>
      <c r="BD934" s="662"/>
      <c r="BE934" s="662"/>
      <c r="BF934" s="662"/>
      <c r="BG934" s="662"/>
      <c r="BH934" s="662"/>
      <c r="BI934" s="662"/>
      <c r="BJ934" s="662"/>
      <c r="BK934" s="662"/>
      <c r="BL934" s="662"/>
      <c r="BM934" s="662"/>
      <c r="BN934" s="662"/>
      <c r="BO934" s="662"/>
      <c r="BP934" s="662"/>
      <c r="BQ934" s="662"/>
      <c r="BR934" s="662"/>
      <c r="BS934" s="662"/>
      <c r="BT934" s="662"/>
      <c r="BU934" s="662"/>
      <c r="BV934" s="662"/>
      <c r="BW934" s="662"/>
      <c r="BX934" s="662"/>
      <c r="BY934" s="662"/>
      <c r="BZ934" s="662"/>
      <c r="CA934" s="662"/>
      <c r="CB934" s="662"/>
      <c r="CC934" s="662"/>
      <c r="CD934" s="662"/>
      <c r="CE934" s="662"/>
      <c r="CF934" s="662"/>
      <c r="CG934" s="662"/>
      <c r="CH934" s="662"/>
      <c r="CI934" s="662"/>
      <c r="CJ934" s="662"/>
      <c r="CK934" s="662"/>
      <c r="CL934" s="662"/>
      <c r="CM934" s="662"/>
      <c r="CN934" s="662"/>
      <c r="CO934" s="662"/>
      <c r="CP934" s="662"/>
      <c r="CQ934" s="662"/>
      <c r="CR934" s="662"/>
      <c r="CS934" s="662"/>
      <c r="CT934" s="662"/>
      <c r="CU934" s="662"/>
      <c r="CV934" s="662"/>
      <c r="CW934" s="662"/>
      <c r="CX934" s="662"/>
      <c r="CY934" s="662"/>
      <c r="CZ934" s="663"/>
    </row>
    <row r="935" spans="1:111" s="20" customFormat="1" ht="13.5" hidden="1" customHeight="1" x14ac:dyDescent="0.25">
      <c r="A935" s="648" t="s">
        <v>258</v>
      </c>
      <c r="B935" s="649"/>
      <c r="C935" s="649"/>
      <c r="D935" s="649"/>
      <c r="E935" s="649"/>
      <c r="F935" s="649"/>
      <c r="G935" s="649"/>
      <c r="H935" s="649"/>
      <c r="I935" s="649"/>
      <c r="J935" s="649"/>
      <c r="K935" s="649"/>
      <c r="L935" s="649"/>
      <c r="M935" s="649"/>
      <c r="N935" s="649"/>
      <c r="O935" s="649"/>
      <c r="P935" s="649"/>
      <c r="Q935" s="649"/>
      <c r="R935" s="649"/>
      <c r="S935" s="649"/>
      <c r="T935" s="649"/>
      <c r="U935" s="649"/>
      <c r="V935" s="649"/>
      <c r="W935" s="649"/>
      <c r="X935" s="649"/>
      <c r="Y935" s="649"/>
      <c r="Z935" s="649"/>
      <c r="AA935" s="649"/>
      <c r="AB935" s="649"/>
      <c r="AC935" s="649"/>
      <c r="AD935" s="649"/>
      <c r="AE935" s="649"/>
      <c r="AF935" s="649"/>
      <c r="AG935" s="649"/>
      <c r="AH935" s="649"/>
      <c r="AI935" s="649"/>
      <c r="AJ935" s="649"/>
      <c r="AK935" s="649"/>
      <c r="AL935" s="649"/>
      <c r="AM935" s="649"/>
      <c r="AN935" s="649"/>
      <c r="AO935" s="649"/>
      <c r="AP935" s="649"/>
      <c r="AQ935" s="649"/>
      <c r="AR935" s="649"/>
      <c r="AS935" s="649"/>
      <c r="AT935" s="649"/>
      <c r="AU935" s="649"/>
      <c r="AV935" s="649"/>
      <c r="AW935" s="649"/>
      <c r="AX935" s="649"/>
      <c r="AY935" s="649"/>
      <c r="AZ935" s="649"/>
      <c r="BA935" s="649"/>
      <c r="BB935" s="649"/>
      <c r="BC935" s="649"/>
      <c r="BD935" s="649"/>
      <c r="BE935" s="649"/>
      <c r="BF935" s="649"/>
      <c r="BG935" s="649"/>
      <c r="BH935" s="649"/>
      <c r="BI935" s="649"/>
      <c r="BJ935" s="649"/>
      <c r="BK935" s="649"/>
      <c r="BL935" s="649"/>
      <c r="BM935" s="649"/>
      <c r="BN935" s="649"/>
      <c r="BO935" s="649"/>
      <c r="BP935" s="649"/>
      <c r="BQ935" s="649"/>
      <c r="BR935" s="649"/>
      <c r="BS935" s="649"/>
      <c r="BT935" s="649"/>
      <c r="BU935" s="649"/>
      <c r="BV935" s="649"/>
      <c r="BW935" s="649"/>
      <c r="BX935" s="649"/>
      <c r="BY935" s="649"/>
      <c r="BZ935" s="649"/>
      <c r="CA935" s="649"/>
      <c r="CB935" s="649"/>
      <c r="CC935" s="649"/>
      <c r="CD935" s="649"/>
      <c r="CE935" s="649"/>
      <c r="CF935" s="649"/>
      <c r="CG935" s="649"/>
      <c r="CH935" s="649"/>
      <c r="CI935" s="649"/>
      <c r="CJ935" s="649"/>
      <c r="CK935" s="649"/>
      <c r="CL935" s="649"/>
      <c r="CM935" s="649"/>
      <c r="CN935" s="649"/>
      <c r="CO935" s="649"/>
      <c r="CP935" s="649"/>
      <c r="CQ935" s="649"/>
      <c r="CR935" s="649"/>
      <c r="CS935" s="649"/>
      <c r="CT935" s="649"/>
      <c r="CU935" s="649"/>
      <c r="CV935" s="649"/>
      <c r="CW935" s="649"/>
      <c r="CX935" s="649"/>
      <c r="CY935" s="649"/>
      <c r="CZ935" s="649"/>
    </row>
    <row r="936" spans="1:111" s="20" customFormat="1" ht="13.5" hidden="1" customHeight="1" x14ac:dyDescent="0.25">
      <c r="A936" s="630"/>
      <c r="B936" s="631"/>
      <c r="C936" s="631"/>
      <c r="D936" s="631"/>
      <c r="E936" s="631"/>
      <c r="F936" s="631"/>
      <c r="G936" s="632"/>
      <c r="H936" s="584"/>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5"/>
      <c r="AL936" s="585"/>
      <c r="AM936" s="585"/>
      <c r="AN936" s="585"/>
      <c r="AO936" s="585"/>
      <c r="AP936" s="585"/>
      <c r="AQ936" s="585"/>
      <c r="AR936" s="585"/>
      <c r="AS936" s="585"/>
      <c r="AT936" s="585"/>
      <c r="AU936" s="585"/>
      <c r="AV936" s="585"/>
      <c r="AW936" s="585"/>
      <c r="AX936" s="585"/>
      <c r="AY936" s="585"/>
      <c r="AZ936" s="585"/>
      <c r="BA936" s="585"/>
      <c r="BB936" s="586"/>
      <c r="BC936" s="544"/>
      <c r="BD936" s="545"/>
      <c r="BE936" s="545"/>
      <c r="BF936" s="545"/>
      <c r="BG936" s="545"/>
      <c r="BH936" s="545"/>
      <c r="BI936" s="545"/>
      <c r="BJ936" s="545"/>
      <c r="BK936" s="545"/>
      <c r="BL936" s="545"/>
      <c r="BM936" s="545"/>
      <c r="BN936" s="545"/>
      <c r="BO936" s="545"/>
      <c r="BP936" s="545"/>
      <c r="BQ936" s="545"/>
      <c r="BR936" s="545"/>
      <c r="BS936" s="545"/>
      <c r="BT936" s="545"/>
      <c r="BU936" s="545"/>
      <c r="BV936" s="545"/>
      <c r="BW936" s="545"/>
      <c r="BX936" s="545"/>
      <c r="BY936" s="545"/>
      <c r="BZ936" s="545"/>
      <c r="CA936" s="545"/>
      <c r="CB936" s="545"/>
      <c r="CC936" s="545"/>
      <c r="CD936" s="545"/>
      <c r="CE936" s="545"/>
      <c r="CF936" s="545"/>
      <c r="CG936" s="545"/>
      <c r="CH936" s="545"/>
      <c r="CI936" s="545"/>
      <c r="CJ936" s="545"/>
      <c r="CK936" s="545"/>
      <c r="CL936" s="545"/>
      <c r="CM936" s="545"/>
      <c r="CN936" s="545"/>
      <c r="CO936" s="545"/>
      <c r="CP936" s="545"/>
      <c r="CQ936" s="545"/>
      <c r="CR936" s="545"/>
      <c r="CS936" s="545"/>
      <c r="CT936" s="545"/>
      <c r="CU936" s="545"/>
      <c r="CV936" s="545"/>
      <c r="CW936" s="545"/>
      <c r="CX936" s="545"/>
      <c r="CY936" s="545"/>
      <c r="CZ936" s="546"/>
    </row>
    <row r="937" spans="1:111" s="20" customFormat="1" ht="13.5" hidden="1" customHeight="1" x14ac:dyDescent="0.25">
      <c r="A937" s="633" t="s">
        <v>292</v>
      </c>
      <c r="B937" s="634"/>
      <c r="C937" s="634"/>
      <c r="D937" s="634"/>
      <c r="E937" s="634"/>
      <c r="F937" s="634"/>
      <c r="G937" s="634"/>
      <c r="H937" s="634"/>
      <c r="I937" s="634"/>
      <c r="J937" s="634"/>
      <c r="K937" s="634"/>
      <c r="L937" s="634"/>
      <c r="M937" s="634"/>
      <c r="N937" s="634"/>
      <c r="O937" s="634"/>
      <c r="P937" s="634"/>
      <c r="Q937" s="634"/>
      <c r="R937" s="634"/>
      <c r="S937" s="634"/>
      <c r="T937" s="634"/>
      <c r="U937" s="634"/>
      <c r="V937" s="634"/>
      <c r="W937" s="634"/>
      <c r="X937" s="634"/>
      <c r="Y937" s="634"/>
      <c r="Z937" s="634"/>
      <c r="AA937" s="634"/>
      <c r="AB937" s="634"/>
      <c r="AC937" s="634"/>
      <c r="AD937" s="634"/>
      <c r="AE937" s="634"/>
      <c r="AF937" s="634"/>
      <c r="AG937" s="634"/>
      <c r="AH937" s="634"/>
      <c r="AI937" s="634"/>
      <c r="AJ937" s="634"/>
      <c r="AK937" s="634"/>
      <c r="AL937" s="634"/>
      <c r="AM937" s="634"/>
      <c r="AN937" s="634"/>
      <c r="AO937" s="634"/>
      <c r="AP937" s="634"/>
      <c r="AQ937" s="634"/>
      <c r="AR937" s="634"/>
      <c r="AS937" s="634"/>
      <c r="AT937" s="634"/>
      <c r="AU937" s="634"/>
      <c r="AV937" s="634"/>
      <c r="AW937" s="634"/>
      <c r="AX937" s="634"/>
      <c r="AY937" s="634"/>
      <c r="AZ937" s="634"/>
      <c r="BA937" s="634"/>
      <c r="BB937" s="635"/>
      <c r="BC937" s="544"/>
      <c r="BD937" s="545"/>
      <c r="BE937" s="545"/>
      <c r="BF937" s="545"/>
      <c r="BG937" s="545"/>
      <c r="BH937" s="545"/>
      <c r="BI937" s="545"/>
      <c r="BJ937" s="545"/>
      <c r="BK937" s="545"/>
      <c r="BL937" s="545"/>
      <c r="BM937" s="545"/>
      <c r="BN937" s="545"/>
      <c r="BO937" s="545"/>
      <c r="BP937" s="545"/>
      <c r="BQ937" s="545"/>
      <c r="BR937" s="545"/>
      <c r="BS937" s="545"/>
      <c r="BT937" s="545"/>
      <c r="BU937" s="545"/>
      <c r="BV937" s="545"/>
      <c r="BW937" s="545"/>
      <c r="BX937" s="545"/>
      <c r="BY937" s="545"/>
      <c r="BZ937" s="545"/>
      <c r="CA937" s="545"/>
      <c r="CB937" s="545"/>
      <c r="CC937" s="545"/>
      <c r="CD937" s="545"/>
      <c r="CE937" s="545"/>
      <c r="CF937" s="545"/>
      <c r="CG937" s="545"/>
      <c r="CH937" s="545"/>
      <c r="CI937" s="545"/>
      <c r="CJ937" s="545"/>
      <c r="CK937" s="545"/>
      <c r="CL937" s="545"/>
      <c r="CM937" s="545"/>
      <c r="CN937" s="545"/>
      <c r="CO937" s="545"/>
      <c r="CP937" s="545"/>
      <c r="CQ937" s="545"/>
      <c r="CR937" s="545"/>
      <c r="CS937" s="545"/>
      <c r="CT937" s="545"/>
      <c r="CU937" s="545"/>
      <c r="CV937" s="545"/>
      <c r="CW937" s="545"/>
      <c r="CX937" s="545"/>
      <c r="CY937" s="545"/>
      <c r="CZ937" s="546"/>
    </row>
    <row r="938" spans="1:111" s="20" customFormat="1" ht="13.5" hidden="1" customHeight="1" x14ac:dyDescent="0.25">
      <c r="A938" s="648" t="s">
        <v>258</v>
      </c>
      <c r="B938" s="649"/>
      <c r="C938" s="649"/>
      <c r="D938" s="649"/>
      <c r="E938" s="649"/>
      <c r="F938" s="649"/>
      <c r="G938" s="649"/>
      <c r="H938" s="649"/>
      <c r="I938" s="649"/>
      <c r="J938" s="649"/>
      <c r="K938" s="649"/>
      <c r="L938" s="649"/>
      <c r="M938" s="649"/>
      <c r="N938" s="649"/>
      <c r="O938" s="649"/>
      <c r="P938" s="649"/>
      <c r="Q938" s="649"/>
      <c r="R938" s="649"/>
      <c r="S938" s="649"/>
      <c r="T938" s="649"/>
      <c r="U938" s="649"/>
      <c r="V938" s="649"/>
      <c r="W938" s="649"/>
      <c r="X938" s="649"/>
      <c r="Y938" s="649"/>
      <c r="Z938" s="649"/>
      <c r="AA938" s="649"/>
      <c r="AB938" s="649"/>
      <c r="AC938" s="649"/>
      <c r="AD938" s="649"/>
      <c r="AE938" s="649"/>
      <c r="AF938" s="649"/>
      <c r="AG938" s="649"/>
      <c r="AH938" s="649"/>
      <c r="AI938" s="649"/>
      <c r="AJ938" s="649"/>
      <c r="AK938" s="649"/>
      <c r="AL938" s="649"/>
      <c r="AM938" s="649"/>
      <c r="AN938" s="649"/>
      <c r="AO938" s="649"/>
      <c r="AP938" s="649"/>
      <c r="AQ938" s="649"/>
      <c r="AR938" s="649"/>
      <c r="AS938" s="649"/>
      <c r="AT938" s="649"/>
      <c r="AU938" s="649"/>
      <c r="AV938" s="649"/>
      <c r="AW938" s="649"/>
      <c r="AX938" s="649"/>
      <c r="AY938" s="649"/>
      <c r="AZ938" s="649"/>
      <c r="BA938" s="649"/>
      <c r="BB938" s="649"/>
      <c r="BC938" s="649"/>
      <c r="BD938" s="649"/>
      <c r="BE938" s="649"/>
      <c r="BF938" s="649"/>
      <c r="BG938" s="649"/>
      <c r="BH938" s="649"/>
      <c r="BI938" s="649"/>
      <c r="BJ938" s="649"/>
      <c r="BK938" s="649"/>
      <c r="BL938" s="649"/>
      <c r="BM938" s="649"/>
      <c r="BN938" s="649"/>
      <c r="BO938" s="649"/>
      <c r="BP938" s="649"/>
      <c r="BQ938" s="649"/>
      <c r="BR938" s="649"/>
      <c r="BS938" s="649"/>
      <c r="BT938" s="649"/>
      <c r="BU938" s="649"/>
      <c r="BV938" s="649"/>
      <c r="BW938" s="649"/>
      <c r="BX938" s="649"/>
      <c r="BY938" s="649"/>
      <c r="BZ938" s="649"/>
      <c r="CA938" s="649"/>
      <c r="CB938" s="649"/>
      <c r="CC938" s="649"/>
      <c r="CD938" s="649"/>
      <c r="CE938" s="649"/>
      <c r="CF938" s="649"/>
      <c r="CG938" s="649"/>
      <c r="CH938" s="649"/>
      <c r="CI938" s="649"/>
      <c r="CJ938" s="649"/>
      <c r="CK938" s="649"/>
      <c r="CL938" s="649"/>
      <c r="CM938" s="649"/>
      <c r="CN938" s="649"/>
      <c r="CO938" s="649"/>
      <c r="CP938" s="649"/>
      <c r="CQ938" s="649"/>
      <c r="CR938" s="649"/>
      <c r="CS938" s="649"/>
      <c r="CT938" s="649"/>
      <c r="CU938" s="649"/>
      <c r="CV938" s="649"/>
      <c r="CW938" s="649"/>
      <c r="CX938" s="649"/>
      <c r="CY938" s="649"/>
      <c r="CZ938" s="649"/>
    </row>
    <row r="939" spans="1:111" s="20" customFormat="1" ht="13.5" hidden="1" customHeight="1" x14ac:dyDescent="0.25">
      <c r="A939" s="630"/>
      <c r="B939" s="631"/>
      <c r="C939" s="631"/>
      <c r="D939" s="631"/>
      <c r="E939" s="631"/>
      <c r="F939" s="631"/>
      <c r="G939" s="632"/>
      <c r="H939" s="584"/>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5"/>
      <c r="AL939" s="585"/>
      <c r="AM939" s="585"/>
      <c r="AN939" s="585"/>
      <c r="AO939" s="585"/>
      <c r="AP939" s="585"/>
      <c r="AQ939" s="585"/>
      <c r="AR939" s="585"/>
      <c r="AS939" s="585"/>
      <c r="AT939" s="585"/>
      <c r="AU939" s="585"/>
      <c r="AV939" s="585"/>
      <c r="AW939" s="585"/>
      <c r="AX939" s="585"/>
      <c r="AY939" s="585"/>
      <c r="AZ939" s="585"/>
      <c r="BA939" s="585"/>
      <c r="BB939" s="586"/>
      <c r="BC939" s="544"/>
      <c r="BD939" s="545"/>
      <c r="BE939" s="545"/>
      <c r="BF939" s="545"/>
      <c r="BG939" s="545"/>
      <c r="BH939" s="545"/>
      <c r="BI939" s="545"/>
      <c r="BJ939" s="545"/>
      <c r="BK939" s="545"/>
      <c r="BL939" s="545"/>
      <c r="BM939" s="545"/>
      <c r="BN939" s="545"/>
      <c r="BO939" s="545"/>
      <c r="BP939" s="545"/>
      <c r="BQ939" s="545"/>
      <c r="BR939" s="545"/>
      <c r="BS939" s="545"/>
      <c r="BT939" s="545"/>
      <c r="BU939" s="545"/>
      <c r="BV939" s="545"/>
      <c r="BW939" s="545"/>
      <c r="BX939" s="545"/>
      <c r="BY939" s="545"/>
      <c r="BZ939" s="545"/>
      <c r="CA939" s="545"/>
      <c r="CB939" s="545"/>
      <c r="CC939" s="545"/>
      <c r="CD939" s="545"/>
      <c r="CE939" s="545"/>
      <c r="CF939" s="545"/>
      <c r="CG939" s="545"/>
      <c r="CH939" s="545"/>
      <c r="CI939" s="545"/>
      <c r="CJ939" s="545"/>
      <c r="CK939" s="545"/>
      <c r="CL939" s="545"/>
      <c r="CM939" s="545"/>
      <c r="CN939" s="545"/>
      <c r="CO939" s="545"/>
      <c r="CP939" s="545"/>
      <c r="CQ939" s="545"/>
      <c r="CR939" s="545"/>
      <c r="CS939" s="545"/>
      <c r="CT939" s="545"/>
      <c r="CU939" s="545"/>
      <c r="CV939" s="545"/>
      <c r="CW939" s="545"/>
      <c r="CX939" s="545"/>
      <c r="CY939" s="545"/>
      <c r="CZ939" s="546"/>
    </row>
    <row r="940" spans="1:111" s="20" customFormat="1" ht="13.5" hidden="1" customHeight="1" x14ac:dyDescent="0.25">
      <c r="A940" s="633" t="s">
        <v>292</v>
      </c>
      <c r="B940" s="634"/>
      <c r="C940" s="634"/>
      <c r="D940" s="634"/>
      <c r="E940" s="634"/>
      <c r="F940" s="634"/>
      <c r="G940" s="634"/>
      <c r="H940" s="634"/>
      <c r="I940" s="634"/>
      <c r="J940" s="634"/>
      <c r="K940" s="634"/>
      <c r="L940" s="634"/>
      <c r="M940" s="634"/>
      <c r="N940" s="634"/>
      <c r="O940" s="634"/>
      <c r="P940" s="634"/>
      <c r="Q940" s="634"/>
      <c r="R940" s="634"/>
      <c r="S940" s="634"/>
      <c r="T940" s="634"/>
      <c r="U940" s="634"/>
      <c r="V940" s="634"/>
      <c r="W940" s="634"/>
      <c r="X940" s="634"/>
      <c r="Y940" s="634"/>
      <c r="Z940" s="634"/>
      <c r="AA940" s="634"/>
      <c r="AB940" s="634"/>
      <c r="AC940" s="634"/>
      <c r="AD940" s="634"/>
      <c r="AE940" s="634"/>
      <c r="AF940" s="634"/>
      <c r="AG940" s="634"/>
      <c r="AH940" s="634"/>
      <c r="AI940" s="634"/>
      <c r="AJ940" s="634"/>
      <c r="AK940" s="634"/>
      <c r="AL940" s="634"/>
      <c r="AM940" s="634"/>
      <c r="AN940" s="634"/>
      <c r="AO940" s="634"/>
      <c r="AP940" s="634"/>
      <c r="AQ940" s="634"/>
      <c r="AR940" s="634"/>
      <c r="AS940" s="634"/>
      <c r="AT940" s="634"/>
      <c r="AU940" s="634"/>
      <c r="AV940" s="634"/>
      <c r="AW940" s="634"/>
      <c r="AX940" s="634"/>
      <c r="AY940" s="634"/>
      <c r="AZ940" s="634"/>
      <c r="BA940" s="634"/>
      <c r="BB940" s="635"/>
      <c r="BC940" s="544"/>
      <c r="BD940" s="545"/>
      <c r="BE940" s="545"/>
      <c r="BF940" s="545"/>
      <c r="BG940" s="545"/>
      <c r="BH940" s="545"/>
      <c r="BI940" s="545"/>
      <c r="BJ940" s="545"/>
      <c r="BK940" s="545"/>
      <c r="BL940" s="545"/>
      <c r="BM940" s="545"/>
      <c r="BN940" s="545"/>
      <c r="BO940" s="545"/>
      <c r="BP940" s="545"/>
      <c r="BQ940" s="545"/>
      <c r="BR940" s="545"/>
      <c r="BS940" s="545"/>
      <c r="BT940" s="545"/>
      <c r="BU940" s="545"/>
      <c r="BV940" s="545"/>
      <c r="BW940" s="545"/>
      <c r="BX940" s="545"/>
      <c r="BY940" s="545"/>
      <c r="BZ940" s="545"/>
      <c r="CA940" s="545"/>
      <c r="CB940" s="545"/>
      <c r="CC940" s="545"/>
      <c r="CD940" s="545"/>
      <c r="CE940" s="545"/>
      <c r="CF940" s="545"/>
      <c r="CG940" s="545"/>
      <c r="CH940" s="545"/>
      <c r="CI940" s="545"/>
      <c r="CJ940" s="545"/>
      <c r="CK940" s="545"/>
      <c r="CL940" s="545"/>
      <c r="CM940" s="545"/>
      <c r="CN940" s="545"/>
      <c r="CO940" s="545"/>
      <c r="CP940" s="545"/>
      <c r="CQ940" s="545"/>
      <c r="CR940" s="545"/>
      <c r="CS940" s="545"/>
      <c r="CT940" s="545"/>
      <c r="CU940" s="545"/>
      <c r="CV940" s="545"/>
      <c r="CW940" s="545"/>
      <c r="CX940" s="545"/>
      <c r="CY940" s="545"/>
      <c r="CZ940" s="546"/>
    </row>
    <row r="941" spans="1:111" s="20" customFormat="1" ht="13.5" hidden="1" customHeight="1" x14ac:dyDescent="0.25">
      <c r="A941" s="633" t="s">
        <v>37</v>
      </c>
      <c r="B941" s="634"/>
      <c r="C941" s="634"/>
      <c r="D941" s="634"/>
      <c r="E941" s="634"/>
      <c r="F941" s="634"/>
      <c r="G941" s="634"/>
      <c r="H941" s="634"/>
      <c r="I941" s="634"/>
      <c r="J941" s="634"/>
      <c r="K941" s="634"/>
      <c r="L941" s="634"/>
      <c r="M941" s="634"/>
      <c r="N941" s="634"/>
      <c r="O941" s="634"/>
      <c r="P941" s="634"/>
      <c r="Q941" s="634"/>
      <c r="R941" s="634"/>
      <c r="S941" s="634"/>
      <c r="T941" s="634"/>
      <c r="U941" s="634"/>
      <c r="V941" s="634"/>
      <c r="W941" s="634"/>
      <c r="X941" s="634"/>
      <c r="Y941" s="634"/>
      <c r="Z941" s="634"/>
      <c r="AA941" s="634"/>
      <c r="AB941" s="634"/>
      <c r="AC941" s="634"/>
      <c r="AD941" s="634"/>
      <c r="AE941" s="634"/>
      <c r="AF941" s="634"/>
      <c r="AG941" s="634"/>
      <c r="AH941" s="634"/>
      <c r="AI941" s="634"/>
      <c r="AJ941" s="634"/>
      <c r="AK941" s="634"/>
      <c r="AL941" s="634"/>
      <c r="AM941" s="634"/>
      <c r="AN941" s="634"/>
      <c r="AO941" s="634"/>
      <c r="AP941" s="634"/>
      <c r="AQ941" s="634"/>
      <c r="AR941" s="634"/>
      <c r="AS941" s="634"/>
      <c r="AT941" s="634"/>
      <c r="AU941" s="634"/>
      <c r="AV941" s="634"/>
      <c r="AW941" s="634"/>
      <c r="AX941" s="634"/>
      <c r="AY941" s="634"/>
      <c r="AZ941" s="634"/>
      <c r="BA941" s="634"/>
      <c r="BB941" s="635"/>
      <c r="BC941" s="544"/>
      <c r="BD941" s="545"/>
      <c r="BE941" s="545"/>
      <c r="BF941" s="545"/>
      <c r="BG941" s="545"/>
      <c r="BH941" s="545"/>
      <c r="BI941" s="545"/>
      <c r="BJ941" s="545"/>
      <c r="BK941" s="545"/>
      <c r="BL941" s="545"/>
      <c r="BM941" s="545"/>
      <c r="BN941" s="545"/>
      <c r="BO941" s="545"/>
      <c r="BP941" s="545"/>
      <c r="BQ941" s="545"/>
      <c r="BR941" s="545"/>
      <c r="BS941" s="545"/>
      <c r="BT941" s="545"/>
      <c r="BU941" s="545"/>
      <c r="BV941" s="545"/>
      <c r="BW941" s="545"/>
      <c r="BX941" s="545"/>
      <c r="BY941" s="545"/>
      <c r="BZ941" s="545"/>
      <c r="CA941" s="545"/>
      <c r="CB941" s="545"/>
      <c r="CC941" s="545"/>
      <c r="CD941" s="545"/>
      <c r="CE941" s="545"/>
      <c r="CF941" s="545"/>
      <c r="CG941" s="545"/>
      <c r="CH941" s="545"/>
      <c r="CI941" s="545"/>
      <c r="CJ941" s="545"/>
      <c r="CK941" s="545"/>
      <c r="CL941" s="545"/>
      <c r="CM941" s="545"/>
      <c r="CN941" s="545"/>
      <c r="CO941" s="545"/>
      <c r="CP941" s="545"/>
      <c r="CQ941" s="545"/>
      <c r="CR941" s="545"/>
      <c r="CS941" s="545"/>
      <c r="CT941" s="545"/>
      <c r="CU941" s="545"/>
      <c r="CV941" s="545"/>
      <c r="CW941" s="545"/>
      <c r="CX941" s="545"/>
      <c r="CY941" s="545"/>
      <c r="CZ941" s="546"/>
    </row>
    <row r="942" spans="1:111" s="20" customFormat="1" ht="13.5" hidden="1" customHeight="1" x14ac:dyDescent="0.25">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c r="AC942" s="222"/>
      <c r="AD942" s="222"/>
      <c r="AE942" s="222"/>
      <c r="AF942" s="222"/>
      <c r="AG942" s="222"/>
      <c r="AH942" s="222"/>
      <c r="AI942" s="222"/>
      <c r="AJ942" s="222"/>
      <c r="AK942" s="222"/>
      <c r="AL942" s="222"/>
      <c r="AM942" s="222"/>
      <c r="AN942" s="222"/>
      <c r="AO942" s="222"/>
      <c r="AP942" s="222"/>
      <c r="AQ942" s="222"/>
      <c r="AR942" s="222"/>
      <c r="AS942" s="222"/>
      <c r="AT942" s="222"/>
      <c r="AU942" s="222"/>
      <c r="AV942" s="222"/>
      <c r="AW942" s="222"/>
      <c r="AX942" s="222"/>
      <c r="AY942" s="222"/>
      <c r="AZ942" s="222"/>
      <c r="BA942" s="222"/>
      <c r="BB942" s="222"/>
      <c r="BC942" s="223"/>
      <c r="BD942" s="223"/>
      <c r="BE942" s="223"/>
      <c r="BF942" s="223"/>
      <c r="BG942" s="223"/>
      <c r="BH942" s="223"/>
      <c r="BI942" s="223"/>
      <c r="BJ942" s="223"/>
      <c r="BK942" s="223"/>
      <c r="BL942" s="223"/>
      <c r="BM942" s="223"/>
      <c r="BN942" s="223"/>
      <c r="BO942" s="223"/>
      <c r="BP942" s="223"/>
      <c r="BQ942" s="223"/>
      <c r="BR942" s="223"/>
      <c r="BS942" s="223"/>
      <c r="BT942" s="223"/>
      <c r="BU942" s="223"/>
      <c r="BV942" s="223"/>
      <c r="BW942" s="223"/>
      <c r="BX942" s="223"/>
      <c r="BY942" s="223"/>
      <c r="BZ942" s="223"/>
      <c r="CA942" s="223"/>
      <c r="CB942" s="223"/>
      <c r="CC942" s="223"/>
      <c r="CD942" s="223"/>
      <c r="CE942" s="223"/>
      <c r="CF942" s="223"/>
      <c r="CG942" s="223"/>
      <c r="CH942" s="223"/>
      <c r="CI942" s="223"/>
      <c r="CJ942" s="223"/>
      <c r="CK942" s="223"/>
      <c r="CL942" s="223"/>
      <c r="CM942" s="223"/>
      <c r="CN942" s="223"/>
      <c r="CO942" s="223"/>
      <c r="CP942" s="223"/>
      <c r="CQ942" s="223"/>
      <c r="CR942" s="223"/>
      <c r="CS942" s="223"/>
      <c r="CT942" s="223"/>
      <c r="CU942" s="223"/>
      <c r="CV942" s="223"/>
      <c r="CW942" s="223"/>
      <c r="CX942" s="223"/>
      <c r="CY942" s="223"/>
      <c r="CZ942" s="223"/>
    </row>
    <row r="943" spans="1:111" s="20" customFormat="1" ht="13.2" customHeight="1" x14ac:dyDescent="0.25">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O943" s="14"/>
      <c r="BP943" s="14"/>
      <c r="BQ943" s="14"/>
      <c r="BR943" s="14"/>
      <c r="BS943" s="14"/>
      <c r="BT943" s="14"/>
      <c r="BU943" s="14"/>
      <c r="BV943" s="14"/>
      <c r="BW943" s="14"/>
      <c r="BX943" s="14"/>
      <c r="BY943" s="14"/>
      <c r="BZ943" s="14"/>
      <c r="CA943" s="14"/>
      <c r="CB943" s="14"/>
      <c r="CC943" s="14"/>
      <c r="CD943" s="14"/>
      <c r="CE943" s="14"/>
      <c r="CF943" s="14"/>
      <c r="CG943" s="14"/>
      <c r="CH943" s="14"/>
      <c r="CI943" s="14"/>
      <c r="CJ943" s="14"/>
      <c r="CK943" s="14"/>
      <c r="CL943" s="14"/>
      <c r="CM943" s="14"/>
      <c r="CN943" s="14"/>
      <c r="CO943" s="14"/>
      <c r="CP943" s="14"/>
      <c r="CQ943" s="14"/>
      <c r="CR943" s="14"/>
      <c r="CS943" s="14"/>
      <c r="CT943" s="14"/>
      <c r="CU943" s="14"/>
      <c r="CV943" s="14"/>
      <c r="CW943" s="14"/>
      <c r="CX943" s="14"/>
      <c r="CY943" s="14"/>
      <c r="CZ943" s="14"/>
    </row>
    <row r="944" spans="1:111" x14ac:dyDescent="0.25">
      <c r="A944" s="248" t="s">
        <v>464</v>
      </c>
      <c r="B944" s="249"/>
      <c r="C944" s="249"/>
      <c r="D944" s="249"/>
      <c r="E944" s="249"/>
      <c r="F944" s="249"/>
      <c r="G944" s="249"/>
      <c r="H944" s="249"/>
      <c r="I944" s="249"/>
      <c r="J944" s="249"/>
      <c r="K944" s="249"/>
      <c r="L944" s="249"/>
      <c r="M944" s="249"/>
      <c r="N944" s="249"/>
      <c r="O944" s="249"/>
      <c r="P944" s="249"/>
      <c r="Q944" s="249"/>
      <c r="R944" s="249"/>
      <c r="S944" s="249"/>
      <c r="T944" s="249"/>
      <c r="U944" s="249"/>
      <c r="V944" s="249"/>
      <c r="W944" s="249"/>
      <c r="X944" s="249"/>
      <c r="Y944" s="249"/>
      <c r="Z944" s="249"/>
      <c r="AA944" s="665"/>
      <c r="AB944" s="666"/>
      <c r="AC944" s="666"/>
      <c r="AD944" s="666"/>
      <c r="AE944" s="666"/>
      <c r="AF944" s="666"/>
      <c r="AG944" s="666"/>
      <c r="AH944" s="666"/>
      <c r="AI944" s="666"/>
      <c r="AJ944" s="666"/>
      <c r="AK944" s="666"/>
      <c r="AL944" s="666"/>
      <c r="AM944" s="666"/>
      <c r="AN944" s="667"/>
      <c r="AO944" s="668">
        <f>CI73+CI502+CI572+CI674+CI889+CI912+CI213</f>
        <v>33323104.000000004</v>
      </c>
      <c r="AP944" s="668"/>
      <c r="AQ944" s="668"/>
      <c r="AR944" s="668"/>
      <c r="AS944" s="668"/>
      <c r="AT944" s="668"/>
      <c r="AU944" s="668"/>
      <c r="AV944" s="668"/>
      <c r="AW944" s="668"/>
      <c r="AX944" s="668"/>
      <c r="AY944" s="668"/>
      <c r="AZ944" s="668"/>
      <c r="BA944" s="668"/>
      <c r="BB944" s="668"/>
      <c r="BC944" s="668">
        <f>CI12+CI67+CL115+CI202+CI230+CI250+CK313+CK361+CK384+CK407+CI482+CI551+CI768+BV106+CI903+CI96+CK426+CI618</f>
        <v>127254373.26931998</v>
      </c>
      <c r="BD944" s="457"/>
      <c r="BE944" s="457"/>
      <c r="BF944" s="457"/>
      <c r="BG944" s="457"/>
      <c r="BH944" s="457"/>
      <c r="BI944" s="457"/>
      <c r="BJ944" s="457"/>
      <c r="BK944" s="457"/>
      <c r="BL944" s="457"/>
      <c r="BM944" s="457"/>
      <c r="BN944" s="457"/>
      <c r="BO944" s="457"/>
      <c r="BP944" s="457"/>
      <c r="BQ944" s="457"/>
      <c r="BR944" s="457"/>
      <c r="BS944" s="668">
        <f>CI16+BV118+CL127+CI265+CK318+CK370+CK412+CI489+CI557+CI593+CI874+CK393+CI254+CI296+CK432+CL162+CI343</f>
        <v>16798729.136939999</v>
      </c>
      <c r="BT944" s="457"/>
      <c r="BU944" s="457"/>
      <c r="BV944" s="457"/>
      <c r="BW944" s="457"/>
      <c r="BX944" s="457"/>
      <c r="BY944" s="457"/>
      <c r="BZ944" s="457"/>
      <c r="CA944" s="457"/>
      <c r="CB944" s="457"/>
      <c r="CC944" s="457"/>
      <c r="CD944" s="457"/>
      <c r="CE944" s="457"/>
      <c r="CF944" s="457"/>
      <c r="CG944" s="457"/>
      <c r="CH944" s="457"/>
      <c r="CI944" s="665">
        <f>CI17+CI74+CL143+BV106+BV123+CI203+CI213+CI234+CI255+CI269+CK319+CI344+CK371+CK394+CK413+CI573+CI682+CI893+CI913+CI503+CI297+CI96+CI433+CK433+CL162</f>
        <v>177376206.40625998</v>
      </c>
      <c r="CJ944" s="666"/>
      <c r="CK944" s="666"/>
      <c r="CL944" s="666"/>
      <c r="CM944" s="666"/>
      <c r="CN944" s="666"/>
      <c r="CO944" s="666"/>
      <c r="CP944" s="666"/>
      <c r="CQ944" s="666"/>
      <c r="CR944" s="666"/>
      <c r="CS944" s="666"/>
      <c r="CT944" s="666"/>
      <c r="CU944" s="666"/>
      <c r="CV944" s="666"/>
      <c r="CW944" s="666"/>
      <c r="CX944" s="666"/>
      <c r="CY944" s="666"/>
      <c r="CZ944" s="667"/>
      <c r="DA944" s="243"/>
      <c r="DB944" s="250"/>
      <c r="DG944" s="250"/>
    </row>
    <row r="945" spans="1:113" x14ac:dyDescent="0.25">
      <c r="AA945" s="665"/>
      <c r="AB945" s="666"/>
      <c r="AC945" s="666"/>
      <c r="AD945" s="666"/>
      <c r="AE945" s="666"/>
      <c r="AF945" s="666"/>
      <c r="AG945" s="666"/>
      <c r="AH945" s="666"/>
      <c r="AI945" s="666"/>
      <c r="AJ945" s="666"/>
      <c r="AK945" s="666"/>
      <c r="AL945" s="666"/>
      <c r="AM945" s="666"/>
      <c r="AN945" s="667"/>
      <c r="AO945" s="668">
        <f>335900+92700+1620000+1520900+2300000+12256000+285000+1071900+715000+1869000+64000-11500+14000000-2200000-595796</f>
        <v>33323104</v>
      </c>
      <c r="AP945" s="668"/>
      <c r="AQ945" s="668"/>
      <c r="AR945" s="668"/>
      <c r="AS945" s="668"/>
      <c r="AT945" s="668"/>
      <c r="AU945" s="668"/>
      <c r="AV945" s="668"/>
      <c r="AW945" s="668"/>
      <c r="AX945" s="668"/>
      <c r="AY945" s="668"/>
      <c r="AZ945" s="668"/>
      <c r="BA945" s="668"/>
      <c r="BB945" s="668"/>
      <c r="BC945" s="668">
        <f>120718500</f>
        <v>120718500</v>
      </c>
      <c r="BD945" s="457"/>
      <c r="BE945" s="457"/>
      <c r="BF945" s="457"/>
      <c r="BG945" s="457"/>
      <c r="BH945" s="457"/>
      <c r="BI945" s="457"/>
      <c r="BJ945" s="457"/>
      <c r="BK945" s="457"/>
      <c r="BL945" s="457"/>
      <c r="BM945" s="457"/>
      <c r="BN945" s="457"/>
      <c r="BO945" s="457"/>
      <c r="BP945" s="457"/>
      <c r="BQ945" s="457"/>
      <c r="BR945" s="457"/>
      <c r="BS945" s="668">
        <f>12943800+29236.79</f>
        <v>12973036.789999999</v>
      </c>
      <c r="BT945" s="668"/>
      <c r="BU945" s="668"/>
      <c r="BV945" s="668"/>
      <c r="BW945" s="668"/>
      <c r="BX945" s="668"/>
      <c r="BY945" s="668"/>
      <c r="BZ945" s="668"/>
      <c r="CA945" s="668"/>
      <c r="CB945" s="668"/>
      <c r="CC945" s="668"/>
      <c r="CD945" s="668"/>
      <c r="CE945" s="668"/>
      <c r="CF945" s="668"/>
      <c r="CG945" s="668"/>
      <c r="CH945" s="668"/>
      <c r="CI945" s="668">
        <f>AO945+BC945+BS945</f>
        <v>167014640.78999999</v>
      </c>
      <c r="CJ945" s="668"/>
      <c r="CK945" s="668"/>
      <c r="CL945" s="668"/>
      <c r="CM945" s="668"/>
      <c r="CN945" s="668"/>
      <c r="CO945" s="668"/>
      <c r="CP945" s="668"/>
      <c r="CQ945" s="668"/>
      <c r="CR945" s="668"/>
      <c r="CS945" s="668"/>
      <c r="CT945" s="668"/>
      <c r="CU945" s="668"/>
      <c r="CV945" s="668"/>
      <c r="CW945" s="668"/>
      <c r="CX945" s="668"/>
      <c r="CY945" s="668"/>
      <c r="CZ945" s="668"/>
      <c r="DA945" s="243"/>
      <c r="DG945" s="250"/>
    </row>
    <row r="946" spans="1:113" x14ac:dyDescent="0.25">
      <c r="A946" s="669" t="s">
        <v>952</v>
      </c>
      <c r="B946" s="670"/>
      <c r="C946" s="670"/>
      <c r="D946" s="670"/>
      <c r="E946" s="670"/>
      <c r="F946" s="670"/>
      <c r="G946" s="670"/>
      <c r="H946" s="670"/>
      <c r="I946" s="670"/>
      <c r="J946" s="670"/>
      <c r="K946" s="670"/>
      <c r="L946" s="670"/>
      <c r="M946" s="670"/>
      <c r="N946" s="670"/>
      <c r="O946" s="670"/>
      <c r="P946" s="670"/>
      <c r="Q946" s="670"/>
      <c r="R946" s="670"/>
      <c r="S946" s="670"/>
      <c r="T946" s="670"/>
      <c r="U946" s="670"/>
      <c r="V946" s="670"/>
      <c r="W946" s="670"/>
      <c r="X946" s="670"/>
      <c r="Y946" s="670"/>
      <c r="Z946" s="671"/>
      <c r="AA946" s="665"/>
      <c r="AB946" s="666"/>
      <c r="AC946" s="666"/>
      <c r="AD946" s="666"/>
      <c r="AE946" s="666"/>
      <c r="AF946" s="666"/>
      <c r="AG946" s="666"/>
      <c r="AH946" s="666"/>
      <c r="AI946" s="666"/>
      <c r="AJ946" s="666"/>
      <c r="AK946" s="666"/>
      <c r="AL946" s="666"/>
      <c r="AM946" s="666"/>
      <c r="AN946" s="667"/>
      <c r="AO946" s="668">
        <v>0</v>
      </c>
      <c r="AP946" s="668"/>
      <c r="AQ946" s="668"/>
      <c r="AR946" s="668"/>
      <c r="AS946" s="668"/>
      <c r="AT946" s="668"/>
      <c r="AU946" s="668"/>
      <c r="AV946" s="668"/>
      <c r="AW946" s="668"/>
      <c r="AX946" s="668"/>
      <c r="AY946" s="668"/>
      <c r="AZ946" s="668"/>
      <c r="BA946" s="668"/>
      <c r="BB946" s="668"/>
      <c r="BC946" s="668">
        <v>6535873.2699999996</v>
      </c>
      <c r="BD946" s="457"/>
      <c r="BE946" s="457"/>
      <c r="BF946" s="457"/>
      <c r="BG946" s="457"/>
      <c r="BH946" s="457"/>
      <c r="BI946" s="457"/>
      <c r="BJ946" s="457"/>
      <c r="BK946" s="457"/>
      <c r="BL946" s="457"/>
      <c r="BM946" s="457"/>
      <c r="BN946" s="457"/>
      <c r="BO946" s="457"/>
      <c r="BP946" s="457"/>
      <c r="BQ946" s="457"/>
      <c r="BR946" s="457"/>
      <c r="BS946" s="668">
        <v>3825692.35</v>
      </c>
      <c r="BT946" s="457"/>
      <c r="BU946" s="457"/>
      <c r="BV946" s="457"/>
      <c r="BW946" s="457"/>
      <c r="BX946" s="457"/>
      <c r="BY946" s="457"/>
      <c r="BZ946" s="457"/>
      <c r="CA946" s="457"/>
      <c r="CB946" s="457"/>
      <c r="CC946" s="457"/>
      <c r="CD946" s="457"/>
      <c r="CE946" s="457"/>
      <c r="CF946" s="457"/>
      <c r="CG946" s="457"/>
      <c r="CH946" s="457"/>
      <c r="CI946" s="668">
        <f>BC946+BS946</f>
        <v>10361565.619999999</v>
      </c>
      <c r="CJ946" s="457"/>
      <c r="CK946" s="457"/>
      <c r="CL946" s="457"/>
      <c r="CM946" s="457"/>
      <c r="CN946" s="457"/>
      <c r="CO946" s="457"/>
      <c r="CP946" s="457"/>
      <c r="CQ946" s="457"/>
      <c r="CR946" s="457"/>
      <c r="CS946" s="457"/>
      <c r="CT946" s="457"/>
      <c r="CU946" s="457"/>
      <c r="CV946" s="457"/>
      <c r="CW946" s="457"/>
      <c r="CX946" s="457"/>
      <c r="CY946" s="457"/>
      <c r="CZ946" s="457"/>
      <c r="DA946" s="243"/>
      <c r="DG946" s="250"/>
    </row>
    <row r="947" spans="1:113" x14ac:dyDescent="0.25">
      <c r="AA947" s="665"/>
      <c r="AB947" s="666"/>
      <c r="AC947" s="666"/>
      <c r="AD947" s="666"/>
      <c r="AE947" s="666"/>
      <c r="AF947" s="666"/>
      <c r="AG947" s="666"/>
      <c r="AH947" s="666"/>
      <c r="AI947" s="666"/>
      <c r="AJ947" s="666"/>
      <c r="AK947" s="666"/>
      <c r="AL947" s="666"/>
      <c r="AM947" s="666"/>
      <c r="AN947" s="667"/>
      <c r="AO947" s="668">
        <f>AO944-AO945</f>
        <v>0</v>
      </c>
      <c r="AP947" s="457"/>
      <c r="AQ947" s="457"/>
      <c r="AR947" s="457"/>
      <c r="AS947" s="457"/>
      <c r="AT947" s="457"/>
      <c r="AU947" s="457"/>
      <c r="AV947" s="457"/>
      <c r="AW947" s="457"/>
      <c r="AX947" s="457"/>
      <c r="AY947" s="457"/>
      <c r="AZ947" s="457"/>
      <c r="BA947" s="457"/>
      <c r="BB947" s="457"/>
      <c r="BC947" s="668">
        <f>BC945+BC946-BC944</f>
        <v>6.8001449108123779E-4</v>
      </c>
      <c r="BD947" s="668"/>
      <c r="BE947" s="668"/>
      <c r="BF947" s="668"/>
      <c r="BG947" s="668"/>
      <c r="BH947" s="668"/>
      <c r="BI947" s="668"/>
      <c r="BJ947" s="668"/>
      <c r="BK947" s="668"/>
      <c r="BL947" s="668"/>
      <c r="BM947" s="668"/>
      <c r="BN947" s="668"/>
      <c r="BO947" s="668"/>
      <c r="BP947" s="668"/>
      <c r="BQ947" s="668"/>
      <c r="BR947" s="668"/>
      <c r="BS947" s="668">
        <f>BS945+BS946-BS944</f>
        <v>3.0600018799304962E-3</v>
      </c>
      <c r="BT947" s="457"/>
      <c r="BU947" s="457"/>
      <c r="BV947" s="457"/>
      <c r="BW947" s="457"/>
      <c r="BX947" s="457"/>
      <c r="BY947" s="457"/>
      <c r="BZ947" s="457"/>
      <c r="CA947" s="457"/>
      <c r="CB947" s="457"/>
      <c r="CC947" s="457"/>
      <c r="CD947" s="457"/>
      <c r="CE947" s="457"/>
      <c r="CF947" s="457"/>
      <c r="CG947" s="457"/>
      <c r="CH947" s="457"/>
      <c r="CI947" s="668">
        <f>CI944-CI945-CI946</f>
        <v>-3.7400070577859879E-3</v>
      </c>
      <c r="CJ947" s="457"/>
      <c r="CK947" s="457"/>
      <c r="CL947" s="457"/>
      <c r="CM947" s="457"/>
      <c r="CN947" s="457"/>
      <c r="CO947" s="457"/>
      <c r="CP947" s="457"/>
      <c r="CQ947" s="457"/>
      <c r="CR947" s="457"/>
      <c r="CS947" s="457"/>
      <c r="CT947" s="457"/>
      <c r="CU947" s="457"/>
      <c r="CV947" s="457"/>
      <c r="CW947" s="457"/>
      <c r="CX947" s="457"/>
      <c r="CY947" s="457"/>
      <c r="CZ947" s="457"/>
      <c r="DA947" s="243"/>
      <c r="DG947" s="250"/>
      <c r="DI947" s="20"/>
    </row>
    <row r="948" spans="1:113" x14ac:dyDescent="0.25">
      <c r="DA948" s="243"/>
      <c r="DG948" s="250"/>
    </row>
    <row r="951" spans="1:113" x14ac:dyDescent="0.25">
      <c r="DA951" s="243"/>
    </row>
  </sheetData>
  <mergeCells count="3766">
    <mergeCell ref="BC430:BR430"/>
    <mergeCell ref="BC431:BR431"/>
    <mergeCell ref="CK429:CZ429"/>
    <mergeCell ref="BC432:BR432"/>
    <mergeCell ref="BC433:BR433"/>
    <mergeCell ref="A433:BB433"/>
    <mergeCell ref="BS428:CH428"/>
    <mergeCell ref="BS429:CH429"/>
    <mergeCell ref="BS430:CH430"/>
    <mergeCell ref="BS431:CH431"/>
    <mergeCell ref="BS432:CH432"/>
    <mergeCell ref="BS433:CH433"/>
    <mergeCell ref="DC422:DR422"/>
    <mergeCell ref="DC423:DR423"/>
    <mergeCell ref="DC424:DR424"/>
    <mergeCell ref="DC425:DR425"/>
    <mergeCell ref="DG428:DV428"/>
    <mergeCell ref="DG429:DV429"/>
    <mergeCell ref="DG430:DV430"/>
    <mergeCell ref="DG431:DV431"/>
    <mergeCell ref="H422:BB422"/>
    <mergeCell ref="H423:BB423"/>
    <mergeCell ref="H424:BB424"/>
    <mergeCell ref="H425:BB425"/>
    <mergeCell ref="A426:BB426"/>
    <mergeCell ref="BC422:BR422"/>
    <mergeCell ref="BC424:BR424"/>
    <mergeCell ref="BC425:BR425"/>
    <mergeCell ref="BC423:BR423"/>
    <mergeCell ref="H431:BB431"/>
    <mergeCell ref="A639:G639"/>
    <mergeCell ref="H639:BB639"/>
    <mergeCell ref="BC639:BR639"/>
    <mergeCell ref="BS639:CH639"/>
    <mergeCell ref="CI639:CZ639"/>
    <mergeCell ref="A642:G642"/>
    <mergeCell ref="H642:BB642"/>
    <mergeCell ref="BS624:CH624"/>
    <mergeCell ref="BC635:BR635"/>
    <mergeCell ref="BS635:CH635"/>
    <mergeCell ref="CI635:CZ635"/>
    <mergeCell ref="A636:G636"/>
    <mergeCell ref="H636:BB636"/>
    <mergeCell ref="BC636:BR636"/>
    <mergeCell ref="BS636:CH636"/>
    <mergeCell ref="CI636:CZ636"/>
    <mergeCell ref="A637:G637"/>
    <mergeCell ref="H625:BB625"/>
    <mergeCell ref="A624:G624"/>
    <mergeCell ref="BS642:CH642"/>
    <mergeCell ref="CI642:CZ642"/>
    <mergeCell ref="A645:G645"/>
    <mergeCell ref="H645:BB645"/>
    <mergeCell ref="BC645:BR645"/>
    <mergeCell ref="BS645:CH645"/>
    <mergeCell ref="CI645:CZ645"/>
    <mergeCell ref="H644:BB644"/>
    <mergeCell ref="BC644:BR644"/>
    <mergeCell ref="A669:G669"/>
    <mergeCell ref="H669:BB669"/>
    <mergeCell ref="BC669:BR669"/>
    <mergeCell ref="BS669:CH669"/>
    <mergeCell ref="CI669:CZ669"/>
    <mergeCell ref="A671:G671"/>
    <mergeCell ref="H671:BB671"/>
    <mergeCell ref="BC671:BR671"/>
    <mergeCell ref="BS671:CH671"/>
    <mergeCell ref="CI671:CZ671"/>
    <mergeCell ref="A670:G670"/>
    <mergeCell ref="H670:BB670"/>
    <mergeCell ref="BC670:BR670"/>
    <mergeCell ref="BS670:CH670"/>
    <mergeCell ref="CI670:CZ670"/>
    <mergeCell ref="H658:BB658"/>
    <mergeCell ref="BC658:BR658"/>
    <mergeCell ref="BS658:CH658"/>
    <mergeCell ref="H655:BB655"/>
    <mergeCell ref="A649:G649"/>
    <mergeCell ref="H649:BB649"/>
    <mergeCell ref="BC649:BR649"/>
    <mergeCell ref="BS649:CH649"/>
    <mergeCell ref="BS672:CH672"/>
    <mergeCell ref="CI672:CZ672"/>
    <mergeCell ref="BS693:CH693"/>
    <mergeCell ref="A651:G651"/>
    <mergeCell ref="BC626:BR626"/>
    <mergeCell ref="A887:G887"/>
    <mergeCell ref="H887:AT887"/>
    <mergeCell ref="AU887:BB887"/>
    <mergeCell ref="BC887:BR887"/>
    <mergeCell ref="BS887:CH887"/>
    <mergeCell ref="CI887:CZ887"/>
    <mergeCell ref="A886:G886"/>
    <mergeCell ref="H886:AT886"/>
    <mergeCell ref="AU886:BB886"/>
    <mergeCell ref="BC886:BR886"/>
    <mergeCell ref="BS886:CH886"/>
    <mergeCell ref="CI886:CZ886"/>
    <mergeCell ref="AU884:BB884"/>
    <mergeCell ref="BC884:BR884"/>
    <mergeCell ref="BS884:CH884"/>
    <mergeCell ref="CI884:CZ884"/>
    <mergeCell ref="A885:G885"/>
    <mergeCell ref="H885:AT885"/>
    <mergeCell ref="AU885:BB885"/>
    <mergeCell ref="BC885:BR885"/>
    <mergeCell ref="BS885:CH885"/>
    <mergeCell ref="A646:G646"/>
    <mergeCell ref="CI885:CZ885"/>
    <mergeCell ref="H652:BB652"/>
    <mergeCell ref="A674:BB674"/>
    <mergeCell ref="BC674:BR674"/>
    <mergeCell ref="BC642:BR642"/>
    <mergeCell ref="BS674:CH674"/>
    <mergeCell ref="H630:BB630"/>
    <mergeCell ref="A627:G627"/>
    <mergeCell ref="H627:BB627"/>
    <mergeCell ref="BC627:BR627"/>
    <mergeCell ref="CI586:CZ586"/>
    <mergeCell ref="A584:G584"/>
    <mergeCell ref="CI629:CZ629"/>
    <mergeCell ref="BC630:BR630"/>
    <mergeCell ref="BS627:CH627"/>
    <mergeCell ref="H626:BB626"/>
    <mergeCell ref="H622:BB622"/>
    <mergeCell ref="BC622:BR622"/>
    <mergeCell ref="BS622:CH622"/>
    <mergeCell ref="CI622:CZ622"/>
    <mergeCell ref="A625:G625"/>
    <mergeCell ref="BC629:BR629"/>
    <mergeCell ref="A591:G591"/>
    <mergeCell ref="H591:BB591"/>
    <mergeCell ref="BC591:BR591"/>
    <mergeCell ref="BS591:CH591"/>
    <mergeCell ref="CI591:CZ591"/>
    <mergeCell ref="CI589:CZ589"/>
    <mergeCell ref="BS626:CH626"/>
    <mergeCell ref="BS629:CH629"/>
    <mergeCell ref="A620:G620"/>
    <mergeCell ref="H620:BB620"/>
    <mergeCell ref="BC620:BR620"/>
    <mergeCell ref="BS620:CH620"/>
    <mergeCell ref="CI657:CZ657"/>
    <mergeCell ref="A672:G672"/>
    <mergeCell ref="H672:BB672"/>
    <mergeCell ref="BC628:BR628"/>
    <mergeCell ref="BS628:CH628"/>
    <mergeCell ref="A629:G629"/>
    <mergeCell ref="H629:BB629"/>
    <mergeCell ref="CK425:CZ425"/>
    <mergeCell ref="BS666:CH666"/>
    <mergeCell ref="BC668:BR668"/>
    <mergeCell ref="BC673:BR673"/>
    <mergeCell ref="BS668:CH668"/>
    <mergeCell ref="BS673:CH673"/>
    <mergeCell ref="CI666:CZ666"/>
    <mergeCell ref="CI668:CZ668"/>
    <mergeCell ref="CI673:CZ673"/>
    <mergeCell ref="A630:G630"/>
    <mergeCell ref="CI630:CZ630"/>
    <mergeCell ref="CI628:CZ628"/>
    <mergeCell ref="A588:G588"/>
    <mergeCell ref="H588:BB588"/>
    <mergeCell ref="BC588:BR588"/>
    <mergeCell ref="BS588:CH588"/>
    <mergeCell ref="CI588:CZ588"/>
    <mergeCell ref="CI624:CZ624"/>
    <mergeCell ref="A619:CZ619"/>
    <mergeCell ref="BC452:BR452"/>
    <mergeCell ref="BS452:CH452"/>
    <mergeCell ref="CI452:CZ452"/>
    <mergeCell ref="H497:BB497"/>
    <mergeCell ref="BC497:BR497"/>
    <mergeCell ref="BS497:CH497"/>
    <mergeCell ref="CI497:CZ497"/>
    <mergeCell ref="A658:G658"/>
    <mergeCell ref="BC672:BR672"/>
    <mergeCell ref="A497:G497"/>
    <mergeCell ref="BC450:BR450"/>
    <mergeCell ref="A446:G446"/>
    <mergeCell ref="H446:BB446"/>
    <mergeCell ref="BC446:BR446"/>
    <mergeCell ref="BS446:CH446"/>
    <mergeCell ref="CI446:CZ446"/>
    <mergeCell ref="A447:G447"/>
    <mergeCell ref="BC624:BR624"/>
    <mergeCell ref="BS625:CH625"/>
    <mergeCell ref="CK394:CZ394"/>
    <mergeCell ref="A585:G585"/>
    <mergeCell ref="A571:G571"/>
    <mergeCell ref="H571:BR571"/>
    <mergeCell ref="BC448:BR448"/>
    <mergeCell ref="A452:G452"/>
    <mergeCell ref="H452:BB452"/>
    <mergeCell ref="BS455:CH455"/>
    <mergeCell ref="A443:G443"/>
    <mergeCell ref="H443:BB443"/>
    <mergeCell ref="CI583:CZ583"/>
    <mergeCell ref="H624:BB624"/>
    <mergeCell ref="A432:BB432"/>
    <mergeCell ref="A621:G621"/>
    <mergeCell ref="H621:BB621"/>
    <mergeCell ref="BC621:BR621"/>
    <mergeCell ref="BS621:CH621"/>
    <mergeCell ref="CI621:CZ621"/>
    <mergeCell ref="A623:G623"/>
    <mergeCell ref="H623:BB623"/>
    <mergeCell ref="BC428:BR428"/>
    <mergeCell ref="BC429:BR429"/>
    <mergeCell ref="A66:F66"/>
    <mergeCell ref="G66:AX66"/>
    <mergeCell ref="AY66:BP66"/>
    <mergeCell ref="BQ66:CH66"/>
    <mergeCell ref="CI66:CZ66"/>
    <mergeCell ref="A393:AN393"/>
    <mergeCell ref="AO393:BD393"/>
    <mergeCell ref="BE393:BT393"/>
    <mergeCell ref="BU393:CJ393"/>
    <mergeCell ref="CK393:CZ393"/>
    <mergeCell ref="A174:F174"/>
    <mergeCell ref="G174:BU174"/>
    <mergeCell ref="BV174:CK174"/>
    <mergeCell ref="CL174:CZ174"/>
    <mergeCell ref="A175:F175"/>
    <mergeCell ref="G175:BU175"/>
    <mergeCell ref="BV175:CK175"/>
    <mergeCell ref="CL175:CZ175"/>
    <mergeCell ref="A192:CZ192"/>
    <mergeCell ref="A189:BB189"/>
    <mergeCell ref="BC189:BR189"/>
    <mergeCell ref="BS189:CH189"/>
    <mergeCell ref="CI186:CZ186"/>
    <mergeCell ref="BU391:CJ391"/>
    <mergeCell ref="BS185:CH185"/>
    <mergeCell ref="BC691:BR691"/>
    <mergeCell ref="BS691:CH691"/>
    <mergeCell ref="BS655:CH655"/>
    <mergeCell ref="A689:CZ689"/>
    <mergeCell ref="A690:G690"/>
    <mergeCell ref="CI691:CZ691"/>
    <mergeCell ref="BS690:CH690"/>
    <mergeCell ref="CI690:CZ690"/>
    <mergeCell ref="A688:G688"/>
    <mergeCell ref="CI655:CZ655"/>
    <mergeCell ref="A581:CZ581"/>
    <mergeCell ref="A582:G582"/>
    <mergeCell ref="H582:BB582"/>
    <mergeCell ref="BC582:BR582"/>
    <mergeCell ref="BS582:CH582"/>
    <mergeCell ref="CI582:CZ582"/>
    <mergeCell ref="A583:G583"/>
    <mergeCell ref="H583:BB583"/>
    <mergeCell ref="BC583:BR583"/>
    <mergeCell ref="BC666:BR666"/>
    <mergeCell ref="CI625:CZ625"/>
    <mergeCell ref="BS657:CH657"/>
    <mergeCell ref="A652:G652"/>
    <mergeCell ref="A653:G653"/>
    <mergeCell ref="A654:G654"/>
    <mergeCell ref="A589:G589"/>
    <mergeCell ref="H589:BB589"/>
    <mergeCell ref="A682:BB682"/>
    <mergeCell ref="H690:AT690"/>
    <mergeCell ref="AU690:BB690"/>
    <mergeCell ref="BC690:BR690"/>
    <mergeCell ref="BS583:CH583"/>
    <mergeCell ref="BS571:CH571"/>
    <mergeCell ref="CI571:CZ571"/>
    <mergeCell ref="H448:BB448"/>
    <mergeCell ref="BC449:BR449"/>
    <mergeCell ref="CI451:CZ451"/>
    <mergeCell ref="A456:G456"/>
    <mergeCell ref="H456:BB456"/>
    <mergeCell ref="BC456:BR456"/>
    <mergeCell ref="BS456:CH456"/>
    <mergeCell ref="A459:G459"/>
    <mergeCell ref="H459:BB459"/>
    <mergeCell ref="BC459:BR459"/>
    <mergeCell ref="BS459:CH459"/>
    <mergeCell ref="CI459:CZ459"/>
    <mergeCell ref="BC464:BR464"/>
    <mergeCell ref="BS464:CH464"/>
    <mergeCell ref="CI464:CZ464"/>
    <mergeCell ref="A463:G463"/>
    <mergeCell ref="BC451:BR451"/>
    <mergeCell ref="BS451:CH451"/>
    <mergeCell ref="A469:G469"/>
    <mergeCell ref="BS460:CH460"/>
    <mergeCell ref="BS461:CH461"/>
    <mergeCell ref="CI461:CZ461"/>
    <mergeCell ref="BC454:BR454"/>
    <mergeCell ref="BS454:CH454"/>
    <mergeCell ref="CI454:CZ454"/>
    <mergeCell ref="A455:G455"/>
    <mergeCell ref="H455:BB455"/>
    <mergeCell ref="BC463:BR463"/>
    <mergeCell ref="BS463:CH463"/>
    <mergeCell ref="CI463:CZ463"/>
    <mergeCell ref="AO394:BD394"/>
    <mergeCell ref="BE394:BT394"/>
    <mergeCell ref="BU394:CJ394"/>
    <mergeCell ref="A451:G451"/>
    <mergeCell ref="CI674:CZ674"/>
    <mergeCell ref="A631:G631"/>
    <mergeCell ref="H631:BB631"/>
    <mergeCell ref="BC631:BR631"/>
    <mergeCell ref="BS631:CH631"/>
    <mergeCell ref="CI631:CZ631"/>
    <mergeCell ref="A650:G650"/>
    <mergeCell ref="H650:BB650"/>
    <mergeCell ref="BC650:BR650"/>
    <mergeCell ref="BS650:CH650"/>
    <mergeCell ref="CI650:CZ650"/>
    <mergeCell ref="A655:G655"/>
    <mergeCell ref="A656:G656"/>
    <mergeCell ref="H656:BB656"/>
    <mergeCell ref="BC656:BR656"/>
    <mergeCell ref="BS656:CH656"/>
    <mergeCell ref="CI656:CZ656"/>
    <mergeCell ref="A673:G673"/>
    <mergeCell ref="H666:BB666"/>
    <mergeCell ref="H668:BB668"/>
    <mergeCell ref="H673:BB673"/>
    <mergeCell ref="H653:BB653"/>
    <mergeCell ref="BC655:BR655"/>
    <mergeCell ref="A657:G657"/>
    <mergeCell ref="BC657:BR657"/>
    <mergeCell ref="BC589:BR589"/>
    <mergeCell ref="BS589:CH589"/>
    <mergeCell ref="BC443:BR443"/>
    <mergeCell ref="A392:G392"/>
    <mergeCell ref="H392:AN392"/>
    <mergeCell ref="AO392:BD392"/>
    <mergeCell ref="BE392:BT392"/>
    <mergeCell ref="BU392:CJ392"/>
    <mergeCell ref="CK392:CZ392"/>
    <mergeCell ref="H584:BB584"/>
    <mergeCell ref="H585:BB585"/>
    <mergeCell ref="BC584:BR584"/>
    <mergeCell ref="BS584:CH584"/>
    <mergeCell ref="CI584:CZ584"/>
    <mergeCell ref="BC585:BR585"/>
    <mergeCell ref="BS585:CH585"/>
    <mergeCell ref="CI585:CZ585"/>
    <mergeCell ref="H445:BB445"/>
    <mergeCell ref="BC445:BR445"/>
    <mergeCell ref="BS445:CH445"/>
    <mergeCell ref="CI445:CZ445"/>
    <mergeCell ref="BS450:CH450"/>
    <mergeCell ref="CI450:CZ450"/>
    <mergeCell ref="A423:G423"/>
    <mergeCell ref="CI453:CZ453"/>
    <mergeCell ref="A450:G450"/>
    <mergeCell ref="H450:BB450"/>
    <mergeCell ref="A457:G457"/>
    <mergeCell ref="CI460:CZ460"/>
    <mergeCell ref="A458:G458"/>
    <mergeCell ref="H458:BB458"/>
    <mergeCell ref="BC458:BR458"/>
    <mergeCell ref="BS458:CH458"/>
    <mergeCell ref="H463:BB463"/>
    <mergeCell ref="A394:AN394"/>
    <mergeCell ref="A687:G687"/>
    <mergeCell ref="H687:AT687"/>
    <mergeCell ref="AU687:BB687"/>
    <mergeCell ref="BC687:BR687"/>
    <mergeCell ref="BS687:CH687"/>
    <mergeCell ref="CI687:CZ687"/>
    <mergeCell ref="CI688:CZ688"/>
    <mergeCell ref="H657:BB657"/>
    <mergeCell ref="A626:G626"/>
    <mergeCell ref="A593:BB593"/>
    <mergeCell ref="BC593:BR593"/>
    <mergeCell ref="BS593:CH593"/>
    <mergeCell ref="CI593:CZ593"/>
    <mergeCell ref="BC623:BR623"/>
    <mergeCell ref="CI623:CZ623"/>
    <mergeCell ref="BS630:CH630"/>
    <mergeCell ref="BC625:BR625"/>
    <mergeCell ref="A683:CZ683"/>
    <mergeCell ref="H651:BB651"/>
    <mergeCell ref="CI658:CZ658"/>
    <mergeCell ref="A666:G666"/>
    <mergeCell ref="A668:G668"/>
    <mergeCell ref="BC682:BR682"/>
    <mergeCell ref="BS682:CH682"/>
    <mergeCell ref="CI682:CZ682"/>
    <mergeCell ref="A677:CZ677"/>
    <mergeCell ref="A678:G678"/>
    <mergeCell ref="W685:CZ685"/>
    <mergeCell ref="CI626:CZ626"/>
    <mergeCell ref="CI620:CZ620"/>
    <mergeCell ref="A622:G622"/>
    <mergeCell ref="BS623:CH623"/>
    <mergeCell ref="BC203:BR203"/>
    <mergeCell ref="BS462:CH462"/>
    <mergeCell ref="CI462:CZ462"/>
    <mergeCell ref="A440:G440"/>
    <mergeCell ref="H440:BB440"/>
    <mergeCell ref="BC440:BR440"/>
    <mergeCell ref="BS440:CH440"/>
    <mergeCell ref="CI440:CZ440"/>
    <mergeCell ref="A441:CZ441"/>
    <mergeCell ref="A442:G442"/>
    <mergeCell ref="H444:BB444"/>
    <mergeCell ref="BC444:BR444"/>
    <mergeCell ref="BS444:CH444"/>
    <mergeCell ref="CI444:CZ444"/>
    <mergeCell ref="A445:G445"/>
    <mergeCell ref="CI456:CZ456"/>
    <mergeCell ref="H451:BB451"/>
    <mergeCell ref="A213:BB213"/>
    <mergeCell ref="BC213:BR213"/>
    <mergeCell ref="BS213:CH213"/>
    <mergeCell ref="CI213:CZ213"/>
    <mergeCell ref="BC455:BR455"/>
    <mergeCell ref="CI455:CZ455"/>
    <mergeCell ref="BS449:CH449"/>
    <mergeCell ref="A453:G453"/>
    <mergeCell ref="H453:BB453"/>
    <mergeCell ref="BC453:BR453"/>
    <mergeCell ref="BS453:CH453"/>
    <mergeCell ref="H457:BB457"/>
    <mergeCell ref="BC457:BR457"/>
    <mergeCell ref="BS457:CH457"/>
    <mergeCell ref="CI457:CZ457"/>
    <mergeCell ref="BC199:BR199"/>
    <mergeCell ref="BS442:CH442"/>
    <mergeCell ref="CI442:CZ442"/>
    <mergeCell ref="H442:BB442"/>
    <mergeCell ref="BC442:BR442"/>
    <mergeCell ref="A444:G444"/>
    <mergeCell ref="A183:CZ183"/>
    <mergeCell ref="A177:CZ177"/>
    <mergeCell ref="W179:CZ179"/>
    <mergeCell ref="A181:G181"/>
    <mergeCell ref="H181:BB181"/>
    <mergeCell ref="BC181:BR181"/>
    <mergeCell ref="A427:CZ427"/>
    <mergeCell ref="A431:G431"/>
    <mergeCell ref="A187:CZ187"/>
    <mergeCell ref="A249:G249"/>
    <mergeCell ref="H249:BB249"/>
    <mergeCell ref="BC249:BR249"/>
    <mergeCell ref="BS249:CH249"/>
    <mergeCell ref="CI249:CZ249"/>
    <mergeCell ref="A389:CZ389"/>
    <mergeCell ref="A188:G188"/>
    <mergeCell ref="H188:BB188"/>
    <mergeCell ref="BC188:BR188"/>
    <mergeCell ref="BS188:CH188"/>
    <mergeCell ref="CI188:CZ188"/>
    <mergeCell ref="A194:CZ194"/>
    <mergeCell ref="W196:CZ196"/>
    <mergeCell ref="CI189:CZ189"/>
    <mergeCell ref="A190:BB190"/>
    <mergeCell ref="BC190:BR190"/>
    <mergeCell ref="BS190:CH190"/>
    <mergeCell ref="A198:G198"/>
    <mergeCell ref="H198:BB198"/>
    <mergeCell ref="BC198:BR198"/>
    <mergeCell ref="BS198:CH198"/>
    <mergeCell ref="A182:G182"/>
    <mergeCell ref="H182:BB182"/>
    <mergeCell ref="BC182:BR182"/>
    <mergeCell ref="BS181:CH181"/>
    <mergeCell ref="CI181:CZ181"/>
    <mergeCell ref="A169:F169"/>
    <mergeCell ref="H169:BU169"/>
    <mergeCell ref="BV169:CK169"/>
    <mergeCell ref="CL169:CZ169"/>
    <mergeCell ref="A170:F171"/>
    <mergeCell ref="H170:BU170"/>
    <mergeCell ref="BV170:CK171"/>
    <mergeCell ref="CL170:CZ171"/>
    <mergeCell ref="H171:BU171"/>
    <mergeCell ref="A172:F172"/>
    <mergeCell ref="H172:BU172"/>
    <mergeCell ref="BV172:CK172"/>
    <mergeCell ref="CL172:CZ172"/>
    <mergeCell ref="A173:F173"/>
    <mergeCell ref="H173:BU173"/>
    <mergeCell ref="BV173:CK173"/>
    <mergeCell ref="CL173:CZ173"/>
    <mergeCell ref="BS182:CH182"/>
    <mergeCell ref="CI182:CZ182"/>
    <mergeCell ref="CI190:CZ190"/>
    <mergeCell ref="A186:BB186"/>
    <mergeCell ref="BC186:BR186"/>
    <mergeCell ref="BS186:CH186"/>
    <mergeCell ref="A163:CZ163"/>
    <mergeCell ref="A164:F164"/>
    <mergeCell ref="H164:BU164"/>
    <mergeCell ref="BV164:CK164"/>
    <mergeCell ref="CL164:CZ164"/>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A158:F159"/>
    <mergeCell ref="H158:BU158"/>
    <mergeCell ref="BV158:CK159"/>
    <mergeCell ref="CL158:CZ159"/>
    <mergeCell ref="H159:BU159"/>
    <mergeCell ref="A160:F160"/>
    <mergeCell ref="H160:BU160"/>
    <mergeCell ref="BV160:CK160"/>
    <mergeCell ref="CL160:CZ160"/>
    <mergeCell ref="A161:F161"/>
    <mergeCell ref="H161:BU161"/>
    <mergeCell ref="BV161:CK161"/>
    <mergeCell ref="CL161:CZ161"/>
    <mergeCell ref="A162:F162"/>
    <mergeCell ref="G162:BU162"/>
    <mergeCell ref="BV162:CK162"/>
    <mergeCell ref="CL162:CZ162"/>
    <mergeCell ref="A153:F154"/>
    <mergeCell ref="H153:BU153"/>
    <mergeCell ref="BV153:CK154"/>
    <mergeCell ref="CL153:CZ154"/>
    <mergeCell ref="H154:BU154"/>
    <mergeCell ref="A155:F155"/>
    <mergeCell ref="H155:BU155"/>
    <mergeCell ref="BV155:CK155"/>
    <mergeCell ref="CL155:CZ155"/>
    <mergeCell ref="A156:F156"/>
    <mergeCell ref="H156:BU156"/>
    <mergeCell ref="BV156:CK156"/>
    <mergeCell ref="CL156:CZ156"/>
    <mergeCell ref="A157:F157"/>
    <mergeCell ref="H157:BU157"/>
    <mergeCell ref="BV157:CK157"/>
    <mergeCell ref="CL157:CZ157"/>
    <mergeCell ref="AY62:BP62"/>
    <mergeCell ref="BQ62:CH62"/>
    <mergeCell ref="CI62:CZ62"/>
    <mergeCell ref="A74:F74"/>
    <mergeCell ref="G74:AX74"/>
    <mergeCell ref="AY74:BP74"/>
    <mergeCell ref="BQ74:CH74"/>
    <mergeCell ref="CI74:CZ74"/>
    <mergeCell ref="A75:CZ75"/>
    <mergeCell ref="A72:F72"/>
    <mergeCell ref="A150:F150"/>
    <mergeCell ref="G150:BU150"/>
    <mergeCell ref="BV150:CK150"/>
    <mergeCell ref="CL150:CZ150"/>
    <mergeCell ref="A151:CZ151"/>
    <mergeCell ref="A152:F152"/>
    <mergeCell ref="H152:BU152"/>
    <mergeCell ref="BV152:CK152"/>
    <mergeCell ref="CL152:CZ152"/>
    <mergeCell ref="G72:AX72"/>
    <mergeCell ref="AY72:BP72"/>
    <mergeCell ref="BQ72:CH72"/>
    <mergeCell ref="CI72:CZ72"/>
    <mergeCell ref="A73:AX73"/>
    <mergeCell ref="AY73:BP73"/>
    <mergeCell ref="BQ73:CH73"/>
    <mergeCell ref="CI73:CZ73"/>
    <mergeCell ref="A70:F70"/>
    <mergeCell ref="G70:AX70"/>
    <mergeCell ref="AY70:BP70"/>
    <mergeCell ref="BQ70:CH70"/>
    <mergeCell ref="CI70:CZ70"/>
    <mergeCell ref="AY52:BP52"/>
    <mergeCell ref="BQ52:CH52"/>
    <mergeCell ref="CI52:CZ52"/>
    <mergeCell ref="A53:AC53"/>
    <mergeCell ref="AD53:AX53"/>
    <mergeCell ref="AY53:BP53"/>
    <mergeCell ref="BQ53:CH53"/>
    <mergeCell ref="CI53:CZ53"/>
    <mergeCell ref="A54:CZ54"/>
    <mergeCell ref="A55:F55"/>
    <mergeCell ref="G55:AC55"/>
    <mergeCell ref="AD55:AX55"/>
    <mergeCell ref="AY55:BP55"/>
    <mergeCell ref="BQ55:CH55"/>
    <mergeCell ref="CI55:CZ55"/>
    <mergeCell ref="H117:BU117"/>
    <mergeCell ref="A145:CZ145"/>
    <mergeCell ref="A56:AC56"/>
    <mergeCell ref="AD56:AX56"/>
    <mergeCell ref="AY56:BP56"/>
    <mergeCell ref="BQ56:CH56"/>
    <mergeCell ref="CI56:CZ56"/>
    <mergeCell ref="A57:F57"/>
    <mergeCell ref="G57:AC57"/>
    <mergeCell ref="AD57:AX57"/>
    <mergeCell ref="AY57:BP57"/>
    <mergeCell ref="BQ57:CH57"/>
    <mergeCell ref="CI57:CZ57"/>
    <mergeCell ref="A59:CZ59"/>
    <mergeCell ref="W60:CZ60"/>
    <mergeCell ref="A62:F62"/>
    <mergeCell ref="G62:AX62"/>
    <mergeCell ref="A1:CZ1"/>
    <mergeCell ref="A2:CZ2"/>
    <mergeCell ref="W4:CZ4"/>
    <mergeCell ref="A6:F6"/>
    <mergeCell ref="G6:AC6"/>
    <mergeCell ref="AD6:BB6"/>
    <mergeCell ref="BC6:BR6"/>
    <mergeCell ref="BS6:CH6"/>
    <mergeCell ref="CI6:CZ6"/>
    <mergeCell ref="A46:CZ46"/>
    <mergeCell ref="W47:CZ47"/>
    <mergeCell ref="A49:F49"/>
    <mergeCell ref="G49:AC49"/>
    <mergeCell ref="AD49:AX49"/>
    <mergeCell ref="AY49:BP49"/>
    <mergeCell ref="BQ49:CH49"/>
    <mergeCell ref="CI49:CZ49"/>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7:F7"/>
    <mergeCell ref="G7:AC7"/>
    <mergeCell ref="AD7:BB7"/>
    <mergeCell ref="BC7:BR7"/>
    <mergeCell ref="BS7:CH7"/>
    <mergeCell ref="CI7:CZ7"/>
    <mergeCell ref="A15:F15"/>
    <mergeCell ref="G15:AC15"/>
    <mergeCell ref="AD15:BB15"/>
    <mergeCell ref="BC15:BR15"/>
    <mergeCell ref="BS15:CH15"/>
    <mergeCell ref="CI15:CZ15"/>
    <mergeCell ref="A12:AC12"/>
    <mergeCell ref="AD12:BB12"/>
    <mergeCell ref="BC12:BR12"/>
    <mergeCell ref="BS12:CH12"/>
    <mergeCell ref="CI12:CZ12"/>
    <mergeCell ref="A13:CZ13"/>
    <mergeCell ref="A11:F11"/>
    <mergeCell ref="G11:AC11"/>
    <mergeCell ref="AD11:BB11"/>
    <mergeCell ref="BC11:BR11"/>
    <mergeCell ref="BS11:CH11"/>
    <mergeCell ref="CI11:CZ11"/>
    <mergeCell ref="A14:F14"/>
    <mergeCell ref="G14:AC14"/>
    <mergeCell ref="AD14:BB14"/>
    <mergeCell ref="BC14:BR14"/>
    <mergeCell ref="BS14:CH14"/>
    <mergeCell ref="CI14:CZ14"/>
    <mergeCell ref="A19:CZ19"/>
    <mergeCell ref="W20:CZ20"/>
    <mergeCell ref="A22:F22"/>
    <mergeCell ref="G22:AC22"/>
    <mergeCell ref="AD22:AX22"/>
    <mergeCell ref="AY22:BP22"/>
    <mergeCell ref="BQ22:CH22"/>
    <mergeCell ref="CI22:CZ22"/>
    <mergeCell ref="A16:AC16"/>
    <mergeCell ref="AD16:BB16"/>
    <mergeCell ref="BC16:BR16"/>
    <mergeCell ref="BS16:CH16"/>
    <mergeCell ref="CI16:CZ16"/>
    <mergeCell ref="A17:AC17"/>
    <mergeCell ref="AD17:BB17"/>
    <mergeCell ref="BC17:BR17"/>
    <mergeCell ref="BS17:CH17"/>
    <mergeCell ref="CI17:CZ17"/>
    <mergeCell ref="A26:F26"/>
    <mergeCell ref="G26:AC26"/>
    <mergeCell ref="AD26:AX26"/>
    <mergeCell ref="AY26:BP26"/>
    <mergeCell ref="BQ26:CH26"/>
    <mergeCell ref="CI26:CZ26"/>
    <mergeCell ref="A24:CZ24"/>
    <mergeCell ref="A25:F25"/>
    <mergeCell ref="G25:AC25"/>
    <mergeCell ref="AD25:AX25"/>
    <mergeCell ref="AY25:BP25"/>
    <mergeCell ref="BQ25:CH25"/>
    <mergeCell ref="CI25:CZ25"/>
    <mergeCell ref="A23:F23"/>
    <mergeCell ref="G23:AC23"/>
    <mergeCell ref="AD23:AX23"/>
    <mergeCell ref="AY23:BP23"/>
    <mergeCell ref="BQ23:CH23"/>
    <mergeCell ref="CI23:CZ23"/>
    <mergeCell ref="A30:AC30"/>
    <mergeCell ref="AD30:AX30"/>
    <mergeCell ref="AY30:BP30"/>
    <mergeCell ref="BQ30:CH30"/>
    <mergeCell ref="CI30:CZ30"/>
    <mergeCell ref="A31:F31"/>
    <mergeCell ref="G31:AC31"/>
    <mergeCell ref="AD31:AX31"/>
    <mergeCell ref="AY31:BP31"/>
    <mergeCell ref="BQ31:CH31"/>
    <mergeCell ref="A29:F29"/>
    <mergeCell ref="G29:AC29"/>
    <mergeCell ref="AD29:AX29"/>
    <mergeCell ref="AY29:BP29"/>
    <mergeCell ref="BQ29:CH29"/>
    <mergeCell ref="CI29:CZ29"/>
    <mergeCell ref="A27:AC27"/>
    <mergeCell ref="AD27:AX27"/>
    <mergeCell ref="AY27:BP27"/>
    <mergeCell ref="BQ27:CH27"/>
    <mergeCell ref="CI27:CZ27"/>
    <mergeCell ref="A28:CZ28"/>
    <mergeCell ref="A39:CZ39"/>
    <mergeCell ref="A40:F40"/>
    <mergeCell ref="G40:AX40"/>
    <mergeCell ref="AY40:BP40"/>
    <mergeCell ref="BQ40:CH40"/>
    <mergeCell ref="CI40:CZ40"/>
    <mergeCell ref="A38:F38"/>
    <mergeCell ref="G38:AC38"/>
    <mergeCell ref="AD38:AX38"/>
    <mergeCell ref="AY38:BP38"/>
    <mergeCell ref="BQ38:CH38"/>
    <mergeCell ref="CI38:CZ38"/>
    <mergeCell ref="CI31:CZ31"/>
    <mergeCell ref="A33:CZ33"/>
    <mergeCell ref="W35:CZ35"/>
    <mergeCell ref="A37:F37"/>
    <mergeCell ref="G37:AX37"/>
    <mergeCell ref="AY37:BP37"/>
    <mergeCell ref="BQ37:CH37"/>
    <mergeCell ref="CI37:CZ37"/>
    <mergeCell ref="A44:AX44"/>
    <mergeCell ref="AY44:BP44"/>
    <mergeCell ref="BQ44:CH44"/>
    <mergeCell ref="CI44:CZ44"/>
    <mergeCell ref="A45:F45"/>
    <mergeCell ref="G45:AX45"/>
    <mergeCell ref="AY45:BP45"/>
    <mergeCell ref="BQ45:CH45"/>
    <mergeCell ref="CI45:CZ45"/>
    <mergeCell ref="A41:AX41"/>
    <mergeCell ref="AY41:BP41"/>
    <mergeCell ref="BQ41:CH41"/>
    <mergeCell ref="CI41:CZ41"/>
    <mergeCell ref="A42:CZ42"/>
    <mergeCell ref="A43:F43"/>
    <mergeCell ref="G43:AX43"/>
    <mergeCell ref="AY43:BP43"/>
    <mergeCell ref="BQ43:CH43"/>
    <mergeCell ref="CI43:CZ43"/>
    <mergeCell ref="A50:F50"/>
    <mergeCell ref="G50:AC50"/>
    <mergeCell ref="AD50:AX50"/>
    <mergeCell ref="AY50:BP50"/>
    <mergeCell ref="BQ50:CH50"/>
    <mergeCell ref="CI50:CZ50"/>
    <mergeCell ref="A67:AX67"/>
    <mergeCell ref="AY67:BP67"/>
    <mergeCell ref="BQ67:CH67"/>
    <mergeCell ref="CI67:CZ67"/>
    <mergeCell ref="A68:CZ68"/>
    <mergeCell ref="A69:F69"/>
    <mergeCell ref="G69:AX69"/>
    <mergeCell ref="AY69:BP69"/>
    <mergeCell ref="BQ69:CH69"/>
    <mergeCell ref="CI69:CZ69"/>
    <mergeCell ref="A64:CZ64"/>
    <mergeCell ref="A65:F65"/>
    <mergeCell ref="G65:AX65"/>
    <mergeCell ref="AY65:BP65"/>
    <mergeCell ref="BQ65:CH65"/>
    <mergeCell ref="CI65:CZ65"/>
    <mergeCell ref="A63:F63"/>
    <mergeCell ref="G63:AC63"/>
    <mergeCell ref="AD63:AX63"/>
    <mergeCell ref="AY63:BP63"/>
    <mergeCell ref="BQ63:CH63"/>
    <mergeCell ref="CI63:CZ63"/>
    <mergeCell ref="A51:CZ51"/>
    <mergeCell ref="A52:F52"/>
    <mergeCell ref="G52:AC52"/>
    <mergeCell ref="AD52:AX52"/>
    <mergeCell ref="A71:F71"/>
    <mergeCell ref="G71:AX71"/>
    <mergeCell ref="AY71:BP71"/>
    <mergeCell ref="BQ71:CH71"/>
    <mergeCell ref="CI71:CZ71"/>
    <mergeCell ref="A80:CZ80"/>
    <mergeCell ref="A81:F81"/>
    <mergeCell ref="G81:AX81"/>
    <mergeCell ref="AY81:BP81"/>
    <mergeCell ref="BQ81:CH81"/>
    <mergeCell ref="CI81:CZ81"/>
    <mergeCell ref="A79:F79"/>
    <mergeCell ref="G79:AC79"/>
    <mergeCell ref="AD79:AX79"/>
    <mergeCell ref="AY79:BP79"/>
    <mergeCell ref="BQ79:CH79"/>
    <mergeCell ref="CI79:CZ79"/>
    <mergeCell ref="W76:CZ76"/>
    <mergeCell ref="A78:F78"/>
    <mergeCell ref="G78:AX78"/>
    <mergeCell ref="AY78:BP78"/>
    <mergeCell ref="BQ78:CH78"/>
    <mergeCell ref="CI78:CZ78"/>
    <mergeCell ref="A88:CZ88"/>
    <mergeCell ref="W89:CZ89"/>
    <mergeCell ref="A91:F91"/>
    <mergeCell ref="G91:AX91"/>
    <mergeCell ref="AY91:BP91"/>
    <mergeCell ref="BQ91:CH91"/>
    <mergeCell ref="CI91:CZ91"/>
    <mergeCell ref="A84:AX84"/>
    <mergeCell ref="AY84:BP84"/>
    <mergeCell ref="BQ84:CH84"/>
    <mergeCell ref="CI84:CZ84"/>
    <mergeCell ref="A85:F85"/>
    <mergeCell ref="G85:AX85"/>
    <mergeCell ref="AY85:BP85"/>
    <mergeCell ref="BQ85:CH85"/>
    <mergeCell ref="CI85:CZ85"/>
    <mergeCell ref="A82:F82"/>
    <mergeCell ref="G82:AX82"/>
    <mergeCell ref="AY82:BP82"/>
    <mergeCell ref="BQ82:CH82"/>
    <mergeCell ref="CI82:CZ82"/>
    <mergeCell ref="A83:F83"/>
    <mergeCell ref="G83:AX83"/>
    <mergeCell ref="AY83:BP83"/>
    <mergeCell ref="BQ83:CH83"/>
    <mergeCell ref="CI83:CZ83"/>
    <mergeCell ref="A95:AX95"/>
    <mergeCell ref="AY95:BP95"/>
    <mergeCell ref="BQ95:CH95"/>
    <mergeCell ref="CI95:CZ95"/>
    <mergeCell ref="A96:F96"/>
    <mergeCell ref="G96:AX96"/>
    <mergeCell ref="AY96:BP96"/>
    <mergeCell ref="BQ96:CH96"/>
    <mergeCell ref="CI96:CZ96"/>
    <mergeCell ref="A93:CZ93"/>
    <mergeCell ref="A94:F94"/>
    <mergeCell ref="G94:AX94"/>
    <mergeCell ref="AY94:BP94"/>
    <mergeCell ref="BQ94:CH94"/>
    <mergeCell ref="CI94:CZ94"/>
    <mergeCell ref="A92:F92"/>
    <mergeCell ref="G92:AC92"/>
    <mergeCell ref="AD92:AX92"/>
    <mergeCell ref="AY92:BP92"/>
    <mergeCell ref="BQ92:CH92"/>
    <mergeCell ref="CI92:CZ92"/>
    <mergeCell ref="A103:F103"/>
    <mergeCell ref="G103:BU103"/>
    <mergeCell ref="BV103:CK103"/>
    <mergeCell ref="CL103:CZ103"/>
    <mergeCell ref="A104:CZ104"/>
    <mergeCell ref="A105:F105"/>
    <mergeCell ref="H105:BU105"/>
    <mergeCell ref="BV105:CK105"/>
    <mergeCell ref="CL105:CZ105"/>
    <mergeCell ref="A98:CZ98"/>
    <mergeCell ref="W100:CZ100"/>
    <mergeCell ref="A102:F102"/>
    <mergeCell ref="G102:BU102"/>
    <mergeCell ref="BV102:CK102"/>
    <mergeCell ref="CL102:CZ102"/>
    <mergeCell ref="A109:F109"/>
    <mergeCell ref="H109:BU109"/>
    <mergeCell ref="BV109:CK109"/>
    <mergeCell ref="CL109:CZ109"/>
    <mergeCell ref="A110:F110"/>
    <mergeCell ref="H110:BU110"/>
    <mergeCell ref="BV110:CK110"/>
    <mergeCell ref="CL110:CZ110"/>
    <mergeCell ref="A106:F107"/>
    <mergeCell ref="H106:BU106"/>
    <mergeCell ref="BV106:CK107"/>
    <mergeCell ref="CL106:CZ107"/>
    <mergeCell ref="H107:BU107"/>
    <mergeCell ref="A108:F108"/>
    <mergeCell ref="H108:BU108"/>
    <mergeCell ref="BV108:CK108"/>
    <mergeCell ref="CL108:CZ108"/>
    <mergeCell ref="A114:F114"/>
    <mergeCell ref="H114:BU114"/>
    <mergeCell ref="BV114:CK114"/>
    <mergeCell ref="CL114:CZ114"/>
    <mergeCell ref="A111:F112"/>
    <mergeCell ref="H111:BU111"/>
    <mergeCell ref="BV111:CK112"/>
    <mergeCell ref="CL111:CZ112"/>
    <mergeCell ref="H112:BU112"/>
    <mergeCell ref="A113:F113"/>
    <mergeCell ref="H113:BU113"/>
    <mergeCell ref="BV113:CK113"/>
    <mergeCell ref="CL113:CZ113"/>
    <mergeCell ref="A115:F115"/>
    <mergeCell ref="G115:BU115"/>
    <mergeCell ref="BV115:CK115"/>
    <mergeCell ref="CL115:CZ115"/>
    <mergeCell ref="A116:CZ116"/>
    <mergeCell ref="A117:F117"/>
    <mergeCell ref="BV117:CK117"/>
    <mergeCell ref="CL117:CZ117"/>
    <mergeCell ref="A121:F121"/>
    <mergeCell ref="H121:BU121"/>
    <mergeCell ref="BV121:CK121"/>
    <mergeCell ref="CL121:CZ121"/>
    <mergeCell ref="A122:F122"/>
    <mergeCell ref="H122:BU122"/>
    <mergeCell ref="BV122:CK122"/>
    <mergeCell ref="CL122:CZ122"/>
    <mergeCell ref="A118:F119"/>
    <mergeCell ref="H118:BU118"/>
    <mergeCell ref="BV118:CK119"/>
    <mergeCell ref="CL118:CZ119"/>
    <mergeCell ref="H119:BU119"/>
    <mergeCell ref="A120:F120"/>
    <mergeCell ref="H120:BU120"/>
    <mergeCell ref="BV120:CK120"/>
    <mergeCell ref="CL120:CZ120"/>
    <mergeCell ref="A126:F126"/>
    <mergeCell ref="H126:BU126"/>
    <mergeCell ref="BV126:CK126"/>
    <mergeCell ref="CL126:CZ126"/>
    <mergeCell ref="A123:F124"/>
    <mergeCell ref="H123:BU123"/>
    <mergeCell ref="BV123:CK124"/>
    <mergeCell ref="CL123:CZ124"/>
    <mergeCell ref="H124:BU124"/>
    <mergeCell ref="A125:F125"/>
    <mergeCell ref="H125:BU125"/>
    <mergeCell ref="BV125:CK125"/>
    <mergeCell ref="CL125:CZ125"/>
    <mergeCell ref="A130:F131"/>
    <mergeCell ref="H130:BU130"/>
    <mergeCell ref="BV130:CK131"/>
    <mergeCell ref="CL130:CZ131"/>
    <mergeCell ref="H131:BU131"/>
    <mergeCell ref="CL141:CZ141"/>
    <mergeCell ref="A138:F138"/>
    <mergeCell ref="H138:BU138"/>
    <mergeCell ref="BV138:CK138"/>
    <mergeCell ref="CL138:CZ138"/>
    <mergeCell ref="A132:F132"/>
    <mergeCell ref="H132:BU132"/>
    <mergeCell ref="BV132:CK132"/>
    <mergeCell ref="CL132:CZ132"/>
    <mergeCell ref="A127:F127"/>
    <mergeCell ref="G127:BU127"/>
    <mergeCell ref="BV127:CK127"/>
    <mergeCell ref="CL127:CZ127"/>
    <mergeCell ref="A128:CZ128"/>
    <mergeCell ref="A129:F129"/>
    <mergeCell ref="H129:BU129"/>
    <mergeCell ref="BV129:CK129"/>
    <mergeCell ref="CL129:CZ129"/>
    <mergeCell ref="A135:F136"/>
    <mergeCell ref="H135:BU135"/>
    <mergeCell ref="BV135:CK136"/>
    <mergeCell ref="CL135:CZ136"/>
    <mergeCell ref="H136:BU136"/>
    <mergeCell ref="A139:F139"/>
    <mergeCell ref="H139:BU139"/>
    <mergeCell ref="BV139:CK139"/>
    <mergeCell ref="CL139:CZ139"/>
    <mergeCell ref="W147:CZ147"/>
    <mergeCell ref="A149:F149"/>
    <mergeCell ref="G149:BU149"/>
    <mergeCell ref="BV149:CK149"/>
    <mergeCell ref="CL149:CZ149"/>
    <mergeCell ref="A137:F137"/>
    <mergeCell ref="H137:BU137"/>
    <mergeCell ref="BV137:CK137"/>
    <mergeCell ref="CL137:CZ137"/>
    <mergeCell ref="A133:F133"/>
    <mergeCell ref="H133:BU133"/>
    <mergeCell ref="BV133:CK133"/>
    <mergeCell ref="CL133:CZ133"/>
    <mergeCell ref="A134:F134"/>
    <mergeCell ref="H134:BU134"/>
    <mergeCell ref="BV134:CK134"/>
    <mergeCell ref="CL134:CZ134"/>
    <mergeCell ref="A142:F142"/>
    <mergeCell ref="G142:BU142"/>
    <mergeCell ref="BV142:CK142"/>
    <mergeCell ref="CL142:CZ142"/>
    <mergeCell ref="A143:F143"/>
    <mergeCell ref="G143:BU143"/>
    <mergeCell ref="BV143:CK143"/>
    <mergeCell ref="CL143:CZ143"/>
    <mergeCell ref="A140:F140"/>
    <mergeCell ref="H140:BU140"/>
    <mergeCell ref="BV140:CK140"/>
    <mergeCell ref="CL140:CZ140"/>
    <mergeCell ref="A141:F141"/>
    <mergeCell ref="H141:BU141"/>
    <mergeCell ref="BV141:CK141"/>
    <mergeCell ref="BS199:CH199"/>
    <mergeCell ref="CI199:CZ199"/>
    <mergeCell ref="A200:CZ200"/>
    <mergeCell ref="CI198:CZ198"/>
    <mergeCell ref="A184:G184"/>
    <mergeCell ref="H184:BB184"/>
    <mergeCell ref="BC184:BR184"/>
    <mergeCell ref="BS184:CH184"/>
    <mergeCell ref="CI184:CZ184"/>
    <mergeCell ref="A185:G185"/>
    <mergeCell ref="H185:BB185"/>
    <mergeCell ref="BC185:BR185"/>
    <mergeCell ref="A212:G212"/>
    <mergeCell ref="H212:BB212"/>
    <mergeCell ref="BC212:BR212"/>
    <mergeCell ref="BS212:CH212"/>
    <mergeCell ref="CI212:CZ212"/>
    <mergeCell ref="A203:BB203"/>
    <mergeCell ref="CI185:CZ185"/>
    <mergeCell ref="BS201:CH201"/>
    <mergeCell ref="CI201:CZ201"/>
    <mergeCell ref="A202:BB202"/>
    <mergeCell ref="BC202:BR202"/>
    <mergeCell ref="BS202:CH202"/>
    <mergeCell ref="CI202:CZ202"/>
    <mergeCell ref="BS203:CH203"/>
    <mergeCell ref="CI203:CZ203"/>
    <mergeCell ref="A201:G201"/>
    <mergeCell ref="H201:BB201"/>
    <mergeCell ref="BC201:BR201"/>
    <mergeCell ref="A199:G199"/>
    <mergeCell ref="H199:BB199"/>
    <mergeCell ref="CI210:CZ210"/>
    <mergeCell ref="A211:CZ211"/>
    <mergeCell ref="A205:CZ205"/>
    <mergeCell ref="W207:CZ207"/>
    <mergeCell ref="A209:G209"/>
    <mergeCell ref="H209:BB209"/>
    <mergeCell ref="BC209:BR209"/>
    <mergeCell ref="BS209:CH209"/>
    <mergeCell ref="CI209:CZ209"/>
    <mergeCell ref="A216:BB216"/>
    <mergeCell ref="BC216:BR216"/>
    <mergeCell ref="BS216:CH216"/>
    <mergeCell ref="CI216:CZ216"/>
    <mergeCell ref="A217:BB217"/>
    <mergeCell ref="BC217:BR217"/>
    <mergeCell ref="BS217:CH217"/>
    <mergeCell ref="CI217:CZ217"/>
    <mergeCell ref="A214:CZ214"/>
    <mergeCell ref="A215:G215"/>
    <mergeCell ref="H215:BB215"/>
    <mergeCell ref="BC215:BR215"/>
    <mergeCell ref="BS215:CH215"/>
    <mergeCell ref="CI215:CZ215"/>
    <mergeCell ref="A210:G210"/>
    <mergeCell ref="H210:BB210"/>
    <mergeCell ref="BC210:BR210"/>
    <mergeCell ref="BS210:CH210"/>
    <mergeCell ref="A219:CZ219"/>
    <mergeCell ref="A221:CZ221"/>
    <mergeCell ref="A228:G228"/>
    <mergeCell ref="H228:BB228"/>
    <mergeCell ref="BC228:BR228"/>
    <mergeCell ref="BS228:CH228"/>
    <mergeCell ref="CI228:CZ228"/>
    <mergeCell ref="A229:G229"/>
    <mergeCell ref="H229:BB229"/>
    <mergeCell ref="BC229:BR229"/>
    <mergeCell ref="BS229:CH229"/>
    <mergeCell ref="CI229:CZ229"/>
    <mergeCell ref="A226:G226"/>
    <mergeCell ref="H226:BB226"/>
    <mergeCell ref="BC226:BR226"/>
    <mergeCell ref="BS226:CH226"/>
    <mergeCell ref="CI226:CZ226"/>
    <mergeCell ref="A227:CZ227"/>
    <mergeCell ref="W223:CZ223"/>
    <mergeCell ref="A225:G225"/>
    <mergeCell ref="H225:BB225"/>
    <mergeCell ref="BC225:BR225"/>
    <mergeCell ref="BS225:CH225"/>
    <mergeCell ref="CI225:CZ225"/>
    <mergeCell ref="A233:BB233"/>
    <mergeCell ref="BC233:BR233"/>
    <mergeCell ref="BS233:CH233"/>
    <mergeCell ref="CI233:CZ233"/>
    <mergeCell ref="A234:BB234"/>
    <mergeCell ref="BC234:BR234"/>
    <mergeCell ref="BS234:CH234"/>
    <mergeCell ref="CI234:CZ234"/>
    <mergeCell ref="A230:BB230"/>
    <mergeCell ref="BC230:BR230"/>
    <mergeCell ref="BS230:CH230"/>
    <mergeCell ref="CI230:CZ230"/>
    <mergeCell ref="A231:CZ231"/>
    <mergeCell ref="A232:G232"/>
    <mergeCell ref="H232:BB232"/>
    <mergeCell ref="BC232:BR232"/>
    <mergeCell ref="BS232:CH232"/>
    <mergeCell ref="CI232:CZ232"/>
    <mergeCell ref="A243:G243"/>
    <mergeCell ref="H243:BB243"/>
    <mergeCell ref="BC243:BR243"/>
    <mergeCell ref="BS243:CH243"/>
    <mergeCell ref="CI243:CZ243"/>
    <mergeCell ref="A244:G244"/>
    <mergeCell ref="H244:BB244"/>
    <mergeCell ref="BC244:BR244"/>
    <mergeCell ref="BS244:CH244"/>
    <mergeCell ref="CI244:CZ244"/>
    <mergeCell ref="A241:G241"/>
    <mergeCell ref="H241:BB241"/>
    <mergeCell ref="BC241:BR241"/>
    <mergeCell ref="BS241:CH241"/>
    <mergeCell ref="CI241:CZ241"/>
    <mergeCell ref="A242:CZ242"/>
    <mergeCell ref="A236:CZ236"/>
    <mergeCell ref="W238:CZ238"/>
    <mergeCell ref="A240:G240"/>
    <mergeCell ref="H240:BB240"/>
    <mergeCell ref="BC240:BR240"/>
    <mergeCell ref="BS240:CH240"/>
    <mergeCell ref="CI240:CZ240"/>
    <mergeCell ref="A247:G247"/>
    <mergeCell ref="H247:BB247"/>
    <mergeCell ref="BC247:BR247"/>
    <mergeCell ref="BS247:CH247"/>
    <mergeCell ref="CI247:CZ247"/>
    <mergeCell ref="A248:G248"/>
    <mergeCell ref="H248:BB248"/>
    <mergeCell ref="BC248:BR248"/>
    <mergeCell ref="BS248:CH248"/>
    <mergeCell ref="CI248:CZ248"/>
    <mergeCell ref="A245:G245"/>
    <mergeCell ref="H245:BB245"/>
    <mergeCell ref="BC245:BR245"/>
    <mergeCell ref="BS245:CH245"/>
    <mergeCell ref="CI245:CZ245"/>
    <mergeCell ref="A246:G246"/>
    <mergeCell ref="H246:BB246"/>
    <mergeCell ref="BC246:BR246"/>
    <mergeCell ref="BS246:CH246"/>
    <mergeCell ref="CI246:CZ246"/>
    <mergeCell ref="A254:BB254"/>
    <mergeCell ref="BC254:BR254"/>
    <mergeCell ref="BS254:CH254"/>
    <mergeCell ref="CI254:CZ254"/>
    <mergeCell ref="A255:BB255"/>
    <mergeCell ref="BC255:BR255"/>
    <mergeCell ref="BS255:CH255"/>
    <mergeCell ref="CI255:CZ255"/>
    <mergeCell ref="A250:BB250"/>
    <mergeCell ref="BC250:BR250"/>
    <mergeCell ref="BS250:CH250"/>
    <mergeCell ref="CI250:CZ250"/>
    <mergeCell ref="A251:CZ251"/>
    <mergeCell ref="A252:G252"/>
    <mergeCell ref="H252:BB252"/>
    <mergeCell ref="BC252:BR252"/>
    <mergeCell ref="BS252:CH252"/>
    <mergeCell ref="CI252:CZ252"/>
    <mergeCell ref="A253:G253"/>
    <mergeCell ref="H253:BB253"/>
    <mergeCell ref="BC253:BR253"/>
    <mergeCell ref="BS253:CH253"/>
    <mergeCell ref="CI253:CZ253"/>
    <mergeCell ref="A264:G264"/>
    <mergeCell ref="H264:BB264"/>
    <mergeCell ref="BC264:BR264"/>
    <mergeCell ref="BS264:CH264"/>
    <mergeCell ref="CI264:CZ264"/>
    <mergeCell ref="A265:BB265"/>
    <mergeCell ref="BC265:BR265"/>
    <mergeCell ref="BS265:CH265"/>
    <mergeCell ref="CI265:CZ265"/>
    <mergeCell ref="A262:G262"/>
    <mergeCell ref="H262:BB262"/>
    <mergeCell ref="BC262:BR262"/>
    <mergeCell ref="BS262:CH262"/>
    <mergeCell ref="CI262:CZ262"/>
    <mergeCell ref="A263:CZ263"/>
    <mergeCell ref="A257:CZ257"/>
    <mergeCell ref="W259:CZ259"/>
    <mergeCell ref="A261:G261"/>
    <mergeCell ref="H261:BB261"/>
    <mergeCell ref="BC261:BR261"/>
    <mergeCell ref="BS261:CH261"/>
    <mergeCell ref="CI261:CZ261"/>
    <mergeCell ref="A271:CZ271"/>
    <mergeCell ref="W273:CZ273"/>
    <mergeCell ref="A275:G275"/>
    <mergeCell ref="H275:BB275"/>
    <mergeCell ref="BC275:BR275"/>
    <mergeCell ref="BS275:CH275"/>
    <mergeCell ref="CI275:CZ275"/>
    <mergeCell ref="A268:BB268"/>
    <mergeCell ref="BC268:BR268"/>
    <mergeCell ref="BS268:CH268"/>
    <mergeCell ref="CI268:CZ268"/>
    <mergeCell ref="A269:BB269"/>
    <mergeCell ref="BC269:BR269"/>
    <mergeCell ref="BS269:CH269"/>
    <mergeCell ref="CI269:CZ269"/>
    <mergeCell ref="A266:CZ266"/>
    <mergeCell ref="A267:G267"/>
    <mergeCell ref="H267:BB267"/>
    <mergeCell ref="BC267:BR267"/>
    <mergeCell ref="BS267:CH267"/>
    <mergeCell ref="CI267:CZ267"/>
    <mergeCell ref="A280:CZ280"/>
    <mergeCell ref="A281:G281"/>
    <mergeCell ref="H281:BB281"/>
    <mergeCell ref="BC281:BR281"/>
    <mergeCell ref="BS281:CH281"/>
    <mergeCell ref="CI281:CZ281"/>
    <mergeCell ref="A278:G278"/>
    <mergeCell ref="H278:BB278"/>
    <mergeCell ref="BC278:BR278"/>
    <mergeCell ref="BS278:CH278"/>
    <mergeCell ref="CI278:CZ278"/>
    <mergeCell ref="A279:BB279"/>
    <mergeCell ref="BC279:BR279"/>
    <mergeCell ref="BS279:CH279"/>
    <mergeCell ref="CI279:CZ279"/>
    <mergeCell ref="A276:G276"/>
    <mergeCell ref="H276:BB276"/>
    <mergeCell ref="BC276:BR276"/>
    <mergeCell ref="BS276:CH276"/>
    <mergeCell ref="CI276:CZ276"/>
    <mergeCell ref="A277:CZ277"/>
    <mergeCell ref="A290:G290"/>
    <mergeCell ref="H290:BB290"/>
    <mergeCell ref="BC290:BR290"/>
    <mergeCell ref="BS290:CH290"/>
    <mergeCell ref="CI290:CZ290"/>
    <mergeCell ref="A291:CZ291"/>
    <mergeCell ref="A285:CZ285"/>
    <mergeCell ref="W287:CZ287"/>
    <mergeCell ref="A289:G289"/>
    <mergeCell ref="H289:BB289"/>
    <mergeCell ref="BC289:BR289"/>
    <mergeCell ref="BS289:CH289"/>
    <mergeCell ref="CI289:CZ289"/>
    <mergeCell ref="A282:BB282"/>
    <mergeCell ref="BC282:BR282"/>
    <mergeCell ref="BS282:CH282"/>
    <mergeCell ref="CI282:CZ282"/>
    <mergeCell ref="A283:BB283"/>
    <mergeCell ref="BC283:BR283"/>
    <mergeCell ref="BS283:CH283"/>
    <mergeCell ref="CI283:CZ283"/>
    <mergeCell ref="A296:BB296"/>
    <mergeCell ref="BC296:BR296"/>
    <mergeCell ref="BS296:CH296"/>
    <mergeCell ref="CI296:CZ296"/>
    <mergeCell ref="A297:BB297"/>
    <mergeCell ref="BC297:BR297"/>
    <mergeCell ref="BS297:CH297"/>
    <mergeCell ref="CI297:CZ297"/>
    <mergeCell ref="A294:CZ294"/>
    <mergeCell ref="A295:G295"/>
    <mergeCell ref="H295:BB295"/>
    <mergeCell ref="BC295:BR295"/>
    <mergeCell ref="BS295:CH295"/>
    <mergeCell ref="CI295:CZ295"/>
    <mergeCell ref="A292:G292"/>
    <mergeCell ref="H292:BB292"/>
    <mergeCell ref="BC292:BR292"/>
    <mergeCell ref="BS292:CH292"/>
    <mergeCell ref="CI292:CZ292"/>
    <mergeCell ref="A293:BB293"/>
    <mergeCell ref="BC293:BR293"/>
    <mergeCell ref="BS293:CH293"/>
    <mergeCell ref="CI293:CZ293"/>
    <mergeCell ref="A307:CZ307"/>
    <mergeCell ref="A308:G308"/>
    <mergeCell ref="H308:AN308"/>
    <mergeCell ref="AO308:BD308"/>
    <mergeCell ref="BE308:BT308"/>
    <mergeCell ref="BU308:CJ308"/>
    <mergeCell ref="CK308:CZ308"/>
    <mergeCell ref="A306:G306"/>
    <mergeCell ref="H306:AN306"/>
    <mergeCell ref="AO306:BD306"/>
    <mergeCell ref="BE306:BT306"/>
    <mergeCell ref="BU306:CJ306"/>
    <mergeCell ref="CK306:CZ306"/>
    <mergeCell ref="A299:CZ299"/>
    <mergeCell ref="A301:CZ301"/>
    <mergeCell ref="W303:CZ303"/>
    <mergeCell ref="A305:G305"/>
    <mergeCell ref="H305:AN305"/>
    <mergeCell ref="AO305:BD305"/>
    <mergeCell ref="BE305:BT305"/>
    <mergeCell ref="BU305:CJ305"/>
    <mergeCell ref="CK305:CZ305"/>
    <mergeCell ref="A313:AN313"/>
    <mergeCell ref="AO313:BD313"/>
    <mergeCell ref="BE313:BT313"/>
    <mergeCell ref="BU313:CJ313"/>
    <mergeCell ref="CK313:CZ313"/>
    <mergeCell ref="A314:CZ314"/>
    <mergeCell ref="A310:G310"/>
    <mergeCell ref="H310:AN310"/>
    <mergeCell ref="AO310:BD310"/>
    <mergeCell ref="BE310:BT310"/>
    <mergeCell ref="BU310:CJ310"/>
    <mergeCell ref="CK310:CZ310"/>
    <mergeCell ref="A309:G309"/>
    <mergeCell ref="H309:AN309"/>
    <mergeCell ref="AO309:BD309"/>
    <mergeCell ref="BE309:BT309"/>
    <mergeCell ref="BU309:CJ309"/>
    <mergeCell ref="CK309:CZ309"/>
    <mergeCell ref="A312:G312"/>
    <mergeCell ref="A311:G311"/>
    <mergeCell ref="H311:AN311"/>
    <mergeCell ref="H312:AN312"/>
    <mergeCell ref="AO311:BD311"/>
    <mergeCell ref="AO312:BD312"/>
    <mergeCell ref="BE311:BT311"/>
    <mergeCell ref="BE312:BT312"/>
    <mergeCell ref="BU311:CJ311"/>
    <mergeCell ref="BU312:CJ312"/>
    <mergeCell ref="CK311:CZ311"/>
    <mergeCell ref="CK312:CZ312"/>
    <mergeCell ref="A318:AN318"/>
    <mergeCell ref="AO318:BD318"/>
    <mergeCell ref="BE318:BT318"/>
    <mergeCell ref="BU318:CJ318"/>
    <mergeCell ref="CK318:CZ318"/>
    <mergeCell ref="A319:AN319"/>
    <mergeCell ref="AO319:BD319"/>
    <mergeCell ref="BE319:BT319"/>
    <mergeCell ref="BU319:CJ319"/>
    <mergeCell ref="CK319:CZ319"/>
    <mergeCell ref="A317:G317"/>
    <mergeCell ref="H317:AN317"/>
    <mergeCell ref="AO317:BD317"/>
    <mergeCell ref="BE317:BT317"/>
    <mergeCell ref="BU317:CJ317"/>
    <mergeCell ref="CK317:CZ317"/>
    <mergeCell ref="A315:G315"/>
    <mergeCell ref="H315:AN315"/>
    <mergeCell ref="AO315:BD315"/>
    <mergeCell ref="BE315:BT315"/>
    <mergeCell ref="BU315:CJ315"/>
    <mergeCell ref="CK315:CZ315"/>
    <mergeCell ref="A316:G316"/>
    <mergeCell ref="H316:AN316"/>
    <mergeCell ref="AO316:BD316"/>
    <mergeCell ref="BE316:BT316"/>
    <mergeCell ref="BU316:CJ316"/>
    <mergeCell ref="CK316:CZ316"/>
    <mergeCell ref="A328:G328"/>
    <mergeCell ref="H328:BB328"/>
    <mergeCell ref="BC328:BR328"/>
    <mergeCell ref="BS328:CH328"/>
    <mergeCell ref="CI328:CZ328"/>
    <mergeCell ref="A329:BB329"/>
    <mergeCell ref="BC329:BR329"/>
    <mergeCell ref="BS329:CH329"/>
    <mergeCell ref="CI329:CZ329"/>
    <mergeCell ref="A326:G326"/>
    <mergeCell ref="H326:BB326"/>
    <mergeCell ref="BC326:BR326"/>
    <mergeCell ref="BS326:CH326"/>
    <mergeCell ref="CI326:CZ326"/>
    <mergeCell ref="A327:CZ327"/>
    <mergeCell ref="A321:CZ321"/>
    <mergeCell ref="W323:CZ323"/>
    <mergeCell ref="A325:G325"/>
    <mergeCell ref="H325:BB325"/>
    <mergeCell ref="BC325:BR325"/>
    <mergeCell ref="BS325:CH325"/>
    <mergeCell ref="CI325:CZ325"/>
    <mergeCell ref="A335:CZ335"/>
    <mergeCell ref="W337:CZ337"/>
    <mergeCell ref="A339:G339"/>
    <mergeCell ref="H339:BB339"/>
    <mergeCell ref="BC339:BR339"/>
    <mergeCell ref="BS339:CH339"/>
    <mergeCell ref="CI339:CZ339"/>
    <mergeCell ref="A332:BB332"/>
    <mergeCell ref="BC332:BR332"/>
    <mergeCell ref="BS332:CH332"/>
    <mergeCell ref="CI332:CZ332"/>
    <mergeCell ref="A333:BB333"/>
    <mergeCell ref="BC333:BR333"/>
    <mergeCell ref="BS333:CH333"/>
    <mergeCell ref="CI333:CZ333"/>
    <mergeCell ref="A330:CZ330"/>
    <mergeCell ref="A331:G331"/>
    <mergeCell ref="H331:BB331"/>
    <mergeCell ref="BC331:BR331"/>
    <mergeCell ref="BS331:CH331"/>
    <mergeCell ref="CI331:CZ331"/>
    <mergeCell ref="A344:BB344"/>
    <mergeCell ref="BC344:BR344"/>
    <mergeCell ref="BS344:CH344"/>
    <mergeCell ref="CI344:CZ344"/>
    <mergeCell ref="A346:CZ346"/>
    <mergeCell ref="W348:CZ348"/>
    <mergeCell ref="A342:G342"/>
    <mergeCell ref="H342:BB342"/>
    <mergeCell ref="BC342:BR342"/>
    <mergeCell ref="BS342:CH342"/>
    <mergeCell ref="CI342:CZ342"/>
    <mergeCell ref="A343:BB343"/>
    <mergeCell ref="BC343:BR343"/>
    <mergeCell ref="BS343:CH343"/>
    <mergeCell ref="CI343:CZ343"/>
    <mergeCell ref="A340:G340"/>
    <mergeCell ref="H340:BB340"/>
    <mergeCell ref="BC340:BR340"/>
    <mergeCell ref="BS340:CH340"/>
    <mergeCell ref="CI340:CZ340"/>
    <mergeCell ref="A341:CZ341"/>
    <mergeCell ref="A352:CZ352"/>
    <mergeCell ref="A353:G353"/>
    <mergeCell ref="H353:AN353"/>
    <mergeCell ref="AO353:BD353"/>
    <mergeCell ref="BE353:BT353"/>
    <mergeCell ref="BU353:CJ353"/>
    <mergeCell ref="CK353:CZ353"/>
    <mergeCell ref="A351:G351"/>
    <mergeCell ref="H351:AN351"/>
    <mergeCell ref="AO351:BD351"/>
    <mergeCell ref="BE351:BT351"/>
    <mergeCell ref="BU351:CJ351"/>
    <mergeCell ref="CK351:CZ351"/>
    <mergeCell ref="A350:G350"/>
    <mergeCell ref="H350:AN350"/>
    <mergeCell ref="AO350:BD350"/>
    <mergeCell ref="BE350:BT350"/>
    <mergeCell ref="BU350:CJ350"/>
    <mergeCell ref="CK350:CZ350"/>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4:G354"/>
    <mergeCell ref="H354:AN354"/>
    <mergeCell ref="AO354:BD354"/>
    <mergeCell ref="BE354:BT354"/>
    <mergeCell ref="BU354:CJ354"/>
    <mergeCell ref="CK354:CZ354"/>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357:G357"/>
    <mergeCell ref="H357:AN357"/>
    <mergeCell ref="AO357:BD357"/>
    <mergeCell ref="BE357:BT357"/>
    <mergeCell ref="BU357:CJ357"/>
    <mergeCell ref="CK357:CZ357"/>
    <mergeCell ref="A363:G363"/>
    <mergeCell ref="H363:AN363"/>
    <mergeCell ref="AO363:BD363"/>
    <mergeCell ref="BE363:BT363"/>
    <mergeCell ref="BU363:CJ363"/>
    <mergeCell ref="CK363:CZ363"/>
    <mergeCell ref="A361:AN361"/>
    <mergeCell ref="AO361:BD361"/>
    <mergeCell ref="BE361:BT361"/>
    <mergeCell ref="BU361:CJ361"/>
    <mergeCell ref="CK361:CZ361"/>
    <mergeCell ref="A362:CZ362"/>
    <mergeCell ref="A360:G360"/>
    <mergeCell ref="H360:AN360"/>
    <mergeCell ref="AO360:BD360"/>
    <mergeCell ref="BE360:BT360"/>
    <mergeCell ref="BU360:CJ360"/>
    <mergeCell ref="CK360:CZ360"/>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O364:BD364"/>
    <mergeCell ref="BE364:BT364"/>
    <mergeCell ref="BU364:CJ364"/>
    <mergeCell ref="CK364:CZ364"/>
    <mergeCell ref="A369:G369"/>
    <mergeCell ref="H369:AN369"/>
    <mergeCell ref="AO369:BD369"/>
    <mergeCell ref="BE369:BT369"/>
    <mergeCell ref="BU369:CJ369"/>
    <mergeCell ref="CK369:CZ369"/>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A378:G378"/>
    <mergeCell ref="H378:AN378"/>
    <mergeCell ref="AO378:BD378"/>
    <mergeCell ref="BE378:BT378"/>
    <mergeCell ref="BU378:CJ378"/>
    <mergeCell ref="CK378:CZ378"/>
    <mergeCell ref="A373:CZ373"/>
    <mergeCell ref="W375:CZ375"/>
    <mergeCell ref="A377:G377"/>
    <mergeCell ref="H377:AN377"/>
    <mergeCell ref="AO377:BD377"/>
    <mergeCell ref="BE377:BT377"/>
    <mergeCell ref="BU377:CJ377"/>
    <mergeCell ref="CK377:CZ377"/>
    <mergeCell ref="A370:AN370"/>
    <mergeCell ref="AO370:BD370"/>
    <mergeCell ref="BE370:BT370"/>
    <mergeCell ref="BU370:CJ370"/>
    <mergeCell ref="CK370:CZ370"/>
    <mergeCell ref="A371:AN371"/>
    <mergeCell ref="AO371:BD371"/>
    <mergeCell ref="BE371:BT371"/>
    <mergeCell ref="BU371:CJ371"/>
    <mergeCell ref="CK371:CZ371"/>
    <mergeCell ref="A379:CZ379"/>
    <mergeCell ref="A386:G386"/>
    <mergeCell ref="H386:BB386"/>
    <mergeCell ref="BC386:BR386"/>
    <mergeCell ref="BS386:CH386"/>
    <mergeCell ref="CI386:CZ386"/>
    <mergeCell ref="A383:G383"/>
    <mergeCell ref="H383:AN383"/>
    <mergeCell ref="AO383:BD383"/>
    <mergeCell ref="BE383:BT383"/>
    <mergeCell ref="BU383:CJ383"/>
    <mergeCell ref="CK383:CZ383"/>
    <mergeCell ref="A382:G382"/>
    <mergeCell ref="H382:AN382"/>
    <mergeCell ref="AO382:BD382"/>
    <mergeCell ref="BE382:BT382"/>
    <mergeCell ref="BU382:CJ382"/>
    <mergeCell ref="CK382:CZ382"/>
    <mergeCell ref="BU390:CJ390"/>
    <mergeCell ref="CK390:CZ390"/>
    <mergeCell ref="A391:G391"/>
    <mergeCell ref="H391:AN391"/>
    <mergeCell ref="AO391:BD391"/>
    <mergeCell ref="BE391:BT391"/>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CK391:CZ391"/>
    <mergeCell ref="BU388:CJ388"/>
    <mergeCell ref="CK388:CZ388"/>
    <mergeCell ref="A396:CZ396"/>
    <mergeCell ref="A405:G405"/>
    <mergeCell ref="H405:AN405"/>
    <mergeCell ref="AO405:BD405"/>
    <mergeCell ref="BE405:BT405"/>
    <mergeCell ref="BU405:CJ405"/>
    <mergeCell ref="CK405:CZ405"/>
    <mergeCell ref="A404:G404"/>
    <mergeCell ref="A401:G401"/>
    <mergeCell ref="H401:AN401"/>
    <mergeCell ref="AO401:BD401"/>
    <mergeCell ref="BE401:BT401"/>
    <mergeCell ref="BU401:CJ401"/>
    <mergeCell ref="CK401:CZ401"/>
    <mergeCell ref="W398:CZ398"/>
    <mergeCell ref="A400:G400"/>
    <mergeCell ref="H400:AN400"/>
    <mergeCell ref="AO400:BD400"/>
    <mergeCell ref="BE400:BT400"/>
    <mergeCell ref="BU400:CJ400"/>
    <mergeCell ref="CK400:CZ400"/>
    <mergeCell ref="A388:AN388"/>
    <mergeCell ref="AO388:BD388"/>
    <mergeCell ref="BE388:BT388"/>
    <mergeCell ref="BU403:CJ403"/>
    <mergeCell ref="CK403:CZ403"/>
    <mergeCell ref="A390:G390"/>
    <mergeCell ref="H390:AN390"/>
    <mergeCell ref="AO390:BD390"/>
    <mergeCell ref="BE390:BT390"/>
    <mergeCell ref="A402:CZ402"/>
    <mergeCell ref="A403:G403"/>
    <mergeCell ref="H403:AN403"/>
    <mergeCell ref="AO403:BD403"/>
    <mergeCell ref="BE403:BT403"/>
    <mergeCell ref="A410:G410"/>
    <mergeCell ref="H410:AN410"/>
    <mergeCell ref="AO410:BD410"/>
    <mergeCell ref="BE410:BT410"/>
    <mergeCell ref="BU410:CJ410"/>
    <mergeCell ref="CK410:CZ410"/>
    <mergeCell ref="CI419:CZ419"/>
    <mergeCell ref="A387:BB387"/>
    <mergeCell ref="BC387:BR387"/>
    <mergeCell ref="BS387:CH387"/>
    <mergeCell ref="CI387:CZ387"/>
    <mergeCell ref="A384:AN384"/>
    <mergeCell ref="AO384:BD384"/>
    <mergeCell ref="BE384:BT384"/>
    <mergeCell ref="BU384:CJ384"/>
    <mergeCell ref="CK384:CZ384"/>
    <mergeCell ref="A385:CZ385"/>
    <mergeCell ref="A407:AN407"/>
    <mergeCell ref="AO407:BD407"/>
    <mergeCell ref="BE407:BT407"/>
    <mergeCell ref="BU407:CJ407"/>
    <mergeCell ref="CK407:CZ407"/>
    <mergeCell ref="A408:CZ408"/>
    <mergeCell ref="A406:G406"/>
    <mergeCell ref="H406:AN406"/>
    <mergeCell ref="AO406:BD406"/>
    <mergeCell ref="BE406:BT406"/>
    <mergeCell ref="A409:G409"/>
    <mergeCell ref="H409:AN409"/>
    <mergeCell ref="AO409:BD409"/>
    <mergeCell ref="BE409:BT409"/>
    <mergeCell ref="BU409:CJ409"/>
    <mergeCell ref="CK409:CZ409"/>
    <mergeCell ref="BS422:CH422"/>
    <mergeCell ref="BS423:CH423"/>
    <mergeCell ref="BS424:CH424"/>
    <mergeCell ref="BS425:CH425"/>
    <mergeCell ref="A411:G411"/>
    <mergeCell ref="H411:AN411"/>
    <mergeCell ref="AO411:BD411"/>
    <mergeCell ref="BE411:BT411"/>
    <mergeCell ref="BU411:CJ411"/>
    <mergeCell ref="CK411:CZ411"/>
    <mergeCell ref="H404:AN404"/>
    <mergeCell ref="AO404:BD404"/>
    <mergeCell ref="BE404:BT404"/>
    <mergeCell ref="BU404:CJ404"/>
    <mergeCell ref="CK404:CZ404"/>
    <mergeCell ref="BU406:CJ406"/>
    <mergeCell ref="CK406:CZ406"/>
    <mergeCell ref="A412:AN412"/>
    <mergeCell ref="AO412:BD412"/>
    <mergeCell ref="BE412:BT412"/>
    <mergeCell ref="BU412:CJ412"/>
    <mergeCell ref="CK412:CZ412"/>
    <mergeCell ref="A413:AN413"/>
    <mergeCell ref="AO413:BD413"/>
    <mergeCell ref="BE413:BT413"/>
    <mergeCell ref="H439:BB439"/>
    <mergeCell ref="BC439:BR439"/>
    <mergeCell ref="BS439:CH439"/>
    <mergeCell ref="CI439:CZ439"/>
    <mergeCell ref="BU413:CJ413"/>
    <mergeCell ref="CK413:CZ413"/>
    <mergeCell ref="A415:CZ415"/>
    <mergeCell ref="CK431:CZ431"/>
    <mergeCell ref="CK422:CZ422"/>
    <mergeCell ref="CK423:CZ423"/>
    <mergeCell ref="BC426:BR426"/>
    <mergeCell ref="BS426:CH426"/>
    <mergeCell ref="H428:BB428"/>
    <mergeCell ref="H429:BB429"/>
    <mergeCell ref="H430:BB430"/>
    <mergeCell ref="A420:G420"/>
    <mergeCell ref="H420:BB420"/>
    <mergeCell ref="BC420:BR420"/>
    <mergeCell ref="BS420:CH420"/>
    <mergeCell ref="CI420:CZ420"/>
    <mergeCell ref="A421:CZ421"/>
    <mergeCell ref="A425:G425"/>
    <mergeCell ref="A424:G424"/>
    <mergeCell ref="CK424:CZ424"/>
    <mergeCell ref="W417:CZ417"/>
    <mergeCell ref="A419:G419"/>
    <mergeCell ref="H419:BB419"/>
    <mergeCell ref="BC419:BR419"/>
    <mergeCell ref="BS419:CH419"/>
    <mergeCell ref="A422:G422"/>
    <mergeCell ref="CK433:CZ433"/>
    <mergeCell ref="CK426:CZ426"/>
    <mergeCell ref="A428:G428"/>
    <mergeCell ref="A464:G464"/>
    <mergeCell ref="H464:BB464"/>
    <mergeCell ref="CK428:CZ428"/>
    <mergeCell ref="A429:G429"/>
    <mergeCell ref="A430:G430"/>
    <mergeCell ref="CK430:CZ430"/>
    <mergeCell ref="A435:CZ435"/>
    <mergeCell ref="W437:CZ437"/>
    <mergeCell ref="A439:G439"/>
    <mergeCell ref="CI447:CZ447"/>
    <mergeCell ref="A460:G460"/>
    <mergeCell ref="H460:BB460"/>
    <mergeCell ref="BC460:BR460"/>
    <mergeCell ref="A454:G454"/>
    <mergeCell ref="H454:BB454"/>
    <mergeCell ref="BS443:CH443"/>
    <mergeCell ref="CI443:CZ443"/>
    <mergeCell ref="A448:G448"/>
    <mergeCell ref="CK432:CZ432"/>
    <mergeCell ref="BS448:CH448"/>
    <mergeCell ref="CI448:CZ448"/>
    <mergeCell ref="A449:G449"/>
    <mergeCell ref="H449:BB449"/>
    <mergeCell ref="BS466:CH466"/>
    <mergeCell ref="CI466:CZ466"/>
    <mergeCell ref="BC462:BR462"/>
    <mergeCell ref="A462:G462"/>
    <mergeCell ref="H462:BB462"/>
    <mergeCell ref="BC461:BR461"/>
    <mergeCell ref="CI458:CZ458"/>
    <mergeCell ref="H447:BB447"/>
    <mergeCell ref="BC447:BR447"/>
    <mergeCell ref="BS447:CH447"/>
    <mergeCell ref="A468:G468"/>
    <mergeCell ref="H468:BB468"/>
    <mergeCell ref="BC468:BR468"/>
    <mergeCell ref="BS468:CH468"/>
    <mergeCell ref="CI468:CZ468"/>
    <mergeCell ref="A461:G461"/>
    <mergeCell ref="H461:BB461"/>
    <mergeCell ref="A466:G466"/>
    <mergeCell ref="H466:BB466"/>
    <mergeCell ref="BC466:BR466"/>
    <mergeCell ref="A467:G467"/>
    <mergeCell ref="H467:BB467"/>
    <mergeCell ref="BC467:BR467"/>
    <mergeCell ref="BC465:BR465"/>
    <mergeCell ref="BS465:CH465"/>
    <mergeCell ref="CI465:CZ465"/>
    <mergeCell ref="BS467:CH467"/>
    <mergeCell ref="CI467:CZ467"/>
    <mergeCell ref="A465:G465"/>
    <mergeCell ref="H465:BB465"/>
    <mergeCell ref="CI449:CZ449"/>
    <mergeCell ref="A472:G472"/>
    <mergeCell ref="H472:BB472"/>
    <mergeCell ref="BC472:BR472"/>
    <mergeCell ref="BS472:CH472"/>
    <mergeCell ref="CI472:CZ472"/>
    <mergeCell ref="A470:G470"/>
    <mergeCell ref="H470:BB470"/>
    <mergeCell ref="BC470:BR470"/>
    <mergeCell ref="BS470:CH470"/>
    <mergeCell ref="CI470:CZ470"/>
    <mergeCell ref="A471:G471"/>
    <mergeCell ref="H471:BB471"/>
    <mergeCell ref="BC471:BR471"/>
    <mergeCell ref="BS471:CH471"/>
    <mergeCell ref="CI471:CZ471"/>
    <mergeCell ref="H469:BB469"/>
    <mergeCell ref="BC469:BR469"/>
    <mergeCell ref="BS469:CH469"/>
    <mergeCell ref="CI469:CZ469"/>
    <mergeCell ref="A475:G475"/>
    <mergeCell ref="H475:BB475"/>
    <mergeCell ref="BC475:BR475"/>
    <mergeCell ref="BS475:CH475"/>
    <mergeCell ref="CI475:CZ475"/>
    <mergeCell ref="A476:G476"/>
    <mergeCell ref="H476:BB476"/>
    <mergeCell ref="BC476:BR476"/>
    <mergeCell ref="BS476:CH476"/>
    <mergeCell ref="CI476:CZ476"/>
    <mergeCell ref="A473:G473"/>
    <mergeCell ref="H473:BB473"/>
    <mergeCell ref="BC473:BR473"/>
    <mergeCell ref="BS473:CH473"/>
    <mergeCell ref="CI473:CZ473"/>
    <mergeCell ref="A474:G474"/>
    <mergeCell ref="H474:BB474"/>
    <mergeCell ref="BC474:BR474"/>
    <mergeCell ref="BS474:CH474"/>
    <mergeCell ref="CI474:CZ474"/>
    <mergeCell ref="A483:CZ483"/>
    <mergeCell ref="A484:G484"/>
    <mergeCell ref="H484:BB484"/>
    <mergeCell ref="BC484:BR484"/>
    <mergeCell ref="BS484:CH484"/>
    <mergeCell ref="CI484:CZ484"/>
    <mergeCell ref="A477:G477"/>
    <mergeCell ref="H477:BB477"/>
    <mergeCell ref="BC477:BR477"/>
    <mergeCell ref="BS477:CH477"/>
    <mergeCell ref="CI477:CZ477"/>
    <mergeCell ref="A478:G478"/>
    <mergeCell ref="H478:BB478"/>
    <mergeCell ref="BC478:BR478"/>
    <mergeCell ref="BS478:CH478"/>
    <mergeCell ref="CI478:CZ478"/>
    <mergeCell ref="A479:G479"/>
    <mergeCell ref="H479:BB479"/>
    <mergeCell ref="BC479:BR479"/>
    <mergeCell ref="BS479:CH479"/>
    <mergeCell ref="CI479:CZ479"/>
    <mergeCell ref="A480:G480"/>
    <mergeCell ref="H480:BB480"/>
    <mergeCell ref="BC480:BR480"/>
    <mergeCell ref="BS480:CH480"/>
    <mergeCell ref="CI480:CZ480"/>
    <mergeCell ref="A482:BB482"/>
    <mergeCell ref="BC482:BR482"/>
    <mergeCell ref="BS482:CH482"/>
    <mergeCell ref="CI482:CZ482"/>
    <mergeCell ref="A481:G481"/>
    <mergeCell ref="H481:BB481"/>
    <mergeCell ref="A487:G487"/>
    <mergeCell ref="H487:BB487"/>
    <mergeCell ref="BC487:BR487"/>
    <mergeCell ref="BS487:CH487"/>
    <mergeCell ref="CI487:CZ487"/>
    <mergeCell ref="A488:G488"/>
    <mergeCell ref="H488:BB488"/>
    <mergeCell ref="BC488:BR488"/>
    <mergeCell ref="BS488:CH488"/>
    <mergeCell ref="CI488:CZ488"/>
    <mergeCell ref="A485:G485"/>
    <mergeCell ref="H485:BB485"/>
    <mergeCell ref="BC485:BR485"/>
    <mergeCell ref="BS485:CH485"/>
    <mergeCell ref="CI485:CZ485"/>
    <mergeCell ref="A486:G486"/>
    <mergeCell ref="H486:BB486"/>
    <mergeCell ref="BC486:BR486"/>
    <mergeCell ref="BS486:CH486"/>
    <mergeCell ref="CI486:CZ486"/>
    <mergeCell ref="BC481:BR481"/>
    <mergeCell ref="BS481:CH481"/>
    <mergeCell ref="CI481:CZ481"/>
    <mergeCell ref="A492:G492"/>
    <mergeCell ref="H492:BB492"/>
    <mergeCell ref="BC492:BR492"/>
    <mergeCell ref="BS492:CH492"/>
    <mergeCell ref="CI492:CZ492"/>
    <mergeCell ref="A498:G498"/>
    <mergeCell ref="H498:BB498"/>
    <mergeCell ref="BC498:BR498"/>
    <mergeCell ref="BS498:CH498"/>
    <mergeCell ref="CI498:CZ498"/>
    <mergeCell ref="A489:BB489"/>
    <mergeCell ref="BC489:BR489"/>
    <mergeCell ref="BS489:CH489"/>
    <mergeCell ref="CI489:CZ489"/>
    <mergeCell ref="A490:CZ490"/>
    <mergeCell ref="A491:G491"/>
    <mergeCell ref="H491:BB491"/>
    <mergeCell ref="BC491:BR491"/>
    <mergeCell ref="BS491:CH491"/>
    <mergeCell ref="CI491:CZ491"/>
    <mergeCell ref="A493:G493"/>
    <mergeCell ref="H493:BB493"/>
    <mergeCell ref="BC493:BR493"/>
    <mergeCell ref="BS493:CH493"/>
    <mergeCell ref="CI493:CZ493"/>
    <mergeCell ref="A494:G494"/>
    <mergeCell ref="A495:G495"/>
    <mergeCell ref="A496:G496"/>
    <mergeCell ref="H494:BB494"/>
    <mergeCell ref="BC494:BR494"/>
    <mergeCell ref="BC495:BR495"/>
    <mergeCell ref="BC496:BR496"/>
    <mergeCell ref="A505:CZ505"/>
    <mergeCell ref="W507:CZ507"/>
    <mergeCell ref="A509:G509"/>
    <mergeCell ref="H509:BR509"/>
    <mergeCell ref="BS509:CH509"/>
    <mergeCell ref="CI509:CZ509"/>
    <mergeCell ref="A501:G501"/>
    <mergeCell ref="H501:BB501"/>
    <mergeCell ref="BC501:BR501"/>
    <mergeCell ref="BS501:CH501"/>
    <mergeCell ref="CI501:CZ501"/>
    <mergeCell ref="A502:BB502"/>
    <mergeCell ref="BC502:BR502"/>
    <mergeCell ref="BS502:CH502"/>
    <mergeCell ref="CI502:CZ502"/>
    <mergeCell ref="A499:G499"/>
    <mergeCell ref="H499:BB499"/>
    <mergeCell ref="BC499:BR499"/>
    <mergeCell ref="BS499:CH499"/>
    <mergeCell ref="CI499:CZ499"/>
    <mergeCell ref="A500:G500"/>
    <mergeCell ref="H500:BB500"/>
    <mergeCell ref="BC500:BR500"/>
    <mergeCell ref="BS500:CH500"/>
    <mergeCell ref="CI500:CZ500"/>
    <mergeCell ref="A503:BB503"/>
    <mergeCell ref="BC503:BR503"/>
    <mergeCell ref="BS503:CH503"/>
    <mergeCell ref="CI503:CZ503"/>
    <mergeCell ref="A513:G513"/>
    <mergeCell ref="H513:BR513"/>
    <mergeCell ref="BS513:CH513"/>
    <mergeCell ref="CI513:CZ513"/>
    <mergeCell ref="A514:G514"/>
    <mergeCell ref="H514:BR514"/>
    <mergeCell ref="BS514:CH514"/>
    <mergeCell ref="CI514:CZ514"/>
    <mergeCell ref="A510:G510"/>
    <mergeCell ref="H510:BR510"/>
    <mergeCell ref="BS510:CH510"/>
    <mergeCell ref="CI510:CZ510"/>
    <mergeCell ref="A511:CZ511"/>
    <mergeCell ref="A512:G512"/>
    <mergeCell ref="H512:BR512"/>
    <mergeCell ref="BS512:CH512"/>
    <mergeCell ref="CI512:CZ512"/>
    <mergeCell ref="A519:G519"/>
    <mergeCell ref="H519:BR519"/>
    <mergeCell ref="BS519:CH519"/>
    <mergeCell ref="CI519:CZ519"/>
    <mergeCell ref="A520:G520"/>
    <mergeCell ref="H520:BR520"/>
    <mergeCell ref="BS520:CH520"/>
    <mergeCell ref="CI520:CZ520"/>
    <mergeCell ref="A517:G517"/>
    <mergeCell ref="H517:BR517"/>
    <mergeCell ref="BS517:CH517"/>
    <mergeCell ref="CI517:CZ517"/>
    <mergeCell ref="A518:G518"/>
    <mergeCell ref="H518:BR518"/>
    <mergeCell ref="BS518:CH518"/>
    <mergeCell ref="CI518:CZ518"/>
    <mergeCell ref="A515:G515"/>
    <mergeCell ref="H515:BR515"/>
    <mergeCell ref="BS515:CH515"/>
    <mergeCell ref="CI515:CZ515"/>
    <mergeCell ref="A516:G516"/>
    <mergeCell ref="H516:BR516"/>
    <mergeCell ref="BS516:CH516"/>
    <mergeCell ref="CI516:CZ516"/>
    <mergeCell ref="A525:G525"/>
    <mergeCell ref="H525:BR525"/>
    <mergeCell ref="BS525:CH525"/>
    <mergeCell ref="CI525:CZ525"/>
    <mergeCell ref="A526:G526"/>
    <mergeCell ref="H526:BR526"/>
    <mergeCell ref="BS526:CH526"/>
    <mergeCell ref="CI526:CZ526"/>
    <mergeCell ref="A523:G523"/>
    <mergeCell ref="H523:BR523"/>
    <mergeCell ref="BS523:CH523"/>
    <mergeCell ref="CI523:CZ523"/>
    <mergeCell ref="A524:G524"/>
    <mergeCell ref="H524:BR524"/>
    <mergeCell ref="BS524:CH524"/>
    <mergeCell ref="CI524:CZ524"/>
    <mergeCell ref="A521:G521"/>
    <mergeCell ref="H521:BR521"/>
    <mergeCell ref="BS521:CH521"/>
    <mergeCell ref="CI521:CZ521"/>
    <mergeCell ref="A522:G522"/>
    <mergeCell ref="H522:BR522"/>
    <mergeCell ref="BS522:CH522"/>
    <mergeCell ref="CI522:CZ522"/>
    <mergeCell ref="A532:G532"/>
    <mergeCell ref="H532:BR532"/>
    <mergeCell ref="BS532:CH532"/>
    <mergeCell ref="CI532:CZ532"/>
    <mergeCell ref="A533:G533"/>
    <mergeCell ref="H533:BR533"/>
    <mergeCell ref="BS533:CH533"/>
    <mergeCell ref="CI533:CZ533"/>
    <mergeCell ref="A530:G530"/>
    <mergeCell ref="H530:BR530"/>
    <mergeCell ref="BS530:CH530"/>
    <mergeCell ref="CI530:CZ530"/>
    <mergeCell ref="A531:G531"/>
    <mergeCell ref="H531:BR531"/>
    <mergeCell ref="BS531:CH531"/>
    <mergeCell ref="CI531:CZ531"/>
    <mergeCell ref="A527:G527"/>
    <mergeCell ref="H527:BR527"/>
    <mergeCell ref="BS527:CH527"/>
    <mergeCell ref="CI527:CZ527"/>
    <mergeCell ref="A529:G529"/>
    <mergeCell ref="H529:BR529"/>
    <mergeCell ref="BS529:CH529"/>
    <mergeCell ref="CI529:CZ529"/>
    <mergeCell ref="A528:G528"/>
    <mergeCell ref="H528:BR528"/>
    <mergeCell ref="BS528:CH528"/>
    <mergeCell ref="CI528:CZ528"/>
    <mergeCell ref="A538:G538"/>
    <mergeCell ref="H538:BR538"/>
    <mergeCell ref="BS538:CH538"/>
    <mergeCell ref="CI538:CZ538"/>
    <mergeCell ref="A539:G539"/>
    <mergeCell ref="H539:BR539"/>
    <mergeCell ref="BS539:CH539"/>
    <mergeCell ref="CI539:CZ539"/>
    <mergeCell ref="A536:G536"/>
    <mergeCell ref="H536:BR536"/>
    <mergeCell ref="BS536:CH536"/>
    <mergeCell ref="CI536:CZ536"/>
    <mergeCell ref="A537:G537"/>
    <mergeCell ref="H537:BR537"/>
    <mergeCell ref="BS537:CH537"/>
    <mergeCell ref="CI537:CZ537"/>
    <mergeCell ref="A534:G534"/>
    <mergeCell ref="H534:BR534"/>
    <mergeCell ref="BS534:CH534"/>
    <mergeCell ref="CI534:CZ534"/>
    <mergeCell ref="A535:G535"/>
    <mergeCell ref="H535:BR535"/>
    <mergeCell ref="BS535:CH535"/>
    <mergeCell ref="CI535:CZ535"/>
    <mergeCell ref="A542:G542"/>
    <mergeCell ref="H542:BR542"/>
    <mergeCell ref="BS542:CH542"/>
    <mergeCell ref="CI542:CZ542"/>
    <mergeCell ref="A543:G543"/>
    <mergeCell ref="H543:BR543"/>
    <mergeCell ref="BS543:CH543"/>
    <mergeCell ref="CI543:CZ543"/>
    <mergeCell ref="A540:G540"/>
    <mergeCell ref="H540:BR540"/>
    <mergeCell ref="BS540:CH540"/>
    <mergeCell ref="CI540:CZ540"/>
    <mergeCell ref="A541:G541"/>
    <mergeCell ref="H541:BR541"/>
    <mergeCell ref="BS541:CH541"/>
    <mergeCell ref="CI541:CZ541"/>
    <mergeCell ref="A548:G548"/>
    <mergeCell ref="H548:BR548"/>
    <mergeCell ref="BS548:CH548"/>
    <mergeCell ref="CI548:CZ548"/>
    <mergeCell ref="A545:G545"/>
    <mergeCell ref="A546:G546"/>
    <mergeCell ref="H544:BR544"/>
    <mergeCell ref="BS544:CH544"/>
    <mergeCell ref="CI544:CZ544"/>
    <mergeCell ref="H545:BR545"/>
    <mergeCell ref="BS545:CH545"/>
    <mergeCell ref="CI545:CZ545"/>
    <mergeCell ref="H546:BR546"/>
    <mergeCell ref="BS546:CH546"/>
    <mergeCell ref="CI546:CZ546"/>
    <mergeCell ref="H547:BR547"/>
    <mergeCell ref="A554:G554"/>
    <mergeCell ref="H554:BR554"/>
    <mergeCell ref="BS554:CH554"/>
    <mergeCell ref="CI554:CZ554"/>
    <mergeCell ref="A555:G555"/>
    <mergeCell ref="H555:BR555"/>
    <mergeCell ref="BS555:CH555"/>
    <mergeCell ref="CI555:CZ555"/>
    <mergeCell ref="A551:BR551"/>
    <mergeCell ref="BS551:CH551"/>
    <mergeCell ref="CI551:CZ551"/>
    <mergeCell ref="A552:CZ552"/>
    <mergeCell ref="A553:G553"/>
    <mergeCell ref="H553:BR553"/>
    <mergeCell ref="BS553:CH553"/>
    <mergeCell ref="CI553:CZ553"/>
    <mergeCell ref="A544:G544"/>
    <mergeCell ref="A547:G547"/>
    <mergeCell ref="A549:G549"/>
    <mergeCell ref="H549:BR549"/>
    <mergeCell ref="BS549:CH549"/>
    <mergeCell ref="CI549:CZ549"/>
    <mergeCell ref="CI550:CZ550"/>
    <mergeCell ref="A550:G550"/>
    <mergeCell ref="H550:BR550"/>
    <mergeCell ref="BS550:CH550"/>
    <mergeCell ref="BS547:CH547"/>
    <mergeCell ref="CI547:CZ547"/>
    <mergeCell ref="A561:G561"/>
    <mergeCell ref="H561:BR561"/>
    <mergeCell ref="BS561:CH561"/>
    <mergeCell ref="CI561:CZ561"/>
    <mergeCell ref="A562:BR562"/>
    <mergeCell ref="BS562:CH562"/>
    <mergeCell ref="CI562:CZ562"/>
    <mergeCell ref="A558:CZ558"/>
    <mergeCell ref="A559:G559"/>
    <mergeCell ref="H559:BR559"/>
    <mergeCell ref="BS559:CH559"/>
    <mergeCell ref="CI559:CZ559"/>
    <mergeCell ref="A560:G560"/>
    <mergeCell ref="H560:BR560"/>
    <mergeCell ref="BS560:CH560"/>
    <mergeCell ref="CI560:CZ560"/>
    <mergeCell ref="A556:G556"/>
    <mergeCell ref="H556:BR556"/>
    <mergeCell ref="BS556:CH556"/>
    <mergeCell ref="CI556:CZ556"/>
    <mergeCell ref="A557:BR557"/>
    <mergeCell ref="BS557:CH557"/>
    <mergeCell ref="CI557:CZ557"/>
    <mergeCell ref="A693:G693"/>
    <mergeCell ref="A566:G566"/>
    <mergeCell ref="H566:BR566"/>
    <mergeCell ref="BS566:CH566"/>
    <mergeCell ref="CI566:CZ566"/>
    <mergeCell ref="A570:G570"/>
    <mergeCell ref="H570:BR570"/>
    <mergeCell ref="BS570:CH570"/>
    <mergeCell ref="CI570:CZ570"/>
    <mergeCell ref="A563:CZ563"/>
    <mergeCell ref="A564:G564"/>
    <mergeCell ref="H564:BR564"/>
    <mergeCell ref="BS564:CH564"/>
    <mergeCell ref="CI564:CZ564"/>
    <mergeCell ref="A565:G565"/>
    <mergeCell ref="H565:BR565"/>
    <mergeCell ref="BS565:CH565"/>
    <mergeCell ref="CI565:CZ565"/>
    <mergeCell ref="A569:G569"/>
    <mergeCell ref="H569:BR569"/>
    <mergeCell ref="BS569:CH569"/>
    <mergeCell ref="CI569:CZ569"/>
    <mergeCell ref="A567:G567"/>
    <mergeCell ref="H567:BR567"/>
    <mergeCell ref="BS567:CH567"/>
    <mergeCell ref="CI567:CZ567"/>
    <mergeCell ref="H693:AT693"/>
    <mergeCell ref="AU692:BB692"/>
    <mergeCell ref="BC692:BR692"/>
    <mergeCell ref="BC680:BR680"/>
    <mergeCell ref="BS680:CH680"/>
    <mergeCell ref="CI680:CZ680"/>
    <mergeCell ref="BC678:BR678"/>
    <mergeCell ref="BS678:CH678"/>
    <mergeCell ref="CI678:CZ678"/>
    <mergeCell ref="A675:G675"/>
    <mergeCell ref="H675:BB675"/>
    <mergeCell ref="BC675:BR675"/>
    <mergeCell ref="BS675:CH675"/>
    <mergeCell ref="CI675:CZ675"/>
    <mergeCell ref="A676:BB676"/>
    <mergeCell ref="BC676:BR676"/>
    <mergeCell ref="BS676:CH676"/>
    <mergeCell ref="CI676:CZ676"/>
    <mergeCell ref="A679:BB679"/>
    <mergeCell ref="BC679:BR679"/>
    <mergeCell ref="BS679:CH679"/>
    <mergeCell ref="CI679:CZ679"/>
    <mergeCell ref="A680:BB680"/>
    <mergeCell ref="H678:BB678"/>
    <mergeCell ref="H688:AT688"/>
    <mergeCell ref="AU688:BB688"/>
    <mergeCell ref="BC688:BR688"/>
    <mergeCell ref="BS688:CH688"/>
    <mergeCell ref="A692:G692"/>
    <mergeCell ref="H692:AT692"/>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G694"/>
    <mergeCell ref="H694:AT694"/>
    <mergeCell ref="CI693:CZ693"/>
    <mergeCell ref="AU694:BB694"/>
    <mergeCell ref="BC694:BR694"/>
    <mergeCell ref="BS694:CH694"/>
    <mergeCell ref="CI694:CZ694"/>
    <mergeCell ref="BS692:CH692"/>
    <mergeCell ref="CI692:CZ692"/>
    <mergeCell ref="A691:G691"/>
    <mergeCell ref="AU691:BB691"/>
    <mergeCell ref="H691:AT691"/>
    <mergeCell ref="AU693:BB693"/>
    <mergeCell ref="BC693:BR693"/>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H697:AT697"/>
    <mergeCell ref="AU697:BB697"/>
    <mergeCell ref="BC697:BR697"/>
    <mergeCell ref="BS697:CH697"/>
    <mergeCell ref="CI697:CZ697"/>
    <mergeCell ref="A697:G697"/>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BC720:BR720"/>
    <mergeCell ref="BS720:CH720"/>
    <mergeCell ref="CI720:CZ720"/>
    <mergeCell ref="A722:G722"/>
    <mergeCell ref="H722:AT722"/>
    <mergeCell ref="AU722:BB722"/>
    <mergeCell ref="BC722:BR722"/>
    <mergeCell ref="BS722:CH722"/>
    <mergeCell ref="CI722:CZ722"/>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8:G738"/>
    <mergeCell ref="H738:AT738"/>
    <mergeCell ref="AU738:BB738"/>
    <mergeCell ref="BC738:BR738"/>
    <mergeCell ref="BS738:CH738"/>
    <mergeCell ref="CI738:CZ738"/>
    <mergeCell ref="A737:G737"/>
    <mergeCell ref="H737:AT737"/>
    <mergeCell ref="AU737:BB737"/>
    <mergeCell ref="BC737:BR737"/>
    <mergeCell ref="BS737:CH737"/>
    <mergeCell ref="CI737:CZ737"/>
    <mergeCell ref="A736:G736"/>
    <mergeCell ref="H736:AT736"/>
    <mergeCell ref="AU736:BB736"/>
    <mergeCell ref="BC736:BR736"/>
    <mergeCell ref="BS736:CH736"/>
    <mergeCell ref="CI736:CZ736"/>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39:G739"/>
    <mergeCell ref="H739:AT739"/>
    <mergeCell ref="AU739:BB739"/>
    <mergeCell ref="BC739:BR739"/>
    <mergeCell ref="BS739:CH739"/>
    <mergeCell ref="CI739:CZ739"/>
    <mergeCell ref="A740:G740"/>
    <mergeCell ref="H740:AT740"/>
    <mergeCell ref="AU740:BB740"/>
    <mergeCell ref="BC740:BR740"/>
    <mergeCell ref="BS740:CH740"/>
    <mergeCell ref="CI740:CZ740"/>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58:G758"/>
    <mergeCell ref="H758:AT758"/>
    <mergeCell ref="AU758:BB758"/>
    <mergeCell ref="BC758:BR758"/>
    <mergeCell ref="BS758:CH758"/>
    <mergeCell ref="CI758:CZ758"/>
    <mergeCell ref="CI764:CZ764"/>
    <mergeCell ref="A763:G763"/>
    <mergeCell ref="H763:AT763"/>
    <mergeCell ref="AU763:BB763"/>
    <mergeCell ref="BC763:BR763"/>
    <mergeCell ref="BS763:CH763"/>
    <mergeCell ref="CI763:CZ763"/>
    <mergeCell ref="A766:G766"/>
    <mergeCell ref="H766:AT766"/>
    <mergeCell ref="A762:G762"/>
    <mergeCell ref="H762:AT762"/>
    <mergeCell ref="AU762:BB762"/>
    <mergeCell ref="BC762:BR762"/>
    <mergeCell ref="BS762:CH762"/>
    <mergeCell ref="CI762:CZ762"/>
    <mergeCell ref="A761:G761"/>
    <mergeCell ref="H761:AT761"/>
    <mergeCell ref="AU761:BB761"/>
    <mergeCell ref="BC761:BR761"/>
    <mergeCell ref="BS761:CH761"/>
    <mergeCell ref="CI761:CZ761"/>
    <mergeCell ref="A764:G764"/>
    <mergeCell ref="H764:AT764"/>
    <mergeCell ref="AU764:BB764"/>
    <mergeCell ref="BC764:BR764"/>
    <mergeCell ref="BS764:CH764"/>
    <mergeCell ref="CI766:CZ766"/>
    <mergeCell ref="A765:G765"/>
    <mergeCell ref="H765:AT765"/>
    <mergeCell ref="AU765:BB765"/>
    <mergeCell ref="BC765:BR765"/>
    <mergeCell ref="BS765:CH765"/>
    <mergeCell ref="A773:G773"/>
    <mergeCell ref="H773:AT773"/>
    <mergeCell ref="AU773:BB773"/>
    <mergeCell ref="BC773:BR773"/>
    <mergeCell ref="BS773:CH773"/>
    <mergeCell ref="CI773:CZ773"/>
    <mergeCell ref="A772:G772"/>
    <mergeCell ref="H772:AT772"/>
    <mergeCell ref="AU772:BB772"/>
    <mergeCell ref="BC772:BR772"/>
    <mergeCell ref="BS772:CH772"/>
    <mergeCell ref="CI772:CZ772"/>
    <mergeCell ref="CI770:CZ770"/>
    <mergeCell ref="A771:G771"/>
    <mergeCell ref="H771:AT771"/>
    <mergeCell ref="AU771:BB771"/>
    <mergeCell ref="BC771:BR771"/>
    <mergeCell ref="BS771:CH771"/>
    <mergeCell ref="CI771:CZ771"/>
    <mergeCell ref="A770:G770"/>
    <mergeCell ref="H770:AT770"/>
    <mergeCell ref="AU770:BB770"/>
    <mergeCell ref="BC770:BR770"/>
    <mergeCell ref="BS770:CH770"/>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A774:G774"/>
    <mergeCell ref="H774:AT774"/>
    <mergeCell ref="AU774:BB774"/>
    <mergeCell ref="BC774:BR774"/>
    <mergeCell ref="BS774:CH774"/>
    <mergeCell ref="CI774:CZ774"/>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3:G803"/>
    <mergeCell ref="H803:AT803"/>
    <mergeCell ref="AU803:BB803"/>
    <mergeCell ref="BC803:BR803"/>
    <mergeCell ref="BS803:CH803"/>
    <mergeCell ref="CI803:CZ803"/>
    <mergeCell ref="A802:G802"/>
    <mergeCell ref="H802:AT802"/>
    <mergeCell ref="AU802:BB802"/>
    <mergeCell ref="BC802:BR802"/>
    <mergeCell ref="BS802:CH802"/>
    <mergeCell ref="CI802:CZ802"/>
    <mergeCell ref="A801:G801"/>
    <mergeCell ref="H801:AT801"/>
    <mergeCell ref="AU801:BB801"/>
    <mergeCell ref="BC801:BR801"/>
    <mergeCell ref="BS801:CH801"/>
    <mergeCell ref="CI801:CZ801"/>
    <mergeCell ref="A806:G806"/>
    <mergeCell ref="H806:AT806"/>
    <mergeCell ref="AU806:BB806"/>
    <mergeCell ref="BC806:BR806"/>
    <mergeCell ref="BS806:CH806"/>
    <mergeCell ref="CI806:CZ806"/>
    <mergeCell ref="A805:G805"/>
    <mergeCell ref="H805:AT805"/>
    <mergeCell ref="AU805:BB805"/>
    <mergeCell ref="BC805:BR805"/>
    <mergeCell ref="BS805:CH805"/>
    <mergeCell ref="CI805:CZ805"/>
    <mergeCell ref="A804:G804"/>
    <mergeCell ref="H804:AT804"/>
    <mergeCell ref="AU804:BB804"/>
    <mergeCell ref="BC804:BR804"/>
    <mergeCell ref="BS804:CH804"/>
    <mergeCell ref="CI804:CZ804"/>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12:G812"/>
    <mergeCell ref="H812:AT812"/>
    <mergeCell ref="AU812:BB812"/>
    <mergeCell ref="BC812:BR812"/>
    <mergeCell ref="BS812:CH812"/>
    <mergeCell ref="CI812:CZ812"/>
    <mergeCell ref="A811:G811"/>
    <mergeCell ref="H811:AT811"/>
    <mergeCell ref="AU811:BB811"/>
    <mergeCell ref="BC811:BR811"/>
    <mergeCell ref="BS811:CH811"/>
    <mergeCell ref="CI811:CZ811"/>
    <mergeCell ref="A810:G810"/>
    <mergeCell ref="H810:AT810"/>
    <mergeCell ref="AU810:BB810"/>
    <mergeCell ref="BC810:BR810"/>
    <mergeCell ref="BS810:CH810"/>
    <mergeCell ref="CI810:CZ810"/>
    <mergeCell ref="A815:G815"/>
    <mergeCell ref="H815:AT815"/>
    <mergeCell ref="AU815:BB815"/>
    <mergeCell ref="BC815:BR815"/>
    <mergeCell ref="BS815:CH815"/>
    <mergeCell ref="CI815:CZ815"/>
    <mergeCell ref="A814:G814"/>
    <mergeCell ref="H814:AT814"/>
    <mergeCell ref="AU814:BB814"/>
    <mergeCell ref="BC814:BR814"/>
    <mergeCell ref="BS814:CH814"/>
    <mergeCell ref="CI814:CZ814"/>
    <mergeCell ref="A813:G813"/>
    <mergeCell ref="H813:AT813"/>
    <mergeCell ref="AU813:BB813"/>
    <mergeCell ref="BC813:BR813"/>
    <mergeCell ref="BS813:CH813"/>
    <mergeCell ref="CI813:CZ813"/>
    <mergeCell ref="A818:G818"/>
    <mergeCell ref="H818:AT818"/>
    <mergeCell ref="AU818:BB818"/>
    <mergeCell ref="BC818:BR818"/>
    <mergeCell ref="BS818:CH818"/>
    <mergeCell ref="CI818:CZ818"/>
    <mergeCell ref="A817:G817"/>
    <mergeCell ref="H817:AT817"/>
    <mergeCell ref="AU817:BB817"/>
    <mergeCell ref="BC817:BR817"/>
    <mergeCell ref="BS817:CH817"/>
    <mergeCell ref="CI817:CZ817"/>
    <mergeCell ref="A816:G816"/>
    <mergeCell ref="H816:AT816"/>
    <mergeCell ref="AU816:BB816"/>
    <mergeCell ref="BC816:BR816"/>
    <mergeCell ref="BS816:CH816"/>
    <mergeCell ref="CI816:CZ816"/>
    <mergeCell ref="A821:G821"/>
    <mergeCell ref="H821:AT821"/>
    <mergeCell ref="AU821:BB821"/>
    <mergeCell ref="BC821:BR821"/>
    <mergeCell ref="BS821:CH821"/>
    <mergeCell ref="CI821:CZ821"/>
    <mergeCell ref="A820:G820"/>
    <mergeCell ref="H820:AT820"/>
    <mergeCell ref="AU820:BB820"/>
    <mergeCell ref="BC820:BR820"/>
    <mergeCell ref="BS820:CH820"/>
    <mergeCell ref="CI820:CZ820"/>
    <mergeCell ref="A819:G819"/>
    <mergeCell ref="H819:AT819"/>
    <mergeCell ref="AU819:BB819"/>
    <mergeCell ref="BC819:BR819"/>
    <mergeCell ref="BS819:CH819"/>
    <mergeCell ref="CI819:CZ819"/>
    <mergeCell ref="A824:G824"/>
    <mergeCell ref="H824:AT824"/>
    <mergeCell ref="AU824:BB824"/>
    <mergeCell ref="BC824:BR824"/>
    <mergeCell ref="BS824:CH824"/>
    <mergeCell ref="CI824:CZ824"/>
    <mergeCell ref="A823:G823"/>
    <mergeCell ref="H823:AT823"/>
    <mergeCell ref="AU823:BB823"/>
    <mergeCell ref="BC823:BR823"/>
    <mergeCell ref="BS823:CH823"/>
    <mergeCell ref="CI823:CZ823"/>
    <mergeCell ref="A822:G822"/>
    <mergeCell ref="H822:AT822"/>
    <mergeCell ref="AU822:BB822"/>
    <mergeCell ref="BC822:BR822"/>
    <mergeCell ref="BS822:CH822"/>
    <mergeCell ref="CI822:CZ822"/>
    <mergeCell ref="A827:G827"/>
    <mergeCell ref="H827:AT827"/>
    <mergeCell ref="AU827:BB827"/>
    <mergeCell ref="BC827:BR827"/>
    <mergeCell ref="BS827:CH827"/>
    <mergeCell ref="CI827:CZ827"/>
    <mergeCell ref="A826:G826"/>
    <mergeCell ref="H826:AT826"/>
    <mergeCell ref="AU826:BB826"/>
    <mergeCell ref="BC826:BR826"/>
    <mergeCell ref="BS826:CH826"/>
    <mergeCell ref="CI826:CZ826"/>
    <mergeCell ref="A825:G825"/>
    <mergeCell ref="H825:AT825"/>
    <mergeCell ref="AU825:BB825"/>
    <mergeCell ref="BC825:BR825"/>
    <mergeCell ref="BS825:CH825"/>
    <mergeCell ref="CI825:CZ825"/>
    <mergeCell ref="A830:G830"/>
    <mergeCell ref="H830:AT830"/>
    <mergeCell ref="AU830:BB830"/>
    <mergeCell ref="BC830:BR830"/>
    <mergeCell ref="BS830:CH830"/>
    <mergeCell ref="CI830:CZ830"/>
    <mergeCell ref="A829:G829"/>
    <mergeCell ref="H829:AT829"/>
    <mergeCell ref="AU829:BB829"/>
    <mergeCell ref="BC829:BR829"/>
    <mergeCell ref="BS829:CH829"/>
    <mergeCell ref="CI829:CZ829"/>
    <mergeCell ref="A828:G828"/>
    <mergeCell ref="H828:AT828"/>
    <mergeCell ref="AU828:BB828"/>
    <mergeCell ref="BC828:BR828"/>
    <mergeCell ref="BS828:CH828"/>
    <mergeCell ref="CI828:CZ828"/>
    <mergeCell ref="A833:G833"/>
    <mergeCell ref="H833:AT833"/>
    <mergeCell ref="AU833:BB833"/>
    <mergeCell ref="BC833:BR833"/>
    <mergeCell ref="BS833:CH833"/>
    <mergeCell ref="CI833:CZ833"/>
    <mergeCell ref="A832:G832"/>
    <mergeCell ref="H832:AT832"/>
    <mergeCell ref="AU832:BB832"/>
    <mergeCell ref="BC832:BR832"/>
    <mergeCell ref="BS832:CH832"/>
    <mergeCell ref="CI832:CZ832"/>
    <mergeCell ref="A831:G831"/>
    <mergeCell ref="H831:AT831"/>
    <mergeCell ref="AU831:BB831"/>
    <mergeCell ref="BC831:BR831"/>
    <mergeCell ref="BS831:CH831"/>
    <mergeCell ref="CI831:CZ831"/>
    <mergeCell ref="A836:G836"/>
    <mergeCell ref="H836:AT836"/>
    <mergeCell ref="AU836:BB836"/>
    <mergeCell ref="BC836:BR836"/>
    <mergeCell ref="BS836:CH836"/>
    <mergeCell ref="CI836:CZ836"/>
    <mergeCell ref="A835:G835"/>
    <mergeCell ref="H835:AT835"/>
    <mergeCell ref="AU835:BB835"/>
    <mergeCell ref="BC835:BR835"/>
    <mergeCell ref="BS835:CH835"/>
    <mergeCell ref="CI835:CZ835"/>
    <mergeCell ref="A834:G834"/>
    <mergeCell ref="H834:AT834"/>
    <mergeCell ref="AU834:BB834"/>
    <mergeCell ref="BC834:BR834"/>
    <mergeCell ref="BS834:CH834"/>
    <mergeCell ref="CI834:CZ834"/>
    <mergeCell ref="A839:G839"/>
    <mergeCell ref="H839:AT839"/>
    <mergeCell ref="AU839:BB839"/>
    <mergeCell ref="BC839:BR839"/>
    <mergeCell ref="BS839:CH839"/>
    <mergeCell ref="CI839:CZ839"/>
    <mergeCell ref="A838:G838"/>
    <mergeCell ref="H838:AT838"/>
    <mergeCell ref="AU838:BB838"/>
    <mergeCell ref="BC838:BR838"/>
    <mergeCell ref="BS838:CH838"/>
    <mergeCell ref="CI838:CZ838"/>
    <mergeCell ref="A837:G837"/>
    <mergeCell ref="H837:AT837"/>
    <mergeCell ref="AU837:BB837"/>
    <mergeCell ref="BC837:BR837"/>
    <mergeCell ref="BS837:CH837"/>
    <mergeCell ref="CI837:CZ837"/>
    <mergeCell ref="A842:G842"/>
    <mergeCell ref="H842:AT842"/>
    <mergeCell ref="AU842:BB842"/>
    <mergeCell ref="BC842:BR842"/>
    <mergeCell ref="BS842:CH842"/>
    <mergeCell ref="CI842:CZ842"/>
    <mergeCell ref="A841:G841"/>
    <mergeCell ref="H841:AT841"/>
    <mergeCell ref="AU841:BB841"/>
    <mergeCell ref="BC841:BR841"/>
    <mergeCell ref="BS841:CH841"/>
    <mergeCell ref="CI841:CZ841"/>
    <mergeCell ref="A840:G840"/>
    <mergeCell ref="H840:AT840"/>
    <mergeCell ref="AU840:BB840"/>
    <mergeCell ref="BC840:BR840"/>
    <mergeCell ref="BS840:CH840"/>
    <mergeCell ref="CI840:CZ840"/>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G843"/>
    <mergeCell ref="H843:AT843"/>
    <mergeCell ref="AU843:BB843"/>
    <mergeCell ref="BC843:BR843"/>
    <mergeCell ref="BS843:CH843"/>
    <mergeCell ref="CI843:CZ843"/>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55:G855"/>
    <mergeCell ref="H855:AT855"/>
    <mergeCell ref="AU855:BB855"/>
    <mergeCell ref="BC855:BR855"/>
    <mergeCell ref="BS855:CH855"/>
    <mergeCell ref="CI855:CZ855"/>
    <mergeCell ref="A862:G862"/>
    <mergeCell ref="BS863:CH863"/>
    <mergeCell ref="BS864:CH864"/>
    <mergeCell ref="BS865:CH865"/>
    <mergeCell ref="BS867:CH867"/>
    <mergeCell ref="A859:G859"/>
    <mergeCell ref="H859:AT859"/>
    <mergeCell ref="AU859:BB859"/>
    <mergeCell ref="BC859:BR859"/>
    <mergeCell ref="BS859:CH859"/>
    <mergeCell ref="CI859:CZ859"/>
    <mergeCell ref="A858:G858"/>
    <mergeCell ref="H858:AT858"/>
    <mergeCell ref="AU858:BB858"/>
    <mergeCell ref="BC858:BR858"/>
    <mergeCell ref="BS858:CH858"/>
    <mergeCell ref="CI858:CZ858"/>
    <mergeCell ref="A861:G861"/>
    <mergeCell ref="H861:AT861"/>
    <mergeCell ref="AU861:BB861"/>
    <mergeCell ref="BC861:BR861"/>
    <mergeCell ref="BS861:CH861"/>
    <mergeCell ref="CI861:CZ861"/>
    <mergeCell ref="A860:G860"/>
    <mergeCell ref="H860:AT860"/>
    <mergeCell ref="AU860:BB860"/>
    <mergeCell ref="BC860:BR860"/>
    <mergeCell ref="BS860:CH860"/>
    <mergeCell ref="CI860:CZ860"/>
    <mergeCell ref="AU865:BB865"/>
    <mergeCell ref="CI863:CZ863"/>
    <mergeCell ref="CI864:CZ864"/>
    <mergeCell ref="AU869:BB869"/>
    <mergeCell ref="BC869:BR869"/>
    <mergeCell ref="BS869:CH869"/>
    <mergeCell ref="CI869:CZ869"/>
    <mergeCell ref="A868:G868"/>
    <mergeCell ref="H868:AT868"/>
    <mergeCell ref="AU868:BB868"/>
    <mergeCell ref="BC868:BR868"/>
    <mergeCell ref="BS868:CH868"/>
    <mergeCell ref="CI868:CZ868"/>
    <mergeCell ref="A863:G863"/>
    <mergeCell ref="H863:AT863"/>
    <mergeCell ref="H867:AT867"/>
    <mergeCell ref="BC863:BR863"/>
    <mergeCell ref="BC864:BR864"/>
    <mergeCell ref="BC865:BR865"/>
    <mergeCell ref="BC867:BR867"/>
    <mergeCell ref="CI865:CZ865"/>
    <mergeCell ref="CI867:CZ867"/>
    <mergeCell ref="A864:G864"/>
    <mergeCell ref="A865:G865"/>
    <mergeCell ref="A867:G867"/>
    <mergeCell ref="AU863:BB863"/>
    <mergeCell ref="AU864:BB864"/>
    <mergeCell ref="AU867:BB867"/>
    <mergeCell ref="H864:AT864"/>
    <mergeCell ref="H865:AT865"/>
    <mergeCell ref="A878:G878"/>
    <mergeCell ref="A874:BB874"/>
    <mergeCell ref="BC874:BR874"/>
    <mergeCell ref="BS874:CH874"/>
    <mergeCell ref="CI874:CZ874"/>
    <mergeCell ref="A875:CZ875"/>
    <mergeCell ref="A876:G876"/>
    <mergeCell ref="H876:AT876"/>
    <mergeCell ref="AU876:BB876"/>
    <mergeCell ref="BC876:BR876"/>
    <mergeCell ref="BS876:CH876"/>
    <mergeCell ref="A880:G880"/>
    <mergeCell ref="H880:AT880"/>
    <mergeCell ref="AU880:BB880"/>
    <mergeCell ref="BC880:BR880"/>
    <mergeCell ref="BS880:CH880"/>
    <mergeCell ref="CI880:CZ880"/>
    <mergeCell ref="H878:AT878"/>
    <mergeCell ref="AU878:BB878"/>
    <mergeCell ref="BC878:BR878"/>
    <mergeCell ref="BS878:CH878"/>
    <mergeCell ref="CI878:CZ878"/>
    <mergeCell ref="CI876:CZ876"/>
    <mergeCell ref="A877:G877"/>
    <mergeCell ref="H877:AT877"/>
    <mergeCell ref="AU877:BB877"/>
    <mergeCell ref="BC877:BR877"/>
    <mergeCell ref="BS877:CH877"/>
    <mergeCell ref="CI877:CZ877"/>
    <mergeCell ref="A881:G881"/>
    <mergeCell ref="H881:AT881"/>
    <mergeCell ref="AU881:BB881"/>
    <mergeCell ref="BC881:BR881"/>
    <mergeCell ref="BS881:CH881"/>
    <mergeCell ref="CI881:CZ881"/>
    <mergeCell ref="A879:G879"/>
    <mergeCell ref="H879:AT879"/>
    <mergeCell ref="AU879:BB879"/>
    <mergeCell ref="BC879:BR879"/>
    <mergeCell ref="BS879:CH879"/>
    <mergeCell ref="CI879:CZ879"/>
    <mergeCell ref="A888:G888"/>
    <mergeCell ref="H888:AT888"/>
    <mergeCell ref="AU888:BB888"/>
    <mergeCell ref="BC888:BR888"/>
    <mergeCell ref="BS888:CH888"/>
    <mergeCell ref="CI888:CZ888"/>
    <mergeCell ref="A883:G883"/>
    <mergeCell ref="H883:AT883"/>
    <mergeCell ref="AU883:BB883"/>
    <mergeCell ref="BC883:BR883"/>
    <mergeCell ref="BS883:CH883"/>
    <mergeCell ref="CI883:CZ883"/>
    <mergeCell ref="A882:G882"/>
    <mergeCell ref="H882:AT882"/>
    <mergeCell ref="AU882:BB882"/>
    <mergeCell ref="BC882:BR882"/>
    <mergeCell ref="BS882:CH882"/>
    <mergeCell ref="CI882:CZ882"/>
    <mergeCell ref="A884:G884"/>
    <mergeCell ref="H884:AT884"/>
    <mergeCell ref="A895:CZ895"/>
    <mergeCell ref="W897:CZ897"/>
    <mergeCell ref="A899:G899"/>
    <mergeCell ref="H899:BR899"/>
    <mergeCell ref="BS899:CH899"/>
    <mergeCell ref="CI899:CZ899"/>
    <mergeCell ref="A892:BR892"/>
    <mergeCell ref="BS892:CH892"/>
    <mergeCell ref="CI892:CZ892"/>
    <mergeCell ref="A893:BB893"/>
    <mergeCell ref="BC893:BR893"/>
    <mergeCell ref="BS893:CH893"/>
    <mergeCell ref="CI893:CZ893"/>
    <mergeCell ref="A889:BR889"/>
    <mergeCell ref="BS889:CH889"/>
    <mergeCell ref="CI889:CZ889"/>
    <mergeCell ref="A890:CZ890"/>
    <mergeCell ref="A891:G891"/>
    <mergeCell ref="H891:AT891"/>
    <mergeCell ref="AU891:BB891"/>
    <mergeCell ref="BC891:BR891"/>
    <mergeCell ref="BS891:CH891"/>
    <mergeCell ref="CI891:CZ891"/>
    <mergeCell ref="A903:BR903"/>
    <mergeCell ref="BS903:CH903"/>
    <mergeCell ref="CI903:CZ903"/>
    <mergeCell ref="A904:CZ904"/>
    <mergeCell ref="A905:G905"/>
    <mergeCell ref="H905:BR905"/>
    <mergeCell ref="BS905:CH905"/>
    <mergeCell ref="CI905:CZ905"/>
    <mergeCell ref="A900:G900"/>
    <mergeCell ref="H900:BR900"/>
    <mergeCell ref="BS900:CH900"/>
    <mergeCell ref="CI900:CZ900"/>
    <mergeCell ref="A901:CZ901"/>
    <mergeCell ref="A902:G902"/>
    <mergeCell ref="H902:BR902"/>
    <mergeCell ref="BS902:CH902"/>
    <mergeCell ref="CI902:CZ902"/>
    <mergeCell ref="AA947:AN947"/>
    <mergeCell ref="AO947:BB947"/>
    <mergeCell ref="BC947:BR947"/>
    <mergeCell ref="BS947:CH947"/>
    <mergeCell ref="CI947:CZ947"/>
    <mergeCell ref="AA945:AN945"/>
    <mergeCell ref="AO945:BB945"/>
    <mergeCell ref="BC945:BR945"/>
    <mergeCell ref="BS945:CH945"/>
    <mergeCell ref="CI945:CZ945"/>
    <mergeCell ref="A946:Z946"/>
    <mergeCell ref="AA946:AN946"/>
    <mergeCell ref="AO946:BB946"/>
    <mergeCell ref="BC946:BR946"/>
    <mergeCell ref="BS946:CH946"/>
    <mergeCell ref="AA944:AN944"/>
    <mergeCell ref="AO944:BB944"/>
    <mergeCell ref="BC944:BR944"/>
    <mergeCell ref="BS944:CH944"/>
    <mergeCell ref="CI944:CZ944"/>
    <mergeCell ref="CI946:CZ946"/>
    <mergeCell ref="BC940:CZ940"/>
    <mergeCell ref="BC936:CZ936"/>
    <mergeCell ref="BC937:CZ937"/>
    <mergeCell ref="A933:G933"/>
    <mergeCell ref="H933:BB933"/>
    <mergeCell ref="BC933:CZ933"/>
    <mergeCell ref="A941:BB941"/>
    <mergeCell ref="BC926:BR926"/>
    <mergeCell ref="BS926:CH926"/>
    <mergeCell ref="CI926:CZ926"/>
    <mergeCell ref="BC927:BR927"/>
    <mergeCell ref="BS927:CH927"/>
    <mergeCell ref="CI927:CZ927"/>
    <mergeCell ref="A926:BB926"/>
    <mergeCell ref="A927:BB927"/>
    <mergeCell ref="A929:CZ929"/>
    <mergeCell ref="A931:BB931"/>
    <mergeCell ref="A936:G936"/>
    <mergeCell ref="H936:BB936"/>
    <mergeCell ref="A934:G934"/>
    <mergeCell ref="BC941:CZ941"/>
    <mergeCell ref="A940:BB940"/>
    <mergeCell ref="H934:BB934"/>
    <mergeCell ref="BC934:CZ934"/>
    <mergeCell ref="A935:CZ935"/>
    <mergeCell ref="A937:BB937"/>
    <mergeCell ref="A939:G939"/>
    <mergeCell ref="H939:BB939"/>
    <mergeCell ref="A938:CZ938"/>
    <mergeCell ref="BC939:CZ939"/>
    <mergeCell ref="BC923:BR923"/>
    <mergeCell ref="BS923:CH923"/>
    <mergeCell ref="CI923:CZ923"/>
    <mergeCell ref="A920:G920"/>
    <mergeCell ref="BC920:BR920"/>
    <mergeCell ref="BS920:CH920"/>
    <mergeCell ref="CI920:CZ920"/>
    <mergeCell ref="A921:CZ921"/>
    <mergeCell ref="A925:G925"/>
    <mergeCell ref="BC925:BR925"/>
    <mergeCell ref="BS925:CH925"/>
    <mergeCell ref="CI925:CZ925"/>
    <mergeCell ref="H925:AT925"/>
    <mergeCell ref="AU925:BB925"/>
    <mergeCell ref="BS906:CH906"/>
    <mergeCell ref="CI906:CZ906"/>
    <mergeCell ref="A907:CZ907"/>
    <mergeCell ref="A908:G908"/>
    <mergeCell ref="H908:BR908"/>
    <mergeCell ref="BS908:CH908"/>
    <mergeCell ref="CI908:CZ908"/>
    <mergeCell ref="H919:AT919"/>
    <mergeCell ref="AU919:BB919"/>
    <mergeCell ref="H920:AT920"/>
    <mergeCell ref="AU920:BB920"/>
    <mergeCell ref="H922:AT922"/>
    <mergeCell ref="AU922:BB922"/>
    <mergeCell ref="A923:BB923"/>
    <mergeCell ref="A924:CZ924"/>
    <mergeCell ref="BS579:CH579"/>
    <mergeCell ref="CI579:CZ579"/>
    <mergeCell ref="A580:G580"/>
    <mergeCell ref="H580:BB580"/>
    <mergeCell ref="BC580:BR580"/>
    <mergeCell ref="BS580:CH580"/>
    <mergeCell ref="CI580:CZ580"/>
    <mergeCell ref="A922:G922"/>
    <mergeCell ref="BC922:BR922"/>
    <mergeCell ref="BS922:CH922"/>
    <mergeCell ref="CI922:CZ922"/>
    <mergeCell ref="A915:CZ915"/>
    <mergeCell ref="W917:CZ917"/>
    <mergeCell ref="A919:G919"/>
    <mergeCell ref="BC919:BR919"/>
    <mergeCell ref="BS919:CH919"/>
    <mergeCell ref="CI919:CZ919"/>
    <mergeCell ref="A912:BR912"/>
    <mergeCell ref="BS912:CH912"/>
    <mergeCell ref="CI912:CZ912"/>
    <mergeCell ref="A913:BR913"/>
    <mergeCell ref="BS913:CH913"/>
    <mergeCell ref="CI913:CZ913"/>
    <mergeCell ref="A909:BR909"/>
    <mergeCell ref="BS909:CH909"/>
    <mergeCell ref="CI909:CZ909"/>
    <mergeCell ref="A910:CZ910"/>
    <mergeCell ref="A911:G911"/>
    <mergeCell ref="H911:BR911"/>
    <mergeCell ref="BS911:CH911"/>
    <mergeCell ref="CI911:CZ911"/>
    <mergeCell ref="A906:BR906"/>
    <mergeCell ref="A587:G587"/>
    <mergeCell ref="H587:BB587"/>
    <mergeCell ref="BC587:BR587"/>
    <mergeCell ref="BS587:CH587"/>
    <mergeCell ref="CI587:CZ587"/>
    <mergeCell ref="BS494:CH494"/>
    <mergeCell ref="CI494:CZ494"/>
    <mergeCell ref="CI495:CZ495"/>
    <mergeCell ref="CI496:CZ496"/>
    <mergeCell ref="H495:BB495"/>
    <mergeCell ref="BS495:CH495"/>
    <mergeCell ref="H496:BB496"/>
    <mergeCell ref="BS496:CH496"/>
    <mergeCell ref="A568:G568"/>
    <mergeCell ref="H568:BR568"/>
    <mergeCell ref="BS568:CH568"/>
    <mergeCell ref="CI568:CZ568"/>
    <mergeCell ref="A586:G586"/>
    <mergeCell ref="H586:BB586"/>
    <mergeCell ref="BC586:BR586"/>
    <mergeCell ref="BS586:CH586"/>
    <mergeCell ref="A572:BR572"/>
    <mergeCell ref="BS572:CH572"/>
    <mergeCell ref="CI572:CZ572"/>
    <mergeCell ref="A573:BR573"/>
    <mergeCell ref="BS573:CH573"/>
    <mergeCell ref="CI573:CZ573"/>
    <mergeCell ref="A575:CZ575"/>
    <mergeCell ref="W577:CZ577"/>
    <mergeCell ref="A579:G579"/>
    <mergeCell ref="H579:BB579"/>
    <mergeCell ref="BC579:BR579"/>
    <mergeCell ref="CI765:CZ765"/>
    <mergeCell ref="A873:G873"/>
    <mergeCell ref="H873:AT873"/>
    <mergeCell ref="AU873:BB873"/>
    <mergeCell ref="BC873:BR873"/>
    <mergeCell ref="BS873:CH873"/>
    <mergeCell ref="CI873:CZ873"/>
    <mergeCell ref="A872:G872"/>
    <mergeCell ref="H872:AT872"/>
    <mergeCell ref="AU872:BB872"/>
    <mergeCell ref="BC872:BR872"/>
    <mergeCell ref="BS872:CH872"/>
    <mergeCell ref="CI872:CZ872"/>
    <mergeCell ref="A871:G871"/>
    <mergeCell ref="H871:AT871"/>
    <mergeCell ref="AU871:BB871"/>
    <mergeCell ref="BC871:BR871"/>
    <mergeCell ref="BS871:CH871"/>
    <mergeCell ref="CI871:CZ871"/>
    <mergeCell ref="H862:AT862"/>
    <mergeCell ref="AU862:BB862"/>
    <mergeCell ref="BC862:BR862"/>
    <mergeCell ref="BS862:CH862"/>
    <mergeCell ref="CI862:CZ862"/>
    <mergeCell ref="A870:G870"/>
    <mergeCell ref="H870:AT870"/>
    <mergeCell ref="AU870:BB870"/>
    <mergeCell ref="BC870:BR870"/>
    <mergeCell ref="BS870:CH870"/>
    <mergeCell ref="CI870:CZ870"/>
    <mergeCell ref="A869:G869"/>
    <mergeCell ref="H869:AT869"/>
    <mergeCell ref="A592:G592"/>
    <mergeCell ref="H592:BB592"/>
    <mergeCell ref="BC592:BR592"/>
    <mergeCell ref="BS592:CH592"/>
    <mergeCell ref="CI592:CZ592"/>
    <mergeCell ref="A590:G590"/>
    <mergeCell ref="H590:BB590"/>
    <mergeCell ref="BC590:BR590"/>
    <mergeCell ref="BS590:CH590"/>
    <mergeCell ref="CI590:CZ590"/>
    <mergeCell ref="H654:BB654"/>
    <mergeCell ref="BC651:BR651"/>
    <mergeCell ref="BS651:CH651"/>
    <mergeCell ref="BC652:BR652"/>
    <mergeCell ref="BC653:BR653"/>
    <mergeCell ref="BC654:BR654"/>
    <mergeCell ref="BS652:CH652"/>
    <mergeCell ref="BS653:CH653"/>
    <mergeCell ref="BS654:CH654"/>
    <mergeCell ref="CI651:CZ651"/>
    <mergeCell ref="CI652:CZ652"/>
    <mergeCell ref="CI653:CZ653"/>
    <mergeCell ref="CI654:CZ654"/>
    <mergeCell ref="CI627:CZ627"/>
    <mergeCell ref="A628:G628"/>
    <mergeCell ref="H628:BB628"/>
    <mergeCell ref="A594:CZ594"/>
    <mergeCell ref="A595:G595"/>
    <mergeCell ref="H595:BB595"/>
    <mergeCell ref="BC595:BR595"/>
    <mergeCell ref="BS595:CH595"/>
    <mergeCell ref="CI595:CZ595"/>
    <mergeCell ref="A725:G725"/>
    <mergeCell ref="H725:AT725"/>
    <mergeCell ref="AU725:BB725"/>
    <mergeCell ref="BC725:BR725"/>
    <mergeCell ref="BS725:CH725"/>
    <mergeCell ref="CI725:CZ725"/>
    <mergeCell ref="A726:G726"/>
    <mergeCell ref="H726:AT726"/>
    <mergeCell ref="AU726:BB726"/>
    <mergeCell ref="BC726:BR726"/>
    <mergeCell ref="BS726:CH726"/>
    <mergeCell ref="CI726:CZ726"/>
    <mergeCell ref="A866:G866"/>
    <mergeCell ref="H866:AT866"/>
    <mergeCell ref="AU866:BB866"/>
    <mergeCell ref="BC866:BR866"/>
    <mergeCell ref="BS866:CH866"/>
    <mergeCell ref="CI866:CZ866"/>
    <mergeCell ref="A768:BB768"/>
    <mergeCell ref="BC768:BR768"/>
    <mergeCell ref="BS768:CH768"/>
    <mergeCell ref="CI768:CZ768"/>
    <mergeCell ref="A769:CZ769"/>
    <mergeCell ref="A767:G767"/>
    <mergeCell ref="H767:AT767"/>
    <mergeCell ref="AU767:BB767"/>
    <mergeCell ref="BC767:BR767"/>
    <mergeCell ref="BS767:CH767"/>
    <mergeCell ref="CI767:CZ767"/>
    <mergeCell ref="AU766:BB766"/>
    <mergeCell ref="BC766:BR766"/>
    <mergeCell ref="BS766:CH766"/>
    <mergeCell ref="A596:G596"/>
    <mergeCell ref="H596:BB596"/>
    <mergeCell ref="BC596:BR596"/>
    <mergeCell ref="BS596:CH596"/>
    <mergeCell ref="CI596:CZ596"/>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1:G721"/>
    <mergeCell ref="H721:AT721"/>
    <mergeCell ref="AU721:BB721"/>
    <mergeCell ref="BC721:BR721"/>
    <mergeCell ref="BS721:CH721"/>
    <mergeCell ref="CI721:CZ721"/>
    <mergeCell ref="A720:G720"/>
    <mergeCell ref="H720:AT720"/>
    <mergeCell ref="AU720:BB720"/>
    <mergeCell ref="A597:G597"/>
    <mergeCell ref="H597:BB597"/>
    <mergeCell ref="BC597:BR597"/>
    <mergeCell ref="BS597:CH597"/>
    <mergeCell ref="CI597:CZ597"/>
    <mergeCell ref="A598:G598"/>
    <mergeCell ref="H598:BB598"/>
    <mergeCell ref="BC598:BR598"/>
    <mergeCell ref="BS598:CH598"/>
    <mergeCell ref="CI598:CZ598"/>
    <mergeCell ref="A599:G599"/>
    <mergeCell ref="H599:BB599"/>
    <mergeCell ref="BC599:BR599"/>
    <mergeCell ref="BS599:CH599"/>
    <mergeCell ref="CI599:CZ599"/>
    <mergeCell ref="A600:G600"/>
    <mergeCell ref="H600:BB600"/>
    <mergeCell ref="BC600:BR600"/>
    <mergeCell ref="BS600:CH600"/>
    <mergeCell ref="CI600:CZ600"/>
    <mergeCell ref="A601:G601"/>
    <mergeCell ref="H601:BB601"/>
    <mergeCell ref="BC601:BR601"/>
    <mergeCell ref="BS601:CH601"/>
    <mergeCell ref="CI601:CZ601"/>
    <mergeCell ref="A602:G602"/>
    <mergeCell ref="H602:BB602"/>
    <mergeCell ref="BC602:BR602"/>
    <mergeCell ref="BS602:CH602"/>
    <mergeCell ref="CI602:CZ602"/>
    <mergeCell ref="A603:G603"/>
    <mergeCell ref="H603:BB603"/>
    <mergeCell ref="BC603:BR603"/>
    <mergeCell ref="BS603:CH603"/>
    <mergeCell ref="CI603:CZ603"/>
    <mergeCell ref="A604:G604"/>
    <mergeCell ref="H604:BB604"/>
    <mergeCell ref="BC604:BR604"/>
    <mergeCell ref="BS604:CH604"/>
    <mergeCell ref="CI604:CZ604"/>
    <mergeCell ref="A605:G605"/>
    <mergeCell ref="H605:BB605"/>
    <mergeCell ref="BC605:BR605"/>
    <mergeCell ref="BS605:CH605"/>
    <mergeCell ref="CI605:CZ605"/>
    <mergeCell ref="A606:G606"/>
    <mergeCell ref="H606:BB606"/>
    <mergeCell ref="BC606:BR606"/>
    <mergeCell ref="BS606:CH606"/>
    <mergeCell ref="CI606:CZ606"/>
    <mergeCell ref="A607:G607"/>
    <mergeCell ref="H607:BB607"/>
    <mergeCell ref="BC607:BR607"/>
    <mergeCell ref="BS607:CH607"/>
    <mergeCell ref="CI607:CZ607"/>
    <mergeCell ref="A608:G608"/>
    <mergeCell ref="H608:BB608"/>
    <mergeCell ref="BC608:BR608"/>
    <mergeCell ref="BS608:CH608"/>
    <mergeCell ref="CI608:CZ608"/>
    <mergeCell ref="A609:G609"/>
    <mergeCell ref="H609:BB609"/>
    <mergeCell ref="BC609:BR609"/>
    <mergeCell ref="BS609:CH609"/>
    <mergeCell ref="CI609:CZ609"/>
    <mergeCell ref="A610:G610"/>
    <mergeCell ref="H610:BB610"/>
    <mergeCell ref="BC610:BR610"/>
    <mergeCell ref="BS610:CH610"/>
    <mergeCell ref="CI610:CZ610"/>
    <mergeCell ref="A611:G611"/>
    <mergeCell ref="H611:BB611"/>
    <mergeCell ref="BC611:BR611"/>
    <mergeCell ref="BS611:CH611"/>
    <mergeCell ref="CI611:CZ611"/>
    <mergeCell ref="A612:G612"/>
    <mergeCell ref="H612:BB612"/>
    <mergeCell ref="BC612:BR612"/>
    <mergeCell ref="BS612:CH612"/>
    <mergeCell ref="CI612:CZ612"/>
    <mergeCell ref="A617:G617"/>
    <mergeCell ref="H617:BB617"/>
    <mergeCell ref="BC617:BR617"/>
    <mergeCell ref="BS617:CH617"/>
    <mergeCell ref="CI617:CZ617"/>
    <mergeCell ref="A618:BB618"/>
    <mergeCell ref="BC618:BR618"/>
    <mergeCell ref="BS618:CH618"/>
    <mergeCell ref="CI618:CZ618"/>
    <mergeCell ref="A613:G613"/>
    <mergeCell ref="H613:BB613"/>
    <mergeCell ref="BC613:BR613"/>
    <mergeCell ref="BS613:CH613"/>
    <mergeCell ref="CI613:CZ613"/>
    <mergeCell ref="A614:G614"/>
    <mergeCell ref="H614:BB614"/>
    <mergeCell ref="BC614:BR614"/>
    <mergeCell ref="BS614:CH614"/>
    <mergeCell ref="CI614:CZ614"/>
    <mergeCell ref="A615:G615"/>
    <mergeCell ref="H615:BB615"/>
    <mergeCell ref="BC615:BR615"/>
    <mergeCell ref="BS615:CH615"/>
    <mergeCell ref="CI615:CZ615"/>
    <mergeCell ref="A616:G616"/>
    <mergeCell ref="H616:BB616"/>
    <mergeCell ref="BC616:BR616"/>
    <mergeCell ref="BS616:CH616"/>
    <mergeCell ref="CI616:CZ616"/>
    <mergeCell ref="BS667:CH667"/>
    <mergeCell ref="CI667:CZ667"/>
    <mergeCell ref="A665:G665"/>
    <mergeCell ref="H665:BB665"/>
    <mergeCell ref="BC665:BR665"/>
    <mergeCell ref="BS665:CH665"/>
    <mergeCell ref="CI665:CZ665"/>
    <mergeCell ref="A664:G664"/>
    <mergeCell ref="H664:BB664"/>
    <mergeCell ref="BC664:BR664"/>
    <mergeCell ref="BS664:CH664"/>
    <mergeCell ref="CI664:CZ664"/>
    <mergeCell ref="A662:G662"/>
    <mergeCell ref="H662:BB662"/>
    <mergeCell ref="BC662:BR662"/>
    <mergeCell ref="BS662:CH662"/>
    <mergeCell ref="CI662:CZ662"/>
    <mergeCell ref="A663:G663"/>
    <mergeCell ref="H663:BB663"/>
    <mergeCell ref="BC663:BR663"/>
    <mergeCell ref="BS663:CH663"/>
    <mergeCell ref="CI663:CZ663"/>
    <mergeCell ref="H667:BB667"/>
    <mergeCell ref="BC667:BR667"/>
    <mergeCell ref="A667:G667"/>
    <mergeCell ref="A632:G632"/>
    <mergeCell ref="H632:BB632"/>
    <mergeCell ref="BC632:BR632"/>
    <mergeCell ref="BS632:CH632"/>
    <mergeCell ref="CI632:CZ632"/>
    <mergeCell ref="A633:G633"/>
    <mergeCell ref="H633:BB633"/>
    <mergeCell ref="BC633:BR633"/>
    <mergeCell ref="BS633:CH633"/>
    <mergeCell ref="CI633:CZ633"/>
    <mergeCell ref="A634:G634"/>
    <mergeCell ref="H634:BB634"/>
    <mergeCell ref="BC634:BR634"/>
    <mergeCell ref="BS634:CH634"/>
    <mergeCell ref="CI634:CZ634"/>
    <mergeCell ref="A635:G635"/>
    <mergeCell ref="H635:BB635"/>
    <mergeCell ref="BC646:BR646"/>
    <mergeCell ref="BS646:CH646"/>
    <mergeCell ref="CI646:CZ646"/>
    <mergeCell ref="BS643:CH643"/>
    <mergeCell ref="CI643:CZ643"/>
    <mergeCell ref="A644:G644"/>
    <mergeCell ref="BS644:CH644"/>
    <mergeCell ref="CI644:CZ644"/>
    <mergeCell ref="A661:G661"/>
    <mergeCell ref="H661:BB661"/>
    <mergeCell ref="BC661:BR661"/>
    <mergeCell ref="BS661:CH661"/>
    <mergeCell ref="CI661:CZ661"/>
    <mergeCell ref="A660:G660"/>
    <mergeCell ref="H660:BB660"/>
    <mergeCell ref="BC660:BR660"/>
    <mergeCell ref="BS660:CH660"/>
    <mergeCell ref="CI660:CZ660"/>
    <mergeCell ref="A659:G659"/>
    <mergeCell ref="H659:BB659"/>
    <mergeCell ref="BC659:BR659"/>
    <mergeCell ref="BS659:CH659"/>
    <mergeCell ref="CI659:CZ659"/>
    <mergeCell ref="CI649:CZ649"/>
    <mergeCell ref="A648:G648"/>
    <mergeCell ref="H637:BB637"/>
    <mergeCell ref="BC637:BR637"/>
    <mergeCell ref="BS637:CH637"/>
    <mergeCell ref="CI637:CZ637"/>
    <mergeCell ref="A638:G638"/>
    <mergeCell ref="H638:BB638"/>
    <mergeCell ref="BC638:BR638"/>
    <mergeCell ref="BS638:CH638"/>
    <mergeCell ref="CI638:CZ638"/>
    <mergeCell ref="A647:G647"/>
    <mergeCell ref="H647:BB647"/>
    <mergeCell ref="BC647:BR647"/>
    <mergeCell ref="BS647:CH647"/>
    <mergeCell ref="CI647:CZ647"/>
    <mergeCell ref="H648:BB648"/>
    <mergeCell ref="BC648:BR648"/>
    <mergeCell ref="BS648:CH648"/>
    <mergeCell ref="CI648:CZ648"/>
    <mergeCell ref="A640:G640"/>
    <mergeCell ref="H640:BB640"/>
    <mergeCell ref="BC640:BR640"/>
    <mergeCell ref="BS640:CH640"/>
    <mergeCell ref="CI640:CZ640"/>
    <mergeCell ref="A641:G641"/>
    <mergeCell ref="H641:BB641"/>
    <mergeCell ref="BC641:BR641"/>
    <mergeCell ref="BS641:CH641"/>
    <mergeCell ref="CI641:CZ641"/>
    <mergeCell ref="A643:G643"/>
    <mergeCell ref="H643:BB643"/>
    <mergeCell ref="BC643:BR643"/>
    <mergeCell ref="H646:BB646"/>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H919"/>
  <sheetViews>
    <sheetView view="pageBreakPreview" zoomScale="70" zoomScaleNormal="100" zoomScaleSheetLayoutView="70" workbookViewId="0">
      <selection activeCell="FR433" sqref="FR433:FR434"/>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8.44140625" style="13" bestFit="1"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93" t="s">
        <v>823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214" t="s">
        <v>912</v>
      </c>
      <c r="DB1" s="16"/>
    </row>
    <row r="2" spans="1:106" s="20" customFormat="1" x14ac:dyDescent="0.25">
      <c r="A2" s="732" t="s">
        <v>275</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c r="BH2" s="732"/>
      <c r="BI2" s="732"/>
      <c r="BJ2" s="732"/>
      <c r="BK2" s="732"/>
      <c r="BL2" s="732"/>
      <c r="BM2" s="732"/>
      <c r="BN2" s="732"/>
      <c r="BO2" s="732"/>
      <c r="BP2" s="732"/>
      <c r="BQ2" s="732"/>
      <c r="BR2" s="732"/>
      <c r="BS2" s="732"/>
      <c r="BT2" s="732"/>
      <c r="BU2" s="732"/>
      <c r="BV2" s="732"/>
      <c r="BW2" s="732"/>
      <c r="BX2" s="732"/>
      <c r="BY2" s="732"/>
      <c r="BZ2" s="732"/>
      <c r="CA2" s="732"/>
      <c r="CB2" s="732"/>
      <c r="CC2" s="732"/>
      <c r="CD2" s="732"/>
      <c r="CE2" s="732"/>
      <c r="CF2" s="732"/>
      <c r="CG2" s="732"/>
      <c r="CH2" s="732"/>
      <c r="CI2" s="732"/>
      <c r="CJ2" s="732"/>
      <c r="CK2" s="732"/>
      <c r="CL2" s="732"/>
      <c r="CM2" s="732"/>
      <c r="CN2" s="732"/>
      <c r="CO2" s="732"/>
      <c r="CP2" s="732"/>
      <c r="CQ2" s="732"/>
      <c r="CR2" s="732"/>
      <c r="CS2" s="732"/>
      <c r="CT2" s="732"/>
      <c r="CU2" s="732"/>
      <c r="CV2" s="732"/>
      <c r="CW2" s="732"/>
      <c r="CX2" s="732"/>
      <c r="CY2" s="732"/>
      <c r="CZ2" s="732"/>
      <c r="DA2" s="214"/>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5">
        <f>'[2]Раздел 1'!$G$82</f>
        <v>145799591.82999998</v>
      </c>
      <c r="DB3" s="216" t="s">
        <v>423</v>
      </c>
    </row>
    <row r="4" spans="1:106" s="20" customFormat="1" x14ac:dyDescent="0.25">
      <c r="A4" s="20" t="s">
        <v>47</v>
      </c>
      <c r="W4" s="595" t="s">
        <v>536</v>
      </c>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217" t="s">
        <v>913</v>
      </c>
      <c r="DB4" s="16"/>
    </row>
    <row r="5" spans="1:106" s="20" customFormat="1" ht="12" customHeight="1" x14ac:dyDescent="0.25">
      <c r="DA5" s="214"/>
      <c r="DB5" s="16"/>
    </row>
    <row r="6" spans="1:106" s="18" customFormat="1" ht="45" customHeight="1" x14ac:dyDescent="0.25">
      <c r="A6" s="597" t="s">
        <v>49</v>
      </c>
      <c r="B6" s="598"/>
      <c r="C6" s="598"/>
      <c r="D6" s="598"/>
      <c r="E6" s="598"/>
      <c r="F6" s="599"/>
      <c r="G6" s="597" t="s">
        <v>57</v>
      </c>
      <c r="H6" s="598"/>
      <c r="I6" s="598"/>
      <c r="J6" s="598"/>
      <c r="K6" s="598"/>
      <c r="L6" s="598"/>
      <c r="M6" s="598"/>
      <c r="N6" s="598"/>
      <c r="O6" s="598"/>
      <c r="P6" s="598"/>
      <c r="Q6" s="598"/>
      <c r="R6" s="598"/>
      <c r="S6" s="598"/>
      <c r="T6" s="598"/>
      <c r="U6" s="598"/>
      <c r="V6" s="598"/>
      <c r="W6" s="598"/>
      <c r="X6" s="598"/>
      <c r="Y6" s="598"/>
      <c r="Z6" s="598"/>
      <c r="AA6" s="598"/>
      <c r="AB6" s="598"/>
      <c r="AC6" s="599"/>
      <c r="AD6" s="597" t="s">
        <v>58</v>
      </c>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597" t="s">
        <v>59</v>
      </c>
      <c r="BD6" s="598"/>
      <c r="BE6" s="598"/>
      <c r="BF6" s="598"/>
      <c r="BG6" s="598"/>
      <c r="BH6" s="598"/>
      <c r="BI6" s="598"/>
      <c r="BJ6" s="598"/>
      <c r="BK6" s="598"/>
      <c r="BL6" s="598"/>
      <c r="BM6" s="598"/>
      <c r="BN6" s="598"/>
      <c r="BO6" s="598"/>
      <c r="BP6" s="598"/>
      <c r="BQ6" s="598"/>
      <c r="BR6" s="599"/>
      <c r="BS6" s="597" t="s">
        <v>60</v>
      </c>
      <c r="BT6" s="598"/>
      <c r="BU6" s="598"/>
      <c r="BV6" s="598"/>
      <c r="BW6" s="598"/>
      <c r="BX6" s="598"/>
      <c r="BY6" s="598"/>
      <c r="BZ6" s="598"/>
      <c r="CA6" s="598"/>
      <c r="CB6" s="598"/>
      <c r="CC6" s="598"/>
      <c r="CD6" s="598"/>
      <c r="CE6" s="598"/>
      <c r="CF6" s="598"/>
      <c r="CG6" s="598"/>
      <c r="CH6" s="599"/>
      <c r="CI6" s="597" t="s">
        <v>61</v>
      </c>
      <c r="CJ6" s="598"/>
      <c r="CK6" s="598"/>
      <c r="CL6" s="598"/>
      <c r="CM6" s="598"/>
      <c r="CN6" s="598"/>
      <c r="CO6" s="598"/>
      <c r="CP6" s="598"/>
      <c r="CQ6" s="598"/>
      <c r="CR6" s="598"/>
      <c r="CS6" s="598"/>
      <c r="CT6" s="598"/>
      <c r="CU6" s="598"/>
      <c r="CV6" s="598"/>
      <c r="CW6" s="598"/>
      <c r="CX6" s="598"/>
      <c r="CY6" s="598"/>
      <c r="CZ6" s="599"/>
      <c r="DA6" s="20"/>
      <c r="DB6" s="13"/>
    </row>
    <row r="7" spans="1:106" s="15" customFormat="1" x14ac:dyDescent="0.25">
      <c r="A7" s="591">
        <v>1</v>
      </c>
      <c r="B7" s="591"/>
      <c r="C7" s="591"/>
      <c r="D7" s="591"/>
      <c r="E7" s="591"/>
      <c r="F7" s="591"/>
      <c r="G7" s="591">
        <v>2</v>
      </c>
      <c r="H7" s="591"/>
      <c r="I7" s="591"/>
      <c r="J7" s="591"/>
      <c r="K7" s="591"/>
      <c r="L7" s="591"/>
      <c r="M7" s="591"/>
      <c r="N7" s="591"/>
      <c r="O7" s="591"/>
      <c r="P7" s="591"/>
      <c r="Q7" s="591"/>
      <c r="R7" s="591"/>
      <c r="S7" s="591"/>
      <c r="T7" s="591"/>
      <c r="U7" s="591"/>
      <c r="V7" s="591"/>
      <c r="W7" s="591"/>
      <c r="X7" s="591"/>
      <c r="Y7" s="591"/>
      <c r="Z7" s="591"/>
      <c r="AA7" s="591"/>
      <c r="AB7" s="591"/>
      <c r="AC7" s="591"/>
      <c r="AD7" s="591">
        <v>3</v>
      </c>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v>4</v>
      </c>
      <c r="BD7" s="591"/>
      <c r="BE7" s="591"/>
      <c r="BF7" s="591"/>
      <c r="BG7" s="591"/>
      <c r="BH7" s="591"/>
      <c r="BI7" s="591"/>
      <c r="BJ7" s="591"/>
      <c r="BK7" s="591"/>
      <c r="BL7" s="591"/>
      <c r="BM7" s="591"/>
      <c r="BN7" s="591"/>
      <c r="BO7" s="591"/>
      <c r="BP7" s="591"/>
      <c r="BQ7" s="591"/>
      <c r="BR7" s="591"/>
      <c r="BS7" s="591">
        <v>5</v>
      </c>
      <c r="BT7" s="591"/>
      <c r="BU7" s="591"/>
      <c r="BV7" s="591"/>
      <c r="BW7" s="591"/>
      <c r="BX7" s="591"/>
      <c r="BY7" s="591"/>
      <c r="BZ7" s="591"/>
      <c r="CA7" s="591"/>
      <c r="CB7" s="591"/>
      <c r="CC7" s="591"/>
      <c r="CD7" s="591"/>
      <c r="CE7" s="591"/>
      <c r="CF7" s="591"/>
      <c r="CG7" s="591"/>
      <c r="CH7" s="591"/>
      <c r="CI7" s="591">
        <v>6</v>
      </c>
      <c r="CJ7" s="591"/>
      <c r="CK7" s="591"/>
      <c r="CL7" s="591"/>
      <c r="CM7" s="591"/>
      <c r="CN7" s="591"/>
      <c r="CO7" s="591"/>
      <c r="CP7" s="591"/>
      <c r="CQ7" s="591"/>
      <c r="CR7" s="591"/>
      <c r="CS7" s="591"/>
      <c r="CT7" s="591"/>
      <c r="CU7" s="591"/>
      <c r="CV7" s="591"/>
      <c r="CW7" s="591"/>
      <c r="CX7" s="591"/>
      <c r="CY7" s="591"/>
      <c r="CZ7" s="591"/>
      <c r="DA7" s="20"/>
      <c r="DB7" s="20"/>
    </row>
    <row r="8" spans="1:106" s="16" customFormat="1" ht="15" customHeight="1" x14ac:dyDescent="0.25">
      <c r="A8" s="656" t="s">
        <v>537</v>
      </c>
      <c r="B8" s="657"/>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657"/>
      <c r="CP8" s="657"/>
      <c r="CQ8" s="657"/>
      <c r="CR8" s="657"/>
      <c r="CS8" s="657"/>
      <c r="CT8" s="657"/>
      <c r="CU8" s="657"/>
      <c r="CV8" s="657"/>
      <c r="CW8" s="657"/>
      <c r="CX8" s="657"/>
      <c r="CY8" s="657"/>
      <c r="CZ8" s="658"/>
      <c r="DA8" s="20"/>
      <c r="DB8" s="20"/>
    </row>
    <row r="9" spans="1:106" s="16" customFormat="1" ht="18" customHeight="1" x14ac:dyDescent="0.25">
      <c r="A9" s="630" t="s">
        <v>441</v>
      </c>
      <c r="B9" s="631"/>
      <c r="C9" s="631"/>
      <c r="D9" s="631"/>
      <c r="E9" s="631"/>
      <c r="F9" s="632"/>
      <c r="G9" s="584" t="s">
        <v>538</v>
      </c>
      <c r="H9" s="585"/>
      <c r="I9" s="585"/>
      <c r="J9" s="585"/>
      <c r="K9" s="585"/>
      <c r="L9" s="585"/>
      <c r="M9" s="585"/>
      <c r="N9" s="585"/>
      <c r="O9" s="585"/>
      <c r="P9" s="585"/>
      <c r="Q9" s="585"/>
      <c r="R9" s="585"/>
      <c r="S9" s="585"/>
      <c r="T9" s="585"/>
      <c r="U9" s="585"/>
      <c r="V9" s="585"/>
      <c r="W9" s="585"/>
      <c r="X9" s="585"/>
      <c r="Y9" s="585"/>
      <c r="Z9" s="585"/>
      <c r="AA9" s="585"/>
      <c r="AB9" s="585"/>
      <c r="AC9" s="586"/>
      <c r="AD9" s="639">
        <v>100</v>
      </c>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1"/>
      <c r="BC9" s="544">
        <v>2</v>
      </c>
      <c r="BD9" s="545"/>
      <c r="BE9" s="545"/>
      <c r="BF9" s="545"/>
      <c r="BG9" s="545"/>
      <c r="BH9" s="545"/>
      <c r="BI9" s="545"/>
      <c r="BJ9" s="545"/>
      <c r="BK9" s="545"/>
      <c r="BL9" s="545"/>
      <c r="BM9" s="545"/>
      <c r="BN9" s="545"/>
      <c r="BO9" s="545"/>
      <c r="BP9" s="545"/>
      <c r="BQ9" s="545"/>
      <c r="BR9" s="546"/>
      <c r="BS9" s="544">
        <v>3</v>
      </c>
      <c r="BT9" s="545"/>
      <c r="BU9" s="545"/>
      <c r="BV9" s="545"/>
      <c r="BW9" s="545"/>
      <c r="BX9" s="545"/>
      <c r="BY9" s="545"/>
      <c r="BZ9" s="545"/>
      <c r="CA9" s="545"/>
      <c r="CB9" s="545"/>
      <c r="CC9" s="545"/>
      <c r="CD9" s="545"/>
      <c r="CE9" s="545"/>
      <c r="CF9" s="545"/>
      <c r="CG9" s="545"/>
      <c r="CH9" s="546"/>
      <c r="CI9" s="627">
        <f>AD9*BC9*BS9</f>
        <v>600</v>
      </c>
      <c r="CJ9" s="628"/>
      <c r="CK9" s="628"/>
      <c r="CL9" s="628"/>
      <c r="CM9" s="628"/>
      <c r="CN9" s="628"/>
      <c r="CO9" s="628"/>
      <c r="CP9" s="628"/>
      <c r="CQ9" s="628"/>
      <c r="CR9" s="628"/>
      <c r="CS9" s="628"/>
      <c r="CT9" s="628"/>
      <c r="CU9" s="628"/>
      <c r="CV9" s="628"/>
      <c r="CW9" s="628"/>
      <c r="CX9" s="628"/>
      <c r="CY9" s="628"/>
      <c r="CZ9" s="629"/>
      <c r="DA9" s="20"/>
      <c r="DB9" s="20"/>
    </row>
    <row r="10" spans="1:106" s="16" customFormat="1" ht="42.75" customHeight="1" x14ac:dyDescent="0.3">
      <c r="A10" s="630" t="s">
        <v>444</v>
      </c>
      <c r="B10" s="631"/>
      <c r="C10" s="631"/>
      <c r="D10" s="631"/>
      <c r="E10" s="631"/>
      <c r="F10" s="632"/>
      <c r="G10" s="584" t="s">
        <v>539</v>
      </c>
      <c r="H10" s="585"/>
      <c r="I10" s="585"/>
      <c r="J10" s="585"/>
      <c r="K10" s="585"/>
      <c r="L10" s="585"/>
      <c r="M10" s="585"/>
      <c r="N10" s="585"/>
      <c r="O10" s="585"/>
      <c r="P10" s="585"/>
      <c r="Q10" s="585"/>
      <c r="R10" s="585"/>
      <c r="S10" s="585"/>
      <c r="T10" s="585"/>
      <c r="U10" s="585"/>
      <c r="V10" s="585"/>
      <c r="W10" s="585"/>
      <c r="X10" s="585"/>
      <c r="Y10" s="585"/>
      <c r="Z10" s="585"/>
      <c r="AA10" s="585"/>
      <c r="AB10" s="585"/>
      <c r="AC10" s="586"/>
      <c r="AD10" s="639">
        <v>400</v>
      </c>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1"/>
      <c r="BC10" s="544">
        <v>2</v>
      </c>
      <c r="BD10" s="545"/>
      <c r="BE10" s="545"/>
      <c r="BF10" s="545"/>
      <c r="BG10" s="545"/>
      <c r="BH10" s="545"/>
      <c r="BI10" s="545"/>
      <c r="BJ10" s="545"/>
      <c r="BK10" s="545"/>
      <c r="BL10" s="545"/>
      <c r="BM10" s="545"/>
      <c r="BN10" s="545"/>
      <c r="BO10" s="545"/>
      <c r="BP10" s="545"/>
      <c r="BQ10" s="545"/>
      <c r="BR10" s="546"/>
      <c r="BS10" s="733">
        <v>2</v>
      </c>
      <c r="BT10" s="734"/>
      <c r="BU10" s="734"/>
      <c r="BV10" s="734"/>
      <c r="BW10" s="734"/>
      <c r="BX10" s="734"/>
      <c r="BY10" s="734"/>
      <c r="BZ10" s="734"/>
      <c r="CA10" s="734"/>
      <c r="CB10" s="734"/>
      <c r="CC10" s="734"/>
      <c r="CD10" s="734"/>
      <c r="CE10" s="734"/>
      <c r="CF10" s="734"/>
      <c r="CG10" s="734"/>
      <c r="CH10" s="735"/>
      <c r="CI10" s="627">
        <f>AD10*BC10*BS10</f>
        <v>1600</v>
      </c>
      <c r="CJ10" s="628"/>
      <c r="CK10" s="628"/>
      <c r="CL10" s="628"/>
      <c r="CM10" s="628"/>
      <c r="CN10" s="628"/>
      <c r="CO10" s="628"/>
      <c r="CP10" s="628"/>
      <c r="CQ10" s="628"/>
      <c r="CR10" s="628"/>
      <c r="CS10" s="628"/>
      <c r="CT10" s="628"/>
      <c r="CU10" s="628"/>
      <c r="CV10" s="628"/>
      <c r="CW10" s="628"/>
      <c r="CX10" s="628"/>
      <c r="CY10" s="628"/>
      <c r="CZ10" s="629"/>
      <c r="DA10" s="218"/>
      <c r="DB10" s="18"/>
    </row>
    <row r="11" spans="1:106" s="16" customFormat="1" ht="44.25" customHeight="1" x14ac:dyDescent="0.3">
      <c r="A11" s="630" t="s">
        <v>446</v>
      </c>
      <c r="B11" s="631"/>
      <c r="C11" s="631"/>
      <c r="D11" s="631"/>
      <c r="E11" s="631"/>
      <c r="F11" s="632"/>
      <c r="G11" s="584" t="s">
        <v>540</v>
      </c>
      <c r="H11" s="585"/>
      <c r="I11" s="585"/>
      <c r="J11" s="585"/>
      <c r="K11" s="585"/>
      <c r="L11" s="585"/>
      <c r="M11" s="585"/>
      <c r="N11" s="585"/>
      <c r="O11" s="585"/>
      <c r="P11" s="585"/>
      <c r="Q11" s="585"/>
      <c r="R11" s="585"/>
      <c r="S11" s="585"/>
      <c r="T11" s="585"/>
      <c r="U11" s="585"/>
      <c r="V11" s="585"/>
      <c r="W11" s="585"/>
      <c r="X11" s="585"/>
      <c r="Y11" s="585"/>
      <c r="Z11" s="585"/>
      <c r="AA11" s="585"/>
      <c r="AB11" s="585"/>
      <c r="AC11" s="586"/>
      <c r="AD11" s="639">
        <v>700</v>
      </c>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1"/>
      <c r="BC11" s="544">
        <v>2</v>
      </c>
      <c r="BD11" s="545"/>
      <c r="BE11" s="545"/>
      <c r="BF11" s="545"/>
      <c r="BG11" s="545"/>
      <c r="BH11" s="545"/>
      <c r="BI11" s="545"/>
      <c r="BJ11" s="545"/>
      <c r="BK11" s="545"/>
      <c r="BL11" s="545"/>
      <c r="BM11" s="545"/>
      <c r="BN11" s="545"/>
      <c r="BO11" s="545"/>
      <c r="BP11" s="545"/>
      <c r="BQ11" s="545"/>
      <c r="BR11" s="546"/>
      <c r="BS11" s="544">
        <v>2</v>
      </c>
      <c r="BT11" s="545"/>
      <c r="BU11" s="545"/>
      <c r="BV11" s="545"/>
      <c r="BW11" s="545"/>
      <c r="BX11" s="545"/>
      <c r="BY11" s="545"/>
      <c r="BZ11" s="545"/>
      <c r="CA11" s="545"/>
      <c r="CB11" s="545"/>
      <c r="CC11" s="545"/>
      <c r="CD11" s="545"/>
      <c r="CE11" s="545"/>
      <c r="CF11" s="545"/>
      <c r="CG11" s="545"/>
      <c r="CH11" s="546"/>
      <c r="CI11" s="627">
        <f>AD11*BC11*BS11</f>
        <v>2800</v>
      </c>
      <c r="CJ11" s="628"/>
      <c r="CK11" s="628"/>
      <c r="CL11" s="628"/>
      <c r="CM11" s="628"/>
      <c r="CN11" s="628"/>
      <c r="CO11" s="628"/>
      <c r="CP11" s="628"/>
      <c r="CQ11" s="628"/>
      <c r="CR11" s="628"/>
      <c r="CS11" s="628"/>
      <c r="CT11" s="628"/>
      <c r="CU11" s="628"/>
      <c r="CV11" s="628"/>
      <c r="CW11" s="628"/>
      <c r="CX11" s="628"/>
      <c r="CY11" s="628"/>
      <c r="CZ11" s="629"/>
      <c r="DA11" s="219"/>
      <c r="DB11" s="15"/>
    </row>
    <row r="12" spans="1:106" s="16" customFormat="1" ht="27" customHeight="1" x14ac:dyDescent="0.3">
      <c r="A12" s="633" t="s">
        <v>292</v>
      </c>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5"/>
      <c r="AD12" s="582" t="s">
        <v>4</v>
      </c>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t="s">
        <v>4</v>
      </c>
      <c r="BD12" s="582"/>
      <c r="BE12" s="582"/>
      <c r="BF12" s="582"/>
      <c r="BG12" s="582"/>
      <c r="BH12" s="582"/>
      <c r="BI12" s="582"/>
      <c r="BJ12" s="582"/>
      <c r="BK12" s="582"/>
      <c r="BL12" s="582"/>
      <c r="BM12" s="582"/>
      <c r="BN12" s="582"/>
      <c r="BO12" s="582"/>
      <c r="BP12" s="582"/>
      <c r="BQ12" s="582"/>
      <c r="BR12" s="582"/>
      <c r="BS12" s="582" t="s">
        <v>4</v>
      </c>
      <c r="BT12" s="582"/>
      <c r="BU12" s="582"/>
      <c r="BV12" s="582"/>
      <c r="BW12" s="582"/>
      <c r="BX12" s="582"/>
      <c r="BY12" s="582"/>
      <c r="BZ12" s="582"/>
      <c r="CA12" s="582"/>
      <c r="CB12" s="582"/>
      <c r="CC12" s="582"/>
      <c r="CD12" s="582"/>
      <c r="CE12" s="582"/>
      <c r="CF12" s="582"/>
      <c r="CG12" s="582"/>
      <c r="CH12" s="582"/>
      <c r="CI12" s="636">
        <f>SUM(CI9:CZ11)</f>
        <v>5000</v>
      </c>
      <c r="CJ12" s="654"/>
      <c r="CK12" s="654"/>
      <c r="CL12" s="654"/>
      <c r="CM12" s="654"/>
      <c r="CN12" s="654"/>
      <c r="CO12" s="654"/>
      <c r="CP12" s="654"/>
      <c r="CQ12" s="654"/>
      <c r="CR12" s="654"/>
      <c r="CS12" s="654"/>
      <c r="CT12" s="654"/>
      <c r="CU12" s="654"/>
      <c r="CV12" s="654"/>
      <c r="CW12" s="654"/>
      <c r="CX12" s="654"/>
      <c r="CY12" s="654"/>
      <c r="CZ12" s="655"/>
      <c r="DA12" s="214"/>
    </row>
    <row r="13" spans="1:106" s="16" customFormat="1" ht="15" customHeight="1" x14ac:dyDescent="0.3">
      <c r="A13" s="656" t="s">
        <v>541</v>
      </c>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8"/>
      <c r="DA13" s="214"/>
    </row>
    <row r="14" spans="1:106" s="16" customFormat="1" ht="15" customHeight="1" x14ac:dyDescent="0.3">
      <c r="A14" s="659" t="s">
        <v>441</v>
      </c>
      <c r="B14" s="659"/>
      <c r="C14" s="659"/>
      <c r="D14" s="659"/>
      <c r="E14" s="659"/>
      <c r="F14" s="659"/>
      <c r="G14" s="584" t="s">
        <v>538</v>
      </c>
      <c r="H14" s="585"/>
      <c r="I14" s="585"/>
      <c r="J14" s="585"/>
      <c r="K14" s="585"/>
      <c r="L14" s="585"/>
      <c r="M14" s="585"/>
      <c r="N14" s="585"/>
      <c r="O14" s="585"/>
      <c r="P14" s="585"/>
      <c r="Q14" s="585"/>
      <c r="R14" s="585"/>
      <c r="S14" s="585"/>
      <c r="T14" s="585"/>
      <c r="U14" s="585"/>
      <c r="V14" s="585"/>
      <c r="W14" s="585"/>
      <c r="X14" s="585"/>
      <c r="Y14" s="585"/>
      <c r="Z14" s="585"/>
      <c r="AA14" s="585"/>
      <c r="AB14" s="585"/>
      <c r="AC14" s="586"/>
      <c r="AD14" s="664">
        <v>100</v>
      </c>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59" t="s">
        <v>71</v>
      </c>
      <c r="BD14" s="659"/>
      <c r="BE14" s="659"/>
      <c r="BF14" s="659"/>
      <c r="BG14" s="659"/>
      <c r="BH14" s="659"/>
      <c r="BI14" s="659"/>
      <c r="BJ14" s="659"/>
      <c r="BK14" s="659"/>
      <c r="BL14" s="659"/>
      <c r="BM14" s="659"/>
      <c r="BN14" s="659"/>
      <c r="BO14" s="659"/>
      <c r="BP14" s="659"/>
      <c r="BQ14" s="659"/>
      <c r="BR14" s="659"/>
      <c r="BS14" s="630" t="s">
        <v>71</v>
      </c>
      <c r="BT14" s="631"/>
      <c r="BU14" s="631"/>
      <c r="BV14" s="631"/>
      <c r="BW14" s="631"/>
      <c r="BX14" s="631"/>
      <c r="BY14" s="631"/>
      <c r="BZ14" s="631"/>
      <c r="CA14" s="631"/>
      <c r="CB14" s="631"/>
      <c r="CC14" s="631"/>
      <c r="CD14" s="631"/>
      <c r="CE14" s="631"/>
      <c r="CF14" s="631"/>
      <c r="CG14" s="631"/>
      <c r="CH14" s="631"/>
      <c r="CI14" s="627">
        <f>AD14*BC14*BS14</f>
        <v>400</v>
      </c>
      <c r="CJ14" s="628"/>
      <c r="CK14" s="628"/>
      <c r="CL14" s="628"/>
      <c r="CM14" s="628"/>
      <c r="CN14" s="628"/>
      <c r="CO14" s="628"/>
      <c r="CP14" s="628"/>
      <c r="CQ14" s="628"/>
      <c r="CR14" s="628"/>
      <c r="CS14" s="628"/>
      <c r="CT14" s="628"/>
      <c r="CU14" s="628"/>
      <c r="CV14" s="628"/>
      <c r="CW14" s="628"/>
      <c r="CX14" s="628"/>
      <c r="CY14" s="628"/>
      <c r="CZ14" s="629"/>
      <c r="DA14" s="214"/>
    </row>
    <row r="15" spans="1:106" s="16" customFormat="1" ht="40.5" customHeight="1" x14ac:dyDescent="0.3">
      <c r="A15" s="630" t="s">
        <v>444</v>
      </c>
      <c r="B15" s="631"/>
      <c r="C15" s="631"/>
      <c r="D15" s="631"/>
      <c r="E15" s="631"/>
      <c r="F15" s="632"/>
      <c r="G15" s="584" t="s">
        <v>539</v>
      </c>
      <c r="H15" s="585"/>
      <c r="I15" s="585"/>
      <c r="J15" s="585"/>
      <c r="K15" s="585"/>
      <c r="L15" s="585"/>
      <c r="M15" s="585"/>
      <c r="N15" s="585"/>
      <c r="O15" s="585"/>
      <c r="P15" s="585"/>
      <c r="Q15" s="585"/>
      <c r="R15" s="585"/>
      <c r="S15" s="585"/>
      <c r="T15" s="585"/>
      <c r="U15" s="585"/>
      <c r="V15" s="585"/>
      <c r="W15" s="585"/>
      <c r="X15" s="585"/>
      <c r="Y15" s="585"/>
      <c r="Z15" s="585"/>
      <c r="AA15" s="585"/>
      <c r="AB15" s="585"/>
      <c r="AC15" s="586"/>
      <c r="AD15" s="639">
        <v>300</v>
      </c>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1"/>
      <c r="BC15" s="544">
        <v>2</v>
      </c>
      <c r="BD15" s="545"/>
      <c r="BE15" s="545"/>
      <c r="BF15" s="545"/>
      <c r="BG15" s="545"/>
      <c r="BH15" s="545"/>
      <c r="BI15" s="545"/>
      <c r="BJ15" s="545"/>
      <c r="BK15" s="545"/>
      <c r="BL15" s="545"/>
      <c r="BM15" s="545"/>
      <c r="BN15" s="545"/>
      <c r="BO15" s="545"/>
      <c r="BP15" s="545"/>
      <c r="BQ15" s="545"/>
      <c r="BR15" s="546"/>
      <c r="BS15" s="544">
        <v>3</v>
      </c>
      <c r="BT15" s="545"/>
      <c r="BU15" s="545"/>
      <c r="BV15" s="545"/>
      <c r="BW15" s="545"/>
      <c r="BX15" s="545"/>
      <c r="BY15" s="545"/>
      <c r="BZ15" s="545"/>
      <c r="CA15" s="545"/>
      <c r="CB15" s="545"/>
      <c r="CC15" s="545"/>
      <c r="CD15" s="545"/>
      <c r="CE15" s="545"/>
      <c r="CF15" s="545"/>
      <c r="CG15" s="545"/>
      <c r="CH15" s="546"/>
      <c r="CI15" s="627">
        <f>AD15*BC15*BS15</f>
        <v>1800</v>
      </c>
      <c r="CJ15" s="628"/>
      <c r="CK15" s="628"/>
      <c r="CL15" s="628"/>
      <c r="CM15" s="628"/>
      <c r="CN15" s="628"/>
      <c r="CO15" s="628"/>
      <c r="CP15" s="628"/>
      <c r="CQ15" s="628"/>
      <c r="CR15" s="628"/>
      <c r="CS15" s="628"/>
      <c r="CT15" s="628"/>
      <c r="CU15" s="628"/>
      <c r="CV15" s="628"/>
      <c r="CW15" s="628"/>
      <c r="CX15" s="628"/>
      <c r="CY15" s="628"/>
      <c r="CZ15" s="629"/>
      <c r="DA15" s="214"/>
    </row>
    <row r="16" spans="1:106" s="16" customFormat="1" ht="26.25" customHeight="1" x14ac:dyDescent="0.3">
      <c r="A16" s="633" t="s">
        <v>292</v>
      </c>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5"/>
      <c r="AD16" s="582" t="s">
        <v>4</v>
      </c>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t="s">
        <v>4</v>
      </c>
      <c r="BD16" s="582"/>
      <c r="BE16" s="582"/>
      <c r="BF16" s="582"/>
      <c r="BG16" s="582"/>
      <c r="BH16" s="582"/>
      <c r="BI16" s="582"/>
      <c r="BJ16" s="582"/>
      <c r="BK16" s="582"/>
      <c r="BL16" s="582"/>
      <c r="BM16" s="582"/>
      <c r="BN16" s="582"/>
      <c r="BO16" s="582"/>
      <c r="BP16" s="582"/>
      <c r="BQ16" s="582"/>
      <c r="BR16" s="582"/>
      <c r="BS16" s="582" t="s">
        <v>4</v>
      </c>
      <c r="BT16" s="582"/>
      <c r="BU16" s="582"/>
      <c r="BV16" s="582"/>
      <c r="BW16" s="582"/>
      <c r="BX16" s="582"/>
      <c r="BY16" s="582"/>
      <c r="BZ16" s="582"/>
      <c r="CA16" s="582"/>
      <c r="CB16" s="582"/>
      <c r="CC16" s="582"/>
      <c r="CD16" s="582"/>
      <c r="CE16" s="582"/>
      <c r="CF16" s="582"/>
      <c r="CG16" s="582"/>
      <c r="CH16" s="582"/>
      <c r="CI16" s="636">
        <f>SUM(CI14:CZ15)</f>
        <v>2200</v>
      </c>
      <c r="CJ16" s="654"/>
      <c r="CK16" s="654"/>
      <c r="CL16" s="654"/>
      <c r="CM16" s="654"/>
      <c r="CN16" s="654"/>
      <c r="CO16" s="654"/>
      <c r="CP16" s="654"/>
      <c r="CQ16" s="654"/>
      <c r="CR16" s="654"/>
      <c r="CS16" s="654"/>
      <c r="CT16" s="654"/>
      <c r="CU16" s="654"/>
      <c r="CV16" s="654"/>
      <c r="CW16" s="654"/>
      <c r="CX16" s="654"/>
      <c r="CY16" s="654"/>
      <c r="CZ16" s="655"/>
      <c r="DA16" s="214"/>
    </row>
    <row r="17" spans="1:106" s="16" customFormat="1" ht="15" customHeight="1" x14ac:dyDescent="0.3">
      <c r="A17" s="553" t="s">
        <v>56</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5"/>
      <c r="AD17" s="582" t="s">
        <v>4</v>
      </c>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t="s">
        <v>4</v>
      </c>
      <c r="BD17" s="582"/>
      <c r="BE17" s="582"/>
      <c r="BF17" s="582"/>
      <c r="BG17" s="582"/>
      <c r="BH17" s="582"/>
      <c r="BI17" s="582"/>
      <c r="BJ17" s="582"/>
      <c r="BK17" s="582"/>
      <c r="BL17" s="582"/>
      <c r="BM17" s="582"/>
      <c r="BN17" s="582"/>
      <c r="BO17" s="582"/>
      <c r="BP17" s="582"/>
      <c r="BQ17" s="582"/>
      <c r="BR17" s="582"/>
      <c r="BS17" s="582" t="s">
        <v>4</v>
      </c>
      <c r="BT17" s="582"/>
      <c r="BU17" s="582"/>
      <c r="BV17" s="582"/>
      <c r="BW17" s="582"/>
      <c r="BX17" s="582"/>
      <c r="BY17" s="582"/>
      <c r="BZ17" s="582"/>
      <c r="CA17" s="582"/>
      <c r="CB17" s="582"/>
      <c r="CC17" s="582"/>
      <c r="CD17" s="582"/>
      <c r="CE17" s="582"/>
      <c r="CF17" s="582"/>
      <c r="CG17" s="582"/>
      <c r="CH17" s="582"/>
      <c r="CI17" s="611">
        <f>CI12+CI16</f>
        <v>7200</v>
      </c>
      <c r="CJ17" s="611"/>
      <c r="CK17" s="611"/>
      <c r="CL17" s="611"/>
      <c r="CM17" s="611"/>
      <c r="CN17" s="611"/>
      <c r="CO17" s="611"/>
      <c r="CP17" s="611"/>
      <c r="CQ17" s="611"/>
      <c r="CR17" s="611"/>
      <c r="CS17" s="611"/>
      <c r="CT17" s="611"/>
      <c r="CU17" s="611"/>
      <c r="CV17" s="611"/>
      <c r="CW17" s="611"/>
      <c r="CX17" s="611"/>
      <c r="CY17" s="611"/>
      <c r="CZ17" s="611"/>
      <c r="DA17" s="220">
        <f>CI17</f>
        <v>7200</v>
      </c>
    </row>
    <row r="18" spans="1:106" ht="12" hidden="1" customHeight="1" x14ac:dyDescent="0.25">
      <c r="DA18" s="214"/>
      <c r="DB18" s="16"/>
    </row>
    <row r="19" spans="1:106" s="20" customFormat="1" ht="26.25" hidden="1" customHeight="1" x14ac:dyDescent="0.25">
      <c r="A19" s="594" t="s">
        <v>276</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94"/>
      <c r="BW19" s="594"/>
      <c r="BX19" s="594"/>
      <c r="BY19" s="594"/>
      <c r="BZ19" s="594"/>
      <c r="CA19" s="594"/>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214"/>
      <c r="DB19" s="16"/>
    </row>
    <row r="20" spans="1:106" s="20" customFormat="1" hidden="1" x14ac:dyDescent="0.25">
      <c r="A20" s="20" t="s">
        <v>47</v>
      </c>
      <c r="W20" s="595" t="s">
        <v>536</v>
      </c>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214"/>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4"/>
      <c r="DB21" s="16"/>
    </row>
    <row r="22" spans="1:106" s="18" customFormat="1" ht="55.5" hidden="1" customHeight="1" x14ac:dyDescent="0.25">
      <c r="A22" s="597" t="s">
        <v>49</v>
      </c>
      <c r="B22" s="598"/>
      <c r="C22" s="598"/>
      <c r="D22" s="598"/>
      <c r="E22" s="598"/>
      <c r="F22" s="599"/>
      <c r="G22" s="597" t="s">
        <v>57</v>
      </c>
      <c r="H22" s="598"/>
      <c r="I22" s="598"/>
      <c r="J22" s="598"/>
      <c r="K22" s="598"/>
      <c r="L22" s="598"/>
      <c r="M22" s="598"/>
      <c r="N22" s="598"/>
      <c r="O22" s="598"/>
      <c r="P22" s="598"/>
      <c r="Q22" s="598"/>
      <c r="R22" s="598"/>
      <c r="S22" s="598"/>
      <c r="T22" s="598"/>
      <c r="U22" s="598"/>
      <c r="V22" s="598"/>
      <c r="W22" s="598"/>
      <c r="X22" s="598"/>
      <c r="Y22" s="598"/>
      <c r="Z22" s="598"/>
      <c r="AA22" s="598"/>
      <c r="AB22" s="598"/>
      <c r="AC22" s="599"/>
      <c r="AD22" s="597" t="s">
        <v>293</v>
      </c>
      <c r="AE22" s="598"/>
      <c r="AF22" s="598"/>
      <c r="AG22" s="598"/>
      <c r="AH22" s="598"/>
      <c r="AI22" s="598"/>
      <c r="AJ22" s="598"/>
      <c r="AK22" s="598"/>
      <c r="AL22" s="598"/>
      <c r="AM22" s="598"/>
      <c r="AN22" s="598"/>
      <c r="AO22" s="598"/>
      <c r="AP22" s="598"/>
      <c r="AQ22" s="598"/>
      <c r="AR22" s="598"/>
      <c r="AS22" s="598"/>
      <c r="AT22" s="598"/>
      <c r="AU22" s="598"/>
      <c r="AV22" s="598"/>
      <c r="AW22" s="598"/>
      <c r="AX22" s="599"/>
      <c r="AY22" s="597" t="s">
        <v>62</v>
      </c>
      <c r="AZ22" s="598"/>
      <c r="BA22" s="598"/>
      <c r="BB22" s="598"/>
      <c r="BC22" s="598"/>
      <c r="BD22" s="598"/>
      <c r="BE22" s="598"/>
      <c r="BF22" s="598"/>
      <c r="BG22" s="598"/>
      <c r="BH22" s="598"/>
      <c r="BI22" s="598"/>
      <c r="BJ22" s="598"/>
      <c r="BK22" s="598"/>
      <c r="BL22" s="598"/>
      <c r="BM22" s="598"/>
      <c r="BN22" s="598"/>
      <c r="BO22" s="598"/>
      <c r="BP22" s="599"/>
      <c r="BQ22" s="597" t="s">
        <v>63</v>
      </c>
      <c r="BR22" s="598"/>
      <c r="BS22" s="598"/>
      <c r="BT22" s="598"/>
      <c r="BU22" s="598"/>
      <c r="BV22" s="598"/>
      <c r="BW22" s="598"/>
      <c r="BX22" s="598"/>
      <c r="BY22" s="598"/>
      <c r="BZ22" s="598"/>
      <c r="CA22" s="598"/>
      <c r="CB22" s="598"/>
      <c r="CC22" s="598"/>
      <c r="CD22" s="598"/>
      <c r="CE22" s="598"/>
      <c r="CF22" s="598"/>
      <c r="CG22" s="598"/>
      <c r="CH22" s="599"/>
      <c r="CI22" s="597" t="s">
        <v>61</v>
      </c>
      <c r="CJ22" s="598"/>
      <c r="CK22" s="598"/>
      <c r="CL22" s="598"/>
      <c r="CM22" s="598"/>
      <c r="CN22" s="598"/>
      <c r="CO22" s="598"/>
      <c r="CP22" s="598"/>
      <c r="CQ22" s="598"/>
      <c r="CR22" s="598"/>
      <c r="CS22" s="598"/>
      <c r="CT22" s="598"/>
      <c r="CU22" s="598"/>
      <c r="CV22" s="598"/>
      <c r="CW22" s="598"/>
      <c r="CX22" s="598"/>
      <c r="CY22" s="598"/>
      <c r="CZ22" s="599"/>
      <c r="DA22" s="20"/>
      <c r="DB22" s="20"/>
    </row>
    <row r="23" spans="1:106" s="15" customFormat="1" hidden="1" x14ac:dyDescent="0.25">
      <c r="A23" s="591">
        <v>1</v>
      </c>
      <c r="B23" s="591"/>
      <c r="C23" s="591"/>
      <c r="D23" s="591"/>
      <c r="E23" s="591"/>
      <c r="F23" s="591"/>
      <c r="G23" s="591">
        <v>2</v>
      </c>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v>3</v>
      </c>
      <c r="AE23" s="591"/>
      <c r="AF23" s="591"/>
      <c r="AG23" s="591"/>
      <c r="AH23" s="591"/>
      <c r="AI23" s="591"/>
      <c r="AJ23" s="591"/>
      <c r="AK23" s="591"/>
      <c r="AL23" s="591"/>
      <c r="AM23" s="591"/>
      <c r="AN23" s="591"/>
      <c r="AO23" s="591"/>
      <c r="AP23" s="591"/>
      <c r="AQ23" s="591"/>
      <c r="AR23" s="591"/>
      <c r="AS23" s="591"/>
      <c r="AT23" s="591"/>
      <c r="AU23" s="591"/>
      <c r="AV23" s="591"/>
      <c r="AW23" s="591"/>
      <c r="AX23" s="591"/>
      <c r="AY23" s="591">
        <v>4</v>
      </c>
      <c r="AZ23" s="591"/>
      <c r="BA23" s="591"/>
      <c r="BB23" s="591"/>
      <c r="BC23" s="591"/>
      <c r="BD23" s="591"/>
      <c r="BE23" s="591"/>
      <c r="BF23" s="591"/>
      <c r="BG23" s="591"/>
      <c r="BH23" s="591"/>
      <c r="BI23" s="591"/>
      <c r="BJ23" s="591"/>
      <c r="BK23" s="591"/>
      <c r="BL23" s="591"/>
      <c r="BM23" s="591"/>
      <c r="BN23" s="591"/>
      <c r="BO23" s="591"/>
      <c r="BP23" s="591"/>
      <c r="BQ23" s="591">
        <v>5</v>
      </c>
      <c r="BR23" s="591"/>
      <c r="BS23" s="591"/>
      <c r="BT23" s="591"/>
      <c r="BU23" s="591"/>
      <c r="BV23" s="591"/>
      <c r="BW23" s="591"/>
      <c r="BX23" s="591"/>
      <c r="BY23" s="591"/>
      <c r="BZ23" s="591"/>
      <c r="CA23" s="591"/>
      <c r="CB23" s="591"/>
      <c r="CC23" s="591"/>
      <c r="CD23" s="591"/>
      <c r="CE23" s="591"/>
      <c r="CF23" s="591"/>
      <c r="CG23" s="591"/>
      <c r="CH23" s="591"/>
      <c r="CI23" s="591">
        <v>6</v>
      </c>
      <c r="CJ23" s="591"/>
      <c r="CK23" s="591"/>
      <c r="CL23" s="591"/>
      <c r="CM23" s="591"/>
      <c r="CN23" s="591"/>
      <c r="CO23" s="591"/>
      <c r="CP23" s="591"/>
      <c r="CQ23" s="591"/>
      <c r="CR23" s="591"/>
      <c r="CS23" s="591"/>
      <c r="CT23" s="591"/>
      <c r="CU23" s="591"/>
      <c r="CV23" s="591"/>
      <c r="CW23" s="591"/>
      <c r="CX23" s="591"/>
      <c r="CY23" s="591"/>
      <c r="CZ23" s="591"/>
      <c r="DA23" s="20"/>
      <c r="DB23" s="20"/>
    </row>
    <row r="24" spans="1:106" s="16" customFormat="1" ht="15" hidden="1" customHeight="1" x14ac:dyDescent="0.25">
      <c r="A24" s="656" t="s">
        <v>537</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57"/>
      <c r="BQ24" s="657"/>
      <c r="BR24" s="657"/>
      <c r="BS24" s="657"/>
      <c r="BT24" s="657"/>
      <c r="BU24" s="657"/>
      <c r="BV24" s="657"/>
      <c r="BW24" s="657"/>
      <c r="BX24" s="657"/>
      <c r="BY24" s="657"/>
      <c r="BZ24" s="657"/>
      <c r="CA24" s="657"/>
      <c r="CB24" s="657"/>
      <c r="CC24" s="657"/>
      <c r="CD24" s="657"/>
      <c r="CE24" s="657"/>
      <c r="CF24" s="657"/>
      <c r="CG24" s="657"/>
      <c r="CH24" s="657"/>
      <c r="CI24" s="657"/>
      <c r="CJ24" s="657"/>
      <c r="CK24" s="657"/>
      <c r="CL24" s="657"/>
      <c r="CM24" s="657"/>
      <c r="CN24" s="657"/>
      <c r="CO24" s="657"/>
      <c r="CP24" s="657"/>
      <c r="CQ24" s="657"/>
      <c r="CR24" s="657"/>
      <c r="CS24" s="657"/>
      <c r="CT24" s="657"/>
      <c r="CU24" s="657"/>
      <c r="CV24" s="657"/>
      <c r="CW24" s="657"/>
      <c r="CX24" s="657"/>
      <c r="CY24" s="657"/>
      <c r="CZ24" s="658"/>
      <c r="DA24" s="20"/>
      <c r="DB24" s="20"/>
    </row>
    <row r="25" spans="1:106" s="16" customFormat="1" ht="24" hidden="1" customHeight="1" x14ac:dyDescent="0.25">
      <c r="A25" s="630" t="s">
        <v>441</v>
      </c>
      <c r="B25" s="631"/>
      <c r="C25" s="631"/>
      <c r="D25" s="631"/>
      <c r="E25" s="631"/>
      <c r="F25" s="632"/>
      <c r="G25" s="584" t="s">
        <v>542</v>
      </c>
      <c r="H25" s="585"/>
      <c r="I25" s="585"/>
      <c r="J25" s="585"/>
      <c r="K25" s="585"/>
      <c r="L25" s="585"/>
      <c r="M25" s="585"/>
      <c r="N25" s="585"/>
      <c r="O25" s="585"/>
      <c r="P25" s="585"/>
      <c r="Q25" s="585"/>
      <c r="R25" s="585"/>
      <c r="S25" s="585"/>
      <c r="T25" s="585"/>
      <c r="U25" s="585"/>
      <c r="V25" s="585"/>
      <c r="W25" s="585"/>
      <c r="X25" s="585"/>
      <c r="Y25" s="585"/>
      <c r="Z25" s="585"/>
      <c r="AA25" s="585"/>
      <c r="AB25" s="585"/>
      <c r="AC25" s="586"/>
      <c r="AD25" s="544"/>
      <c r="AE25" s="545"/>
      <c r="AF25" s="545"/>
      <c r="AG25" s="545"/>
      <c r="AH25" s="545"/>
      <c r="AI25" s="545"/>
      <c r="AJ25" s="545"/>
      <c r="AK25" s="545"/>
      <c r="AL25" s="545"/>
      <c r="AM25" s="545"/>
      <c r="AN25" s="545"/>
      <c r="AO25" s="545"/>
      <c r="AP25" s="545"/>
      <c r="AQ25" s="545"/>
      <c r="AR25" s="545"/>
      <c r="AS25" s="545"/>
      <c r="AT25" s="545"/>
      <c r="AU25" s="545"/>
      <c r="AV25" s="545"/>
      <c r="AW25" s="545"/>
      <c r="AX25" s="546"/>
      <c r="AY25" s="544"/>
      <c r="AZ25" s="545"/>
      <c r="BA25" s="545"/>
      <c r="BB25" s="545"/>
      <c r="BC25" s="545"/>
      <c r="BD25" s="545"/>
      <c r="BE25" s="545"/>
      <c r="BF25" s="545"/>
      <c r="BG25" s="545"/>
      <c r="BH25" s="545"/>
      <c r="BI25" s="545"/>
      <c r="BJ25" s="545"/>
      <c r="BK25" s="545"/>
      <c r="BL25" s="545"/>
      <c r="BM25" s="545"/>
      <c r="BN25" s="545"/>
      <c r="BO25" s="545"/>
      <c r="BP25" s="546"/>
      <c r="BQ25" s="547"/>
      <c r="BR25" s="548"/>
      <c r="BS25" s="548"/>
      <c r="BT25" s="548"/>
      <c r="BU25" s="548"/>
      <c r="BV25" s="548"/>
      <c r="BW25" s="548"/>
      <c r="BX25" s="548"/>
      <c r="BY25" s="548"/>
      <c r="BZ25" s="548"/>
      <c r="CA25" s="548"/>
      <c r="CB25" s="548"/>
      <c r="CC25" s="548"/>
      <c r="CD25" s="548"/>
      <c r="CE25" s="548"/>
      <c r="CF25" s="548"/>
      <c r="CG25" s="548"/>
      <c r="CH25" s="549"/>
      <c r="CI25" s="627"/>
      <c r="CJ25" s="628"/>
      <c r="CK25" s="628"/>
      <c r="CL25" s="628"/>
      <c r="CM25" s="628"/>
      <c r="CN25" s="628"/>
      <c r="CO25" s="628"/>
      <c r="CP25" s="628"/>
      <c r="CQ25" s="628"/>
      <c r="CR25" s="628"/>
      <c r="CS25" s="628"/>
      <c r="CT25" s="628"/>
      <c r="CU25" s="628"/>
      <c r="CV25" s="628"/>
      <c r="CW25" s="628"/>
      <c r="CX25" s="628"/>
      <c r="CY25" s="628"/>
      <c r="CZ25" s="629"/>
      <c r="DA25" s="20"/>
      <c r="DB25" s="20"/>
    </row>
    <row r="26" spans="1:106" s="16" customFormat="1" ht="56.25" hidden="1" customHeight="1" x14ac:dyDescent="0.3">
      <c r="A26" s="630" t="s">
        <v>444</v>
      </c>
      <c r="B26" s="631"/>
      <c r="C26" s="631"/>
      <c r="D26" s="631"/>
      <c r="E26" s="631"/>
      <c r="F26" s="632"/>
      <c r="G26" s="584" t="s">
        <v>543</v>
      </c>
      <c r="H26" s="585"/>
      <c r="I26" s="585"/>
      <c r="J26" s="585"/>
      <c r="K26" s="585"/>
      <c r="L26" s="585"/>
      <c r="M26" s="585"/>
      <c r="N26" s="585"/>
      <c r="O26" s="585"/>
      <c r="P26" s="585"/>
      <c r="Q26" s="585"/>
      <c r="R26" s="585"/>
      <c r="S26" s="585"/>
      <c r="T26" s="585"/>
      <c r="U26" s="585"/>
      <c r="V26" s="585"/>
      <c r="W26" s="585"/>
      <c r="X26" s="585"/>
      <c r="Y26" s="585"/>
      <c r="Z26" s="585"/>
      <c r="AA26" s="585"/>
      <c r="AB26" s="585"/>
      <c r="AC26" s="586"/>
      <c r="AD26" s="544"/>
      <c r="AE26" s="545"/>
      <c r="AF26" s="545"/>
      <c r="AG26" s="545"/>
      <c r="AH26" s="545"/>
      <c r="AI26" s="545"/>
      <c r="AJ26" s="545"/>
      <c r="AK26" s="545"/>
      <c r="AL26" s="545"/>
      <c r="AM26" s="545"/>
      <c r="AN26" s="545"/>
      <c r="AO26" s="545"/>
      <c r="AP26" s="545"/>
      <c r="AQ26" s="545"/>
      <c r="AR26" s="545"/>
      <c r="AS26" s="545"/>
      <c r="AT26" s="545"/>
      <c r="AU26" s="545"/>
      <c r="AV26" s="545"/>
      <c r="AW26" s="545"/>
      <c r="AX26" s="546"/>
      <c r="AY26" s="544"/>
      <c r="AZ26" s="545"/>
      <c r="BA26" s="545"/>
      <c r="BB26" s="545"/>
      <c r="BC26" s="545"/>
      <c r="BD26" s="545"/>
      <c r="BE26" s="545"/>
      <c r="BF26" s="545"/>
      <c r="BG26" s="545"/>
      <c r="BH26" s="545"/>
      <c r="BI26" s="545"/>
      <c r="BJ26" s="545"/>
      <c r="BK26" s="545"/>
      <c r="BL26" s="545"/>
      <c r="BM26" s="545"/>
      <c r="BN26" s="545"/>
      <c r="BO26" s="545"/>
      <c r="BP26" s="546"/>
      <c r="BQ26" s="547"/>
      <c r="BR26" s="548"/>
      <c r="BS26" s="548"/>
      <c r="BT26" s="548"/>
      <c r="BU26" s="548"/>
      <c r="BV26" s="548"/>
      <c r="BW26" s="548"/>
      <c r="BX26" s="548"/>
      <c r="BY26" s="548"/>
      <c r="BZ26" s="548"/>
      <c r="CA26" s="548"/>
      <c r="CB26" s="548"/>
      <c r="CC26" s="548"/>
      <c r="CD26" s="548"/>
      <c r="CE26" s="548"/>
      <c r="CF26" s="548"/>
      <c r="CG26" s="548"/>
      <c r="CH26" s="549"/>
      <c r="CI26" s="627"/>
      <c r="CJ26" s="628"/>
      <c r="CK26" s="628"/>
      <c r="CL26" s="628"/>
      <c r="CM26" s="628"/>
      <c r="CN26" s="628"/>
      <c r="CO26" s="628"/>
      <c r="CP26" s="628"/>
      <c r="CQ26" s="628"/>
      <c r="CR26" s="628"/>
      <c r="CS26" s="628"/>
      <c r="CT26" s="628"/>
      <c r="CU26" s="628"/>
      <c r="CV26" s="628"/>
      <c r="CW26" s="628"/>
      <c r="CX26" s="628"/>
      <c r="CY26" s="628"/>
      <c r="CZ26" s="629"/>
      <c r="DA26" s="218"/>
      <c r="DB26" s="18"/>
    </row>
    <row r="27" spans="1:106" s="16" customFormat="1" ht="27" hidden="1" customHeight="1" x14ac:dyDescent="0.3">
      <c r="A27" s="633" t="s">
        <v>292</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5"/>
      <c r="AD27" s="544" t="s">
        <v>4</v>
      </c>
      <c r="AE27" s="545"/>
      <c r="AF27" s="545"/>
      <c r="AG27" s="545"/>
      <c r="AH27" s="545"/>
      <c r="AI27" s="545"/>
      <c r="AJ27" s="545"/>
      <c r="AK27" s="545"/>
      <c r="AL27" s="545"/>
      <c r="AM27" s="545"/>
      <c r="AN27" s="545"/>
      <c r="AO27" s="545"/>
      <c r="AP27" s="545"/>
      <c r="AQ27" s="545"/>
      <c r="AR27" s="545"/>
      <c r="AS27" s="545"/>
      <c r="AT27" s="545"/>
      <c r="AU27" s="545"/>
      <c r="AV27" s="545"/>
      <c r="AW27" s="545"/>
      <c r="AX27" s="546"/>
      <c r="AY27" s="544" t="s">
        <v>4</v>
      </c>
      <c r="AZ27" s="545"/>
      <c r="BA27" s="545"/>
      <c r="BB27" s="545"/>
      <c r="BC27" s="545"/>
      <c r="BD27" s="545"/>
      <c r="BE27" s="545"/>
      <c r="BF27" s="545"/>
      <c r="BG27" s="545"/>
      <c r="BH27" s="545"/>
      <c r="BI27" s="545"/>
      <c r="BJ27" s="545"/>
      <c r="BK27" s="545"/>
      <c r="BL27" s="545"/>
      <c r="BM27" s="545"/>
      <c r="BN27" s="545"/>
      <c r="BO27" s="545"/>
      <c r="BP27" s="546"/>
      <c r="BQ27" s="544" t="s">
        <v>4</v>
      </c>
      <c r="BR27" s="545"/>
      <c r="BS27" s="545"/>
      <c r="BT27" s="545"/>
      <c r="BU27" s="545"/>
      <c r="BV27" s="545"/>
      <c r="BW27" s="545"/>
      <c r="BX27" s="545"/>
      <c r="BY27" s="545"/>
      <c r="BZ27" s="545"/>
      <c r="CA27" s="545"/>
      <c r="CB27" s="545"/>
      <c r="CC27" s="545"/>
      <c r="CD27" s="545"/>
      <c r="CE27" s="545"/>
      <c r="CF27" s="545"/>
      <c r="CG27" s="545"/>
      <c r="CH27" s="546"/>
      <c r="CI27" s="636">
        <f>SUM(CI25:CZ26)</f>
        <v>0</v>
      </c>
      <c r="CJ27" s="654"/>
      <c r="CK27" s="654"/>
      <c r="CL27" s="654"/>
      <c r="CM27" s="654"/>
      <c r="CN27" s="654"/>
      <c r="CO27" s="654"/>
      <c r="CP27" s="654"/>
      <c r="CQ27" s="654"/>
      <c r="CR27" s="654"/>
      <c r="CS27" s="654"/>
      <c r="CT27" s="654"/>
      <c r="CU27" s="654"/>
      <c r="CV27" s="654"/>
      <c r="CW27" s="654"/>
      <c r="CX27" s="654"/>
      <c r="CY27" s="654"/>
      <c r="CZ27" s="655"/>
      <c r="DA27" s="219"/>
      <c r="DB27" s="15"/>
    </row>
    <row r="28" spans="1:106" s="16" customFormat="1" ht="15" hidden="1" customHeight="1" x14ac:dyDescent="0.3">
      <c r="A28" s="656" t="s">
        <v>258</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657"/>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8"/>
      <c r="DA28" s="214"/>
    </row>
    <row r="29" spans="1:106" s="16" customFormat="1" ht="15" hidden="1" customHeight="1" x14ac:dyDescent="0.3">
      <c r="A29" s="630"/>
      <c r="B29" s="631"/>
      <c r="C29" s="631"/>
      <c r="D29" s="631"/>
      <c r="E29" s="631"/>
      <c r="F29" s="632"/>
      <c r="G29" s="584"/>
      <c r="H29" s="585"/>
      <c r="I29" s="585"/>
      <c r="J29" s="585"/>
      <c r="K29" s="585"/>
      <c r="L29" s="585"/>
      <c r="M29" s="585"/>
      <c r="N29" s="585"/>
      <c r="O29" s="585"/>
      <c r="P29" s="585"/>
      <c r="Q29" s="585"/>
      <c r="R29" s="585"/>
      <c r="S29" s="585"/>
      <c r="T29" s="585"/>
      <c r="U29" s="585"/>
      <c r="V29" s="585"/>
      <c r="W29" s="585"/>
      <c r="X29" s="585"/>
      <c r="Y29" s="585"/>
      <c r="Z29" s="585"/>
      <c r="AA29" s="585"/>
      <c r="AB29" s="585"/>
      <c r="AC29" s="586"/>
      <c r="AD29" s="544"/>
      <c r="AE29" s="545"/>
      <c r="AF29" s="545"/>
      <c r="AG29" s="545"/>
      <c r="AH29" s="545"/>
      <c r="AI29" s="545"/>
      <c r="AJ29" s="545"/>
      <c r="AK29" s="545"/>
      <c r="AL29" s="545"/>
      <c r="AM29" s="545"/>
      <c r="AN29" s="545"/>
      <c r="AO29" s="545"/>
      <c r="AP29" s="545"/>
      <c r="AQ29" s="545"/>
      <c r="AR29" s="545"/>
      <c r="AS29" s="545"/>
      <c r="AT29" s="545"/>
      <c r="AU29" s="545"/>
      <c r="AV29" s="545"/>
      <c r="AW29" s="545"/>
      <c r="AX29" s="546"/>
      <c r="AY29" s="544"/>
      <c r="AZ29" s="545"/>
      <c r="BA29" s="545"/>
      <c r="BB29" s="545"/>
      <c r="BC29" s="545"/>
      <c r="BD29" s="545"/>
      <c r="BE29" s="545"/>
      <c r="BF29" s="545"/>
      <c r="BG29" s="545"/>
      <c r="BH29" s="545"/>
      <c r="BI29" s="545"/>
      <c r="BJ29" s="545"/>
      <c r="BK29" s="545"/>
      <c r="BL29" s="545"/>
      <c r="BM29" s="545"/>
      <c r="BN29" s="545"/>
      <c r="BO29" s="545"/>
      <c r="BP29" s="546"/>
      <c r="BQ29" s="544"/>
      <c r="BR29" s="545"/>
      <c r="BS29" s="545"/>
      <c r="BT29" s="545"/>
      <c r="BU29" s="545"/>
      <c r="BV29" s="545"/>
      <c r="BW29" s="545"/>
      <c r="BX29" s="545"/>
      <c r="BY29" s="545"/>
      <c r="BZ29" s="545"/>
      <c r="CA29" s="545"/>
      <c r="CB29" s="545"/>
      <c r="CC29" s="545"/>
      <c r="CD29" s="545"/>
      <c r="CE29" s="545"/>
      <c r="CF29" s="545"/>
      <c r="CG29" s="545"/>
      <c r="CH29" s="546"/>
      <c r="CI29" s="627"/>
      <c r="CJ29" s="628"/>
      <c r="CK29" s="628"/>
      <c r="CL29" s="628"/>
      <c r="CM29" s="628"/>
      <c r="CN29" s="628"/>
      <c r="CO29" s="628"/>
      <c r="CP29" s="628"/>
      <c r="CQ29" s="628"/>
      <c r="CR29" s="628"/>
      <c r="CS29" s="628"/>
      <c r="CT29" s="628"/>
      <c r="CU29" s="628"/>
      <c r="CV29" s="628"/>
      <c r="CW29" s="628"/>
      <c r="CX29" s="628"/>
      <c r="CY29" s="628"/>
      <c r="CZ29" s="629"/>
      <c r="DA29" s="214"/>
    </row>
    <row r="30" spans="1:106" s="16" customFormat="1" ht="2.25" hidden="1" customHeight="1" x14ac:dyDescent="0.3">
      <c r="A30" s="633" t="s">
        <v>292</v>
      </c>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5"/>
      <c r="AD30" s="544" t="s">
        <v>4</v>
      </c>
      <c r="AE30" s="545"/>
      <c r="AF30" s="545"/>
      <c r="AG30" s="545"/>
      <c r="AH30" s="545"/>
      <c r="AI30" s="545"/>
      <c r="AJ30" s="545"/>
      <c r="AK30" s="545"/>
      <c r="AL30" s="545"/>
      <c r="AM30" s="545"/>
      <c r="AN30" s="545"/>
      <c r="AO30" s="545"/>
      <c r="AP30" s="545"/>
      <c r="AQ30" s="545"/>
      <c r="AR30" s="545"/>
      <c r="AS30" s="545"/>
      <c r="AT30" s="545"/>
      <c r="AU30" s="545"/>
      <c r="AV30" s="545"/>
      <c r="AW30" s="545"/>
      <c r="AX30" s="546"/>
      <c r="AY30" s="544" t="s">
        <v>4</v>
      </c>
      <c r="AZ30" s="545"/>
      <c r="BA30" s="545"/>
      <c r="BB30" s="545"/>
      <c r="BC30" s="545"/>
      <c r="BD30" s="545"/>
      <c r="BE30" s="545"/>
      <c r="BF30" s="545"/>
      <c r="BG30" s="545"/>
      <c r="BH30" s="545"/>
      <c r="BI30" s="545"/>
      <c r="BJ30" s="545"/>
      <c r="BK30" s="545"/>
      <c r="BL30" s="545"/>
      <c r="BM30" s="545"/>
      <c r="BN30" s="545"/>
      <c r="BO30" s="545"/>
      <c r="BP30" s="546"/>
      <c r="BQ30" s="544" t="s">
        <v>4</v>
      </c>
      <c r="BR30" s="545"/>
      <c r="BS30" s="545"/>
      <c r="BT30" s="545"/>
      <c r="BU30" s="545"/>
      <c r="BV30" s="545"/>
      <c r="BW30" s="545"/>
      <c r="BX30" s="545"/>
      <c r="BY30" s="545"/>
      <c r="BZ30" s="545"/>
      <c r="CA30" s="545"/>
      <c r="CB30" s="545"/>
      <c r="CC30" s="545"/>
      <c r="CD30" s="545"/>
      <c r="CE30" s="545"/>
      <c r="CF30" s="545"/>
      <c r="CG30" s="545"/>
      <c r="CH30" s="546"/>
      <c r="CI30" s="627"/>
      <c r="CJ30" s="628"/>
      <c r="CK30" s="628"/>
      <c r="CL30" s="628"/>
      <c r="CM30" s="628"/>
      <c r="CN30" s="628"/>
      <c r="CO30" s="628"/>
      <c r="CP30" s="628"/>
      <c r="CQ30" s="628"/>
      <c r="CR30" s="628"/>
      <c r="CS30" s="628"/>
      <c r="CT30" s="628"/>
      <c r="CU30" s="628"/>
      <c r="CV30" s="628"/>
      <c r="CW30" s="628"/>
      <c r="CX30" s="628"/>
      <c r="CY30" s="628"/>
      <c r="CZ30" s="629"/>
      <c r="DA30" s="214"/>
    </row>
    <row r="31" spans="1:106" s="16" customFormat="1" ht="15" hidden="1" customHeight="1" x14ac:dyDescent="0.3">
      <c r="A31" s="630"/>
      <c r="B31" s="631"/>
      <c r="C31" s="631"/>
      <c r="D31" s="631"/>
      <c r="E31" s="631"/>
      <c r="F31" s="632"/>
      <c r="G31" s="553" t="s">
        <v>56</v>
      </c>
      <c r="H31" s="554"/>
      <c r="I31" s="554"/>
      <c r="J31" s="554"/>
      <c r="K31" s="554"/>
      <c r="L31" s="554"/>
      <c r="M31" s="554"/>
      <c r="N31" s="554"/>
      <c r="O31" s="554"/>
      <c r="P31" s="554"/>
      <c r="Q31" s="554"/>
      <c r="R31" s="554"/>
      <c r="S31" s="554"/>
      <c r="T31" s="554"/>
      <c r="U31" s="554"/>
      <c r="V31" s="554"/>
      <c r="W31" s="554"/>
      <c r="X31" s="554"/>
      <c r="Y31" s="554"/>
      <c r="Z31" s="554"/>
      <c r="AA31" s="554"/>
      <c r="AB31" s="554"/>
      <c r="AC31" s="555"/>
      <c r="AD31" s="544" t="s">
        <v>4</v>
      </c>
      <c r="AE31" s="545"/>
      <c r="AF31" s="545"/>
      <c r="AG31" s="545"/>
      <c r="AH31" s="545"/>
      <c r="AI31" s="545"/>
      <c r="AJ31" s="545"/>
      <c r="AK31" s="545"/>
      <c r="AL31" s="545"/>
      <c r="AM31" s="545"/>
      <c r="AN31" s="545"/>
      <c r="AO31" s="545"/>
      <c r="AP31" s="545"/>
      <c r="AQ31" s="545"/>
      <c r="AR31" s="545"/>
      <c r="AS31" s="545"/>
      <c r="AT31" s="545"/>
      <c r="AU31" s="545"/>
      <c r="AV31" s="545"/>
      <c r="AW31" s="545"/>
      <c r="AX31" s="546"/>
      <c r="AY31" s="544" t="s">
        <v>4</v>
      </c>
      <c r="AZ31" s="545"/>
      <c r="BA31" s="545"/>
      <c r="BB31" s="545"/>
      <c r="BC31" s="545"/>
      <c r="BD31" s="545"/>
      <c r="BE31" s="545"/>
      <c r="BF31" s="545"/>
      <c r="BG31" s="545"/>
      <c r="BH31" s="545"/>
      <c r="BI31" s="545"/>
      <c r="BJ31" s="545"/>
      <c r="BK31" s="545"/>
      <c r="BL31" s="545"/>
      <c r="BM31" s="545"/>
      <c r="BN31" s="545"/>
      <c r="BO31" s="545"/>
      <c r="BP31" s="546"/>
      <c r="BQ31" s="544" t="s">
        <v>4</v>
      </c>
      <c r="BR31" s="545"/>
      <c r="BS31" s="545"/>
      <c r="BT31" s="545"/>
      <c r="BU31" s="545"/>
      <c r="BV31" s="545"/>
      <c r="BW31" s="545"/>
      <c r="BX31" s="545"/>
      <c r="BY31" s="545"/>
      <c r="BZ31" s="545"/>
      <c r="CA31" s="545"/>
      <c r="CB31" s="545"/>
      <c r="CC31" s="545"/>
      <c r="CD31" s="545"/>
      <c r="CE31" s="545"/>
      <c r="CF31" s="545"/>
      <c r="CG31" s="545"/>
      <c r="CH31" s="546"/>
      <c r="CI31" s="636">
        <f>CI27</f>
        <v>0</v>
      </c>
      <c r="CJ31" s="654"/>
      <c r="CK31" s="654"/>
      <c r="CL31" s="654"/>
      <c r="CM31" s="654"/>
      <c r="CN31" s="654"/>
      <c r="CO31" s="654"/>
      <c r="CP31" s="654"/>
      <c r="CQ31" s="654"/>
      <c r="CR31" s="654"/>
      <c r="CS31" s="654"/>
      <c r="CT31" s="654"/>
      <c r="CU31" s="654"/>
      <c r="CV31" s="654"/>
      <c r="CW31" s="654"/>
      <c r="CX31" s="654"/>
      <c r="CY31" s="654"/>
      <c r="CZ31" s="655"/>
      <c r="DA31" s="214"/>
    </row>
    <row r="32" spans="1:106" s="16" customFormat="1" ht="40.5" hidden="1" customHeight="1" x14ac:dyDescent="0.3">
      <c r="A32" s="221"/>
      <c r="B32" s="221"/>
      <c r="C32" s="221"/>
      <c r="D32" s="221"/>
      <c r="E32" s="221"/>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14"/>
    </row>
    <row r="33" spans="1:106" s="20" customFormat="1" ht="18" hidden="1" customHeight="1" x14ac:dyDescent="0.25">
      <c r="A33" s="437" t="s">
        <v>305</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214"/>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4"/>
      <c r="DB34" s="16"/>
    </row>
    <row r="35" spans="1:106" s="20" customFormat="1" hidden="1" x14ac:dyDescent="0.25">
      <c r="A35" s="20" t="s">
        <v>47</v>
      </c>
      <c r="W35" s="595" t="s">
        <v>544</v>
      </c>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214"/>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4"/>
      <c r="DB36" s="16"/>
    </row>
    <row r="37" spans="1:106" s="18" customFormat="1" ht="55.5" hidden="1" customHeight="1" x14ac:dyDescent="0.3">
      <c r="A37" s="597" t="s">
        <v>49</v>
      </c>
      <c r="B37" s="598"/>
      <c r="C37" s="598"/>
      <c r="D37" s="598"/>
      <c r="E37" s="598"/>
      <c r="F37" s="599"/>
      <c r="G37" s="475" t="s">
        <v>57</v>
      </c>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7"/>
      <c r="AY37" s="597" t="s">
        <v>59</v>
      </c>
      <c r="AZ37" s="598"/>
      <c r="BA37" s="598"/>
      <c r="BB37" s="598"/>
      <c r="BC37" s="598"/>
      <c r="BD37" s="598"/>
      <c r="BE37" s="598"/>
      <c r="BF37" s="598"/>
      <c r="BG37" s="598"/>
      <c r="BH37" s="598"/>
      <c r="BI37" s="598"/>
      <c r="BJ37" s="598"/>
      <c r="BK37" s="598"/>
      <c r="BL37" s="598"/>
      <c r="BM37" s="598"/>
      <c r="BN37" s="598"/>
      <c r="BO37" s="598"/>
      <c r="BP37" s="599"/>
      <c r="BQ37" s="597" t="s">
        <v>306</v>
      </c>
      <c r="BR37" s="598"/>
      <c r="BS37" s="598"/>
      <c r="BT37" s="598"/>
      <c r="BU37" s="598"/>
      <c r="BV37" s="598"/>
      <c r="BW37" s="598"/>
      <c r="BX37" s="598"/>
      <c r="BY37" s="598"/>
      <c r="BZ37" s="598"/>
      <c r="CA37" s="598"/>
      <c r="CB37" s="598"/>
      <c r="CC37" s="598"/>
      <c r="CD37" s="598"/>
      <c r="CE37" s="598"/>
      <c r="CF37" s="598"/>
      <c r="CG37" s="598"/>
      <c r="CH37" s="599"/>
      <c r="CI37" s="597" t="s">
        <v>61</v>
      </c>
      <c r="CJ37" s="598"/>
      <c r="CK37" s="598"/>
      <c r="CL37" s="598"/>
      <c r="CM37" s="598"/>
      <c r="CN37" s="598"/>
      <c r="CO37" s="598"/>
      <c r="CP37" s="598"/>
      <c r="CQ37" s="598"/>
      <c r="CR37" s="598"/>
      <c r="CS37" s="598"/>
      <c r="CT37" s="598"/>
      <c r="CU37" s="598"/>
      <c r="CV37" s="598"/>
      <c r="CW37" s="598"/>
      <c r="CX37" s="598"/>
      <c r="CY37" s="598"/>
      <c r="CZ37" s="599"/>
      <c r="DA37" s="214"/>
      <c r="DB37" s="16"/>
    </row>
    <row r="38" spans="1:106" s="15" customFormat="1" ht="13.2" hidden="1" x14ac:dyDescent="0.3">
      <c r="A38" s="591">
        <v>1</v>
      </c>
      <c r="B38" s="591"/>
      <c r="C38" s="591"/>
      <c r="D38" s="591"/>
      <c r="E38" s="591"/>
      <c r="F38" s="591"/>
      <c r="G38" s="591">
        <v>2</v>
      </c>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v>3</v>
      </c>
      <c r="AE38" s="591"/>
      <c r="AF38" s="591"/>
      <c r="AG38" s="591"/>
      <c r="AH38" s="591"/>
      <c r="AI38" s="591"/>
      <c r="AJ38" s="591"/>
      <c r="AK38" s="591"/>
      <c r="AL38" s="591"/>
      <c r="AM38" s="591"/>
      <c r="AN38" s="591"/>
      <c r="AO38" s="591"/>
      <c r="AP38" s="591"/>
      <c r="AQ38" s="591"/>
      <c r="AR38" s="591"/>
      <c r="AS38" s="591"/>
      <c r="AT38" s="591"/>
      <c r="AU38" s="591"/>
      <c r="AV38" s="591"/>
      <c r="AW38" s="591"/>
      <c r="AX38" s="591"/>
      <c r="AY38" s="591">
        <v>4</v>
      </c>
      <c r="AZ38" s="591"/>
      <c r="BA38" s="591"/>
      <c r="BB38" s="591"/>
      <c r="BC38" s="591"/>
      <c r="BD38" s="591"/>
      <c r="BE38" s="591"/>
      <c r="BF38" s="591"/>
      <c r="BG38" s="591"/>
      <c r="BH38" s="591"/>
      <c r="BI38" s="591"/>
      <c r="BJ38" s="591"/>
      <c r="BK38" s="591"/>
      <c r="BL38" s="591"/>
      <c r="BM38" s="591"/>
      <c r="BN38" s="591"/>
      <c r="BO38" s="591"/>
      <c r="BP38" s="591"/>
      <c r="BQ38" s="591">
        <v>5</v>
      </c>
      <c r="BR38" s="591"/>
      <c r="BS38" s="591"/>
      <c r="BT38" s="591"/>
      <c r="BU38" s="591"/>
      <c r="BV38" s="591"/>
      <c r="BW38" s="591"/>
      <c r="BX38" s="591"/>
      <c r="BY38" s="591"/>
      <c r="BZ38" s="591"/>
      <c r="CA38" s="591"/>
      <c r="CB38" s="591"/>
      <c r="CC38" s="591"/>
      <c r="CD38" s="591"/>
      <c r="CE38" s="591"/>
      <c r="CF38" s="591"/>
      <c r="CG38" s="591"/>
      <c r="CH38" s="591"/>
      <c r="CI38" s="591">
        <v>6</v>
      </c>
      <c r="CJ38" s="591"/>
      <c r="CK38" s="591"/>
      <c r="CL38" s="591"/>
      <c r="CM38" s="591"/>
      <c r="CN38" s="591"/>
      <c r="CO38" s="591"/>
      <c r="CP38" s="591"/>
      <c r="CQ38" s="591"/>
      <c r="CR38" s="591"/>
      <c r="CS38" s="591"/>
      <c r="CT38" s="591"/>
      <c r="CU38" s="591"/>
      <c r="CV38" s="591"/>
      <c r="CW38" s="591"/>
      <c r="CX38" s="591"/>
      <c r="CY38" s="591"/>
      <c r="CZ38" s="591"/>
      <c r="DA38" s="214"/>
      <c r="DB38" s="16"/>
    </row>
    <row r="39" spans="1:106" s="16" customFormat="1" ht="15" hidden="1" customHeight="1" x14ac:dyDescent="0.3">
      <c r="A39" s="656" t="s">
        <v>537</v>
      </c>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8"/>
      <c r="DA39" s="214"/>
    </row>
    <row r="40" spans="1:106" s="16" customFormat="1" ht="22.5" hidden="1" customHeight="1" x14ac:dyDescent="0.3">
      <c r="A40" s="630" t="s">
        <v>441</v>
      </c>
      <c r="B40" s="631"/>
      <c r="C40" s="631"/>
      <c r="D40" s="631"/>
      <c r="E40" s="631"/>
      <c r="F40" s="632"/>
      <c r="G40" s="475" t="s">
        <v>545</v>
      </c>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7"/>
      <c r="AY40" s="544"/>
      <c r="AZ40" s="545"/>
      <c r="BA40" s="545"/>
      <c r="BB40" s="545"/>
      <c r="BC40" s="545"/>
      <c r="BD40" s="545"/>
      <c r="BE40" s="545"/>
      <c r="BF40" s="545"/>
      <c r="BG40" s="545"/>
      <c r="BH40" s="545"/>
      <c r="BI40" s="545"/>
      <c r="BJ40" s="545"/>
      <c r="BK40" s="545"/>
      <c r="BL40" s="545"/>
      <c r="BM40" s="545"/>
      <c r="BN40" s="545"/>
      <c r="BO40" s="545"/>
      <c r="BP40" s="546"/>
      <c r="BQ40" s="627"/>
      <c r="BR40" s="628"/>
      <c r="BS40" s="628"/>
      <c r="BT40" s="628"/>
      <c r="BU40" s="628"/>
      <c r="BV40" s="628"/>
      <c r="BW40" s="628"/>
      <c r="BX40" s="628"/>
      <c r="BY40" s="628"/>
      <c r="BZ40" s="628"/>
      <c r="CA40" s="628"/>
      <c r="CB40" s="628"/>
      <c r="CC40" s="628"/>
      <c r="CD40" s="628"/>
      <c r="CE40" s="628"/>
      <c r="CF40" s="628"/>
      <c r="CG40" s="628"/>
      <c r="CH40" s="629"/>
      <c r="CI40" s="627"/>
      <c r="CJ40" s="628"/>
      <c r="CK40" s="628"/>
      <c r="CL40" s="628"/>
      <c r="CM40" s="628"/>
      <c r="CN40" s="628"/>
      <c r="CO40" s="628"/>
      <c r="CP40" s="628"/>
      <c r="CQ40" s="628"/>
      <c r="CR40" s="628"/>
      <c r="CS40" s="628"/>
      <c r="CT40" s="628"/>
      <c r="CU40" s="628"/>
      <c r="CV40" s="628"/>
      <c r="CW40" s="628"/>
      <c r="CX40" s="628"/>
      <c r="CY40" s="628"/>
      <c r="CZ40" s="629"/>
      <c r="DA40" s="214"/>
    </row>
    <row r="41" spans="1:106" s="16" customFormat="1" ht="28.5" hidden="1" customHeight="1" x14ac:dyDescent="0.3">
      <c r="A41" s="633" t="s">
        <v>292</v>
      </c>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5"/>
      <c r="AY41" s="544" t="s">
        <v>4</v>
      </c>
      <c r="AZ41" s="545"/>
      <c r="BA41" s="545"/>
      <c r="BB41" s="545"/>
      <c r="BC41" s="545"/>
      <c r="BD41" s="545"/>
      <c r="BE41" s="545"/>
      <c r="BF41" s="545"/>
      <c r="BG41" s="545"/>
      <c r="BH41" s="545"/>
      <c r="BI41" s="545"/>
      <c r="BJ41" s="545"/>
      <c r="BK41" s="545"/>
      <c r="BL41" s="545"/>
      <c r="BM41" s="545"/>
      <c r="BN41" s="545"/>
      <c r="BO41" s="545"/>
      <c r="BP41" s="546"/>
      <c r="BQ41" s="544" t="s">
        <v>4</v>
      </c>
      <c r="BR41" s="545"/>
      <c r="BS41" s="545"/>
      <c r="BT41" s="545"/>
      <c r="BU41" s="545"/>
      <c r="BV41" s="545"/>
      <c r="BW41" s="545"/>
      <c r="BX41" s="545"/>
      <c r="BY41" s="545"/>
      <c r="BZ41" s="545"/>
      <c r="CA41" s="545"/>
      <c r="CB41" s="545"/>
      <c r="CC41" s="545"/>
      <c r="CD41" s="545"/>
      <c r="CE41" s="545"/>
      <c r="CF41" s="545"/>
      <c r="CG41" s="545"/>
      <c r="CH41" s="546"/>
      <c r="CI41" s="636">
        <f>SUM(CI40)</f>
        <v>0</v>
      </c>
      <c r="CJ41" s="654"/>
      <c r="CK41" s="654"/>
      <c r="CL41" s="654"/>
      <c r="CM41" s="654"/>
      <c r="CN41" s="654"/>
      <c r="CO41" s="654"/>
      <c r="CP41" s="654"/>
      <c r="CQ41" s="654"/>
      <c r="CR41" s="654"/>
      <c r="CS41" s="654"/>
      <c r="CT41" s="654"/>
      <c r="CU41" s="654"/>
      <c r="CV41" s="654"/>
      <c r="CW41" s="654"/>
      <c r="CX41" s="654"/>
      <c r="CY41" s="654"/>
      <c r="CZ41" s="655"/>
      <c r="DA41" s="214"/>
    </row>
    <row r="42" spans="1:106" s="16" customFormat="1" ht="15" hidden="1" customHeight="1" x14ac:dyDescent="0.3">
      <c r="A42" s="656" t="s">
        <v>258</v>
      </c>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657"/>
      <c r="CZ42" s="658"/>
      <c r="DA42" s="214"/>
    </row>
    <row r="43" spans="1:106" s="16" customFormat="1" ht="23.25" hidden="1" customHeight="1" x14ac:dyDescent="0.3">
      <c r="A43" s="630"/>
      <c r="B43" s="631"/>
      <c r="C43" s="631"/>
      <c r="D43" s="631"/>
      <c r="E43" s="631"/>
      <c r="F43" s="632"/>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7"/>
      <c r="AY43" s="544"/>
      <c r="AZ43" s="545"/>
      <c r="BA43" s="545"/>
      <c r="BB43" s="545"/>
      <c r="BC43" s="545"/>
      <c r="BD43" s="545"/>
      <c r="BE43" s="545"/>
      <c r="BF43" s="545"/>
      <c r="BG43" s="545"/>
      <c r="BH43" s="545"/>
      <c r="BI43" s="545"/>
      <c r="BJ43" s="545"/>
      <c r="BK43" s="545"/>
      <c r="BL43" s="545"/>
      <c r="BM43" s="545"/>
      <c r="BN43" s="545"/>
      <c r="BO43" s="545"/>
      <c r="BP43" s="546"/>
      <c r="BQ43" s="544"/>
      <c r="BR43" s="545"/>
      <c r="BS43" s="545"/>
      <c r="BT43" s="545"/>
      <c r="BU43" s="545"/>
      <c r="BV43" s="545"/>
      <c r="BW43" s="545"/>
      <c r="BX43" s="545"/>
      <c r="BY43" s="545"/>
      <c r="BZ43" s="545"/>
      <c r="CA43" s="545"/>
      <c r="CB43" s="545"/>
      <c r="CC43" s="545"/>
      <c r="CD43" s="545"/>
      <c r="CE43" s="545"/>
      <c r="CF43" s="545"/>
      <c r="CG43" s="545"/>
      <c r="CH43" s="546"/>
      <c r="CI43" s="627"/>
      <c r="CJ43" s="628"/>
      <c r="CK43" s="628"/>
      <c r="CL43" s="628"/>
      <c r="CM43" s="628"/>
      <c r="CN43" s="628"/>
      <c r="CO43" s="628"/>
      <c r="CP43" s="628"/>
      <c r="CQ43" s="628"/>
      <c r="CR43" s="628"/>
      <c r="CS43" s="628"/>
      <c r="CT43" s="628"/>
      <c r="CU43" s="628"/>
      <c r="CV43" s="628"/>
      <c r="CW43" s="628"/>
      <c r="CX43" s="628"/>
      <c r="CY43" s="628"/>
      <c r="CZ43" s="629"/>
      <c r="DA43" s="214"/>
    </row>
    <row r="44" spans="1:106" s="16" customFormat="1" ht="24" hidden="1" customHeight="1" x14ac:dyDescent="0.3">
      <c r="A44" s="633" t="s">
        <v>292</v>
      </c>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5"/>
      <c r="AY44" s="544" t="s">
        <v>4</v>
      </c>
      <c r="AZ44" s="545"/>
      <c r="BA44" s="545"/>
      <c r="BB44" s="545"/>
      <c r="BC44" s="545"/>
      <c r="BD44" s="545"/>
      <c r="BE44" s="545"/>
      <c r="BF44" s="545"/>
      <c r="BG44" s="545"/>
      <c r="BH44" s="545"/>
      <c r="BI44" s="545"/>
      <c r="BJ44" s="545"/>
      <c r="BK44" s="545"/>
      <c r="BL44" s="545"/>
      <c r="BM44" s="545"/>
      <c r="BN44" s="545"/>
      <c r="BO44" s="545"/>
      <c r="BP44" s="546"/>
      <c r="BQ44" s="544" t="s">
        <v>4</v>
      </c>
      <c r="BR44" s="545"/>
      <c r="BS44" s="545"/>
      <c r="BT44" s="545"/>
      <c r="BU44" s="545"/>
      <c r="BV44" s="545"/>
      <c r="BW44" s="545"/>
      <c r="BX44" s="545"/>
      <c r="BY44" s="545"/>
      <c r="BZ44" s="545"/>
      <c r="CA44" s="545"/>
      <c r="CB44" s="545"/>
      <c r="CC44" s="545"/>
      <c r="CD44" s="545"/>
      <c r="CE44" s="545"/>
      <c r="CF44" s="545"/>
      <c r="CG44" s="545"/>
      <c r="CH44" s="546"/>
      <c r="CI44" s="627"/>
      <c r="CJ44" s="628"/>
      <c r="CK44" s="628"/>
      <c r="CL44" s="628"/>
      <c r="CM44" s="628"/>
      <c r="CN44" s="628"/>
      <c r="CO44" s="628"/>
      <c r="CP44" s="628"/>
      <c r="CQ44" s="628"/>
      <c r="CR44" s="628"/>
      <c r="CS44" s="628"/>
      <c r="CT44" s="628"/>
      <c r="CU44" s="628"/>
      <c r="CV44" s="628"/>
      <c r="CW44" s="628"/>
      <c r="CX44" s="628"/>
      <c r="CY44" s="628"/>
      <c r="CZ44" s="629"/>
      <c r="DA44" s="214"/>
    </row>
    <row r="45" spans="1:106" s="16" customFormat="1" ht="18.75" hidden="1" customHeight="1" x14ac:dyDescent="0.3">
      <c r="A45" s="630"/>
      <c r="B45" s="631"/>
      <c r="C45" s="631"/>
      <c r="D45" s="631"/>
      <c r="E45" s="631"/>
      <c r="F45" s="632"/>
      <c r="G45" s="630" t="s">
        <v>56</v>
      </c>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2"/>
      <c r="AY45" s="544" t="s">
        <v>4</v>
      </c>
      <c r="AZ45" s="545"/>
      <c r="BA45" s="545"/>
      <c r="BB45" s="545"/>
      <c r="BC45" s="545"/>
      <c r="BD45" s="545"/>
      <c r="BE45" s="545"/>
      <c r="BF45" s="545"/>
      <c r="BG45" s="545"/>
      <c r="BH45" s="545"/>
      <c r="BI45" s="545"/>
      <c r="BJ45" s="545"/>
      <c r="BK45" s="545"/>
      <c r="BL45" s="545"/>
      <c r="BM45" s="545"/>
      <c r="BN45" s="545"/>
      <c r="BO45" s="545"/>
      <c r="BP45" s="546"/>
      <c r="BQ45" s="544" t="s">
        <v>4</v>
      </c>
      <c r="BR45" s="545"/>
      <c r="BS45" s="545"/>
      <c r="BT45" s="545"/>
      <c r="BU45" s="545"/>
      <c r="BV45" s="545"/>
      <c r="BW45" s="545"/>
      <c r="BX45" s="545"/>
      <c r="BY45" s="545"/>
      <c r="BZ45" s="545"/>
      <c r="CA45" s="545"/>
      <c r="CB45" s="545"/>
      <c r="CC45" s="545"/>
      <c r="CD45" s="545"/>
      <c r="CE45" s="545"/>
      <c r="CF45" s="545"/>
      <c r="CG45" s="545"/>
      <c r="CH45" s="546"/>
      <c r="CI45" s="636">
        <f>CI41+CI44</f>
        <v>0</v>
      </c>
      <c r="CJ45" s="654"/>
      <c r="CK45" s="654"/>
      <c r="CL45" s="654"/>
      <c r="CM45" s="654"/>
      <c r="CN45" s="654"/>
      <c r="CO45" s="654"/>
      <c r="CP45" s="654"/>
      <c r="CQ45" s="654"/>
      <c r="CR45" s="654"/>
      <c r="CS45" s="654"/>
      <c r="CT45" s="654"/>
      <c r="CU45" s="654"/>
      <c r="CV45" s="654"/>
      <c r="CW45" s="654"/>
      <c r="CX45" s="654"/>
      <c r="CY45" s="654"/>
      <c r="CZ45" s="655"/>
      <c r="DA45" s="214"/>
    </row>
    <row r="46" spans="1:106" s="16" customFormat="1" ht="18.75" hidden="1" customHeight="1" x14ac:dyDescent="0.25">
      <c r="A46" s="594" t="s">
        <v>276</v>
      </c>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214"/>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214"/>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4"/>
    </row>
    <row r="49" spans="1:106" s="16" customFormat="1" ht="36" hidden="1" customHeight="1" x14ac:dyDescent="0.3">
      <c r="A49" s="597" t="s">
        <v>49</v>
      </c>
      <c r="B49" s="598"/>
      <c r="C49" s="598"/>
      <c r="D49" s="598"/>
      <c r="E49" s="598"/>
      <c r="F49" s="599"/>
      <c r="G49" s="597" t="s">
        <v>57</v>
      </c>
      <c r="H49" s="598"/>
      <c r="I49" s="598"/>
      <c r="J49" s="598"/>
      <c r="K49" s="598"/>
      <c r="L49" s="598"/>
      <c r="M49" s="598"/>
      <c r="N49" s="598"/>
      <c r="O49" s="598"/>
      <c r="P49" s="598"/>
      <c r="Q49" s="598"/>
      <c r="R49" s="598"/>
      <c r="S49" s="598"/>
      <c r="T49" s="598"/>
      <c r="U49" s="598"/>
      <c r="V49" s="598"/>
      <c r="W49" s="598"/>
      <c r="X49" s="598"/>
      <c r="Y49" s="598"/>
      <c r="Z49" s="598"/>
      <c r="AA49" s="598"/>
      <c r="AB49" s="598"/>
      <c r="AC49" s="599"/>
      <c r="AD49" s="597" t="s">
        <v>293</v>
      </c>
      <c r="AE49" s="598"/>
      <c r="AF49" s="598"/>
      <c r="AG49" s="598"/>
      <c r="AH49" s="598"/>
      <c r="AI49" s="598"/>
      <c r="AJ49" s="598"/>
      <c r="AK49" s="598"/>
      <c r="AL49" s="598"/>
      <c r="AM49" s="598"/>
      <c r="AN49" s="598"/>
      <c r="AO49" s="598"/>
      <c r="AP49" s="598"/>
      <c r="AQ49" s="598"/>
      <c r="AR49" s="598"/>
      <c r="AS49" s="598"/>
      <c r="AT49" s="598"/>
      <c r="AU49" s="598"/>
      <c r="AV49" s="598"/>
      <c r="AW49" s="598"/>
      <c r="AX49" s="599"/>
      <c r="AY49" s="597" t="s">
        <v>62</v>
      </c>
      <c r="AZ49" s="598"/>
      <c r="BA49" s="598"/>
      <c r="BB49" s="598"/>
      <c r="BC49" s="598"/>
      <c r="BD49" s="598"/>
      <c r="BE49" s="598"/>
      <c r="BF49" s="598"/>
      <c r="BG49" s="598"/>
      <c r="BH49" s="598"/>
      <c r="BI49" s="598"/>
      <c r="BJ49" s="598"/>
      <c r="BK49" s="598"/>
      <c r="BL49" s="598"/>
      <c r="BM49" s="598"/>
      <c r="BN49" s="598"/>
      <c r="BO49" s="598"/>
      <c r="BP49" s="599"/>
      <c r="BQ49" s="597" t="s">
        <v>63</v>
      </c>
      <c r="BR49" s="598"/>
      <c r="BS49" s="598"/>
      <c r="BT49" s="598"/>
      <c r="BU49" s="598"/>
      <c r="BV49" s="598"/>
      <c r="BW49" s="598"/>
      <c r="BX49" s="598"/>
      <c r="BY49" s="598"/>
      <c r="BZ49" s="598"/>
      <c r="CA49" s="598"/>
      <c r="CB49" s="598"/>
      <c r="CC49" s="598"/>
      <c r="CD49" s="598"/>
      <c r="CE49" s="598"/>
      <c r="CF49" s="598"/>
      <c r="CG49" s="598"/>
      <c r="CH49" s="599"/>
      <c r="CI49" s="597" t="s">
        <v>61</v>
      </c>
      <c r="CJ49" s="598"/>
      <c r="CK49" s="598"/>
      <c r="CL49" s="598"/>
      <c r="CM49" s="598"/>
      <c r="CN49" s="598"/>
      <c r="CO49" s="598"/>
      <c r="CP49" s="598"/>
      <c r="CQ49" s="598"/>
      <c r="CR49" s="598"/>
      <c r="CS49" s="598"/>
      <c r="CT49" s="598"/>
      <c r="CU49" s="598"/>
      <c r="CV49" s="598"/>
      <c r="CW49" s="598"/>
      <c r="CX49" s="598"/>
      <c r="CY49" s="598"/>
      <c r="CZ49" s="599"/>
      <c r="DA49" s="214"/>
    </row>
    <row r="50" spans="1:106" s="16" customFormat="1" ht="12" hidden="1" customHeight="1" x14ac:dyDescent="0.3">
      <c r="A50" s="591">
        <v>1</v>
      </c>
      <c r="B50" s="591"/>
      <c r="C50" s="591"/>
      <c r="D50" s="591"/>
      <c r="E50" s="591"/>
      <c r="F50" s="591"/>
      <c r="G50" s="591">
        <v>2</v>
      </c>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v>3</v>
      </c>
      <c r="AE50" s="591"/>
      <c r="AF50" s="591"/>
      <c r="AG50" s="591"/>
      <c r="AH50" s="591"/>
      <c r="AI50" s="591"/>
      <c r="AJ50" s="591"/>
      <c r="AK50" s="591"/>
      <c r="AL50" s="591"/>
      <c r="AM50" s="591"/>
      <c r="AN50" s="591"/>
      <c r="AO50" s="591"/>
      <c r="AP50" s="591"/>
      <c r="AQ50" s="591"/>
      <c r="AR50" s="591"/>
      <c r="AS50" s="591"/>
      <c r="AT50" s="591"/>
      <c r="AU50" s="591"/>
      <c r="AV50" s="591"/>
      <c r="AW50" s="591"/>
      <c r="AX50" s="591"/>
      <c r="AY50" s="591">
        <v>4</v>
      </c>
      <c r="AZ50" s="591"/>
      <c r="BA50" s="591"/>
      <c r="BB50" s="591"/>
      <c r="BC50" s="591"/>
      <c r="BD50" s="591"/>
      <c r="BE50" s="591"/>
      <c r="BF50" s="591"/>
      <c r="BG50" s="591"/>
      <c r="BH50" s="591"/>
      <c r="BI50" s="591"/>
      <c r="BJ50" s="591"/>
      <c r="BK50" s="591"/>
      <c r="BL50" s="591"/>
      <c r="BM50" s="591"/>
      <c r="BN50" s="591"/>
      <c r="BO50" s="591"/>
      <c r="BP50" s="591"/>
      <c r="BQ50" s="591">
        <v>5</v>
      </c>
      <c r="BR50" s="591"/>
      <c r="BS50" s="591"/>
      <c r="BT50" s="591"/>
      <c r="BU50" s="591"/>
      <c r="BV50" s="591"/>
      <c r="BW50" s="591"/>
      <c r="BX50" s="591"/>
      <c r="BY50" s="591"/>
      <c r="BZ50" s="591"/>
      <c r="CA50" s="591"/>
      <c r="CB50" s="591"/>
      <c r="CC50" s="591"/>
      <c r="CD50" s="591"/>
      <c r="CE50" s="591"/>
      <c r="CF50" s="591"/>
      <c r="CG50" s="591"/>
      <c r="CH50" s="591"/>
      <c r="CI50" s="591">
        <v>6</v>
      </c>
      <c r="CJ50" s="591"/>
      <c r="CK50" s="591"/>
      <c r="CL50" s="591"/>
      <c r="CM50" s="591"/>
      <c r="CN50" s="591"/>
      <c r="CO50" s="591"/>
      <c r="CP50" s="591"/>
      <c r="CQ50" s="591"/>
      <c r="CR50" s="591"/>
      <c r="CS50" s="591"/>
      <c r="CT50" s="591"/>
      <c r="CU50" s="591"/>
      <c r="CV50" s="591"/>
      <c r="CW50" s="591"/>
      <c r="CX50" s="591"/>
      <c r="CY50" s="591"/>
      <c r="CZ50" s="591"/>
      <c r="DA50" s="214"/>
    </row>
    <row r="51" spans="1:106" s="16" customFormat="1" ht="18.75" hidden="1" customHeight="1" x14ac:dyDescent="0.3">
      <c r="A51" s="656" t="s">
        <v>258</v>
      </c>
      <c r="B51" s="65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57"/>
      <c r="BQ51" s="657"/>
      <c r="BR51" s="657"/>
      <c r="BS51" s="657"/>
      <c r="BT51" s="657"/>
      <c r="BU51" s="657"/>
      <c r="BV51" s="657"/>
      <c r="BW51" s="657"/>
      <c r="BX51" s="657"/>
      <c r="BY51" s="657"/>
      <c r="BZ51" s="657"/>
      <c r="CA51" s="657"/>
      <c r="CB51" s="657"/>
      <c r="CC51" s="657"/>
      <c r="CD51" s="657"/>
      <c r="CE51" s="657"/>
      <c r="CF51" s="657"/>
      <c r="CG51" s="657"/>
      <c r="CH51" s="657"/>
      <c r="CI51" s="657"/>
      <c r="CJ51" s="657"/>
      <c r="CK51" s="657"/>
      <c r="CL51" s="657"/>
      <c r="CM51" s="657"/>
      <c r="CN51" s="657"/>
      <c r="CO51" s="657"/>
      <c r="CP51" s="657"/>
      <c r="CQ51" s="657"/>
      <c r="CR51" s="657"/>
      <c r="CS51" s="657"/>
      <c r="CT51" s="657"/>
      <c r="CU51" s="657"/>
      <c r="CV51" s="657"/>
      <c r="CW51" s="657"/>
      <c r="CX51" s="657"/>
      <c r="CY51" s="657"/>
      <c r="CZ51" s="658"/>
      <c r="DA51" s="214"/>
    </row>
    <row r="52" spans="1:106" s="16" customFormat="1" ht="18.75" hidden="1" customHeight="1" x14ac:dyDescent="0.3">
      <c r="A52" s="630"/>
      <c r="B52" s="631"/>
      <c r="C52" s="631"/>
      <c r="D52" s="631"/>
      <c r="E52" s="631"/>
      <c r="F52" s="632"/>
      <c r="G52" s="584"/>
      <c r="H52" s="585"/>
      <c r="I52" s="585"/>
      <c r="J52" s="585"/>
      <c r="K52" s="585"/>
      <c r="L52" s="585"/>
      <c r="M52" s="585"/>
      <c r="N52" s="585"/>
      <c r="O52" s="585"/>
      <c r="P52" s="585"/>
      <c r="Q52" s="585"/>
      <c r="R52" s="585"/>
      <c r="S52" s="585"/>
      <c r="T52" s="585"/>
      <c r="U52" s="585"/>
      <c r="V52" s="585"/>
      <c r="W52" s="585"/>
      <c r="X52" s="585"/>
      <c r="Y52" s="585"/>
      <c r="Z52" s="585"/>
      <c r="AA52" s="585"/>
      <c r="AB52" s="585"/>
      <c r="AC52" s="586"/>
      <c r="AD52" s="544"/>
      <c r="AE52" s="545"/>
      <c r="AF52" s="545"/>
      <c r="AG52" s="545"/>
      <c r="AH52" s="545"/>
      <c r="AI52" s="545"/>
      <c r="AJ52" s="545"/>
      <c r="AK52" s="545"/>
      <c r="AL52" s="545"/>
      <c r="AM52" s="545"/>
      <c r="AN52" s="545"/>
      <c r="AO52" s="545"/>
      <c r="AP52" s="545"/>
      <c r="AQ52" s="545"/>
      <c r="AR52" s="545"/>
      <c r="AS52" s="545"/>
      <c r="AT52" s="545"/>
      <c r="AU52" s="545"/>
      <c r="AV52" s="545"/>
      <c r="AW52" s="545"/>
      <c r="AX52" s="546"/>
      <c r="AY52" s="544"/>
      <c r="AZ52" s="545"/>
      <c r="BA52" s="545"/>
      <c r="BB52" s="545"/>
      <c r="BC52" s="545"/>
      <c r="BD52" s="545"/>
      <c r="BE52" s="545"/>
      <c r="BF52" s="545"/>
      <c r="BG52" s="545"/>
      <c r="BH52" s="545"/>
      <c r="BI52" s="545"/>
      <c r="BJ52" s="545"/>
      <c r="BK52" s="545"/>
      <c r="BL52" s="545"/>
      <c r="BM52" s="545"/>
      <c r="BN52" s="545"/>
      <c r="BO52" s="545"/>
      <c r="BP52" s="546"/>
      <c r="BQ52" s="544"/>
      <c r="BR52" s="545"/>
      <c r="BS52" s="545"/>
      <c r="BT52" s="545"/>
      <c r="BU52" s="545"/>
      <c r="BV52" s="545"/>
      <c r="BW52" s="545"/>
      <c r="BX52" s="545"/>
      <c r="BY52" s="545"/>
      <c r="BZ52" s="545"/>
      <c r="CA52" s="545"/>
      <c r="CB52" s="545"/>
      <c r="CC52" s="545"/>
      <c r="CD52" s="545"/>
      <c r="CE52" s="545"/>
      <c r="CF52" s="545"/>
      <c r="CG52" s="545"/>
      <c r="CH52" s="546"/>
      <c r="CI52" s="544"/>
      <c r="CJ52" s="545"/>
      <c r="CK52" s="545"/>
      <c r="CL52" s="545"/>
      <c r="CM52" s="545"/>
      <c r="CN52" s="545"/>
      <c r="CO52" s="545"/>
      <c r="CP52" s="545"/>
      <c r="CQ52" s="545"/>
      <c r="CR52" s="545"/>
      <c r="CS52" s="545"/>
      <c r="CT52" s="545"/>
      <c r="CU52" s="545"/>
      <c r="CV52" s="545"/>
      <c r="CW52" s="545"/>
      <c r="CX52" s="545"/>
      <c r="CY52" s="545"/>
      <c r="CZ52" s="546"/>
      <c r="DA52" s="214"/>
    </row>
    <row r="53" spans="1:106" s="16" customFormat="1" ht="24" hidden="1" customHeight="1" x14ac:dyDescent="0.3">
      <c r="A53" s="633" t="s">
        <v>292</v>
      </c>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5"/>
      <c r="AD53" s="544" t="s">
        <v>4</v>
      </c>
      <c r="AE53" s="545"/>
      <c r="AF53" s="545"/>
      <c r="AG53" s="545"/>
      <c r="AH53" s="545"/>
      <c r="AI53" s="545"/>
      <c r="AJ53" s="545"/>
      <c r="AK53" s="545"/>
      <c r="AL53" s="545"/>
      <c r="AM53" s="545"/>
      <c r="AN53" s="545"/>
      <c r="AO53" s="545"/>
      <c r="AP53" s="545"/>
      <c r="AQ53" s="545"/>
      <c r="AR53" s="545"/>
      <c r="AS53" s="545"/>
      <c r="AT53" s="545"/>
      <c r="AU53" s="545"/>
      <c r="AV53" s="545"/>
      <c r="AW53" s="545"/>
      <c r="AX53" s="546"/>
      <c r="AY53" s="544" t="s">
        <v>4</v>
      </c>
      <c r="AZ53" s="545"/>
      <c r="BA53" s="545"/>
      <c r="BB53" s="545"/>
      <c r="BC53" s="545"/>
      <c r="BD53" s="545"/>
      <c r="BE53" s="545"/>
      <c r="BF53" s="545"/>
      <c r="BG53" s="545"/>
      <c r="BH53" s="545"/>
      <c r="BI53" s="545"/>
      <c r="BJ53" s="545"/>
      <c r="BK53" s="545"/>
      <c r="BL53" s="545"/>
      <c r="BM53" s="545"/>
      <c r="BN53" s="545"/>
      <c r="BO53" s="545"/>
      <c r="BP53" s="546"/>
      <c r="BQ53" s="544" t="s">
        <v>4</v>
      </c>
      <c r="BR53" s="545"/>
      <c r="BS53" s="545"/>
      <c r="BT53" s="545"/>
      <c r="BU53" s="545"/>
      <c r="BV53" s="545"/>
      <c r="BW53" s="545"/>
      <c r="BX53" s="545"/>
      <c r="BY53" s="545"/>
      <c r="BZ53" s="545"/>
      <c r="CA53" s="545"/>
      <c r="CB53" s="545"/>
      <c r="CC53" s="545"/>
      <c r="CD53" s="545"/>
      <c r="CE53" s="545"/>
      <c r="CF53" s="545"/>
      <c r="CG53" s="545"/>
      <c r="CH53" s="546"/>
      <c r="CI53" s="544"/>
      <c r="CJ53" s="545"/>
      <c r="CK53" s="545"/>
      <c r="CL53" s="545"/>
      <c r="CM53" s="545"/>
      <c r="CN53" s="545"/>
      <c r="CO53" s="545"/>
      <c r="CP53" s="545"/>
      <c r="CQ53" s="545"/>
      <c r="CR53" s="545"/>
      <c r="CS53" s="545"/>
      <c r="CT53" s="545"/>
      <c r="CU53" s="545"/>
      <c r="CV53" s="545"/>
      <c r="CW53" s="545"/>
      <c r="CX53" s="545"/>
      <c r="CY53" s="545"/>
      <c r="CZ53" s="546"/>
      <c r="DA53" s="214"/>
    </row>
    <row r="54" spans="1:106" s="16" customFormat="1" ht="18.75" hidden="1" customHeight="1" x14ac:dyDescent="0.3">
      <c r="A54" s="656" t="s">
        <v>258</v>
      </c>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57"/>
      <c r="BQ54" s="657"/>
      <c r="BR54" s="657"/>
      <c r="BS54" s="657"/>
      <c r="BT54" s="657"/>
      <c r="BU54" s="657"/>
      <c r="BV54" s="657"/>
      <c r="BW54" s="657"/>
      <c r="BX54" s="657"/>
      <c r="BY54" s="657"/>
      <c r="BZ54" s="657"/>
      <c r="CA54" s="657"/>
      <c r="CB54" s="657"/>
      <c r="CC54" s="657"/>
      <c r="CD54" s="657"/>
      <c r="CE54" s="657"/>
      <c r="CF54" s="657"/>
      <c r="CG54" s="657"/>
      <c r="CH54" s="657"/>
      <c r="CI54" s="657"/>
      <c r="CJ54" s="657"/>
      <c r="CK54" s="657"/>
      <c r="CL54" s="657"/>
      <c r="CM54" s="657"/>
      <c r="CN54" s="657"/>
      <c r="CO54" s="657"/>
      <c r="CP54" s="657"/>
      <c r="CQ54" s="657"/>
      <c r="CR54" s="657"/>
      <c r="CS54" s="657"/>
      <c r="CT54" s="657"/>
      <c r="CU54" s="657"/>
      <c r="CV54" s="657"/>
      <c r="CW54" s="657"/>
      <c r="CX54" s="657"/>
      <c r="CY54" s="657"/>
      <c r="CZ54" s="658"/>
      <c r="DA54" s="214"/>
    </row>
    <row r="55" spans="1:106" s="16" customFormat="1" ht="18.75" hidden="1" customHeight="1" x14ac:dyDescent="0.3">
      <c r="A55" s="630"/>
      <c r="B55" s="631"/>
      <c r="C55" s="631"/>
      <c r="D55" s="631"/>
      <c r="E55" s="631"/>
      <c r="F55" s="632"/>
      <c r="G55" s="584"/>
      <c r="H55" s="585"/>
      <c r="I55" s="585"/>
      <c r="J55" s="585"/>
      <c r="K55" s="585"/>
      <c r="L55" s="585"/>
      <c r="M55" s="585"/>
      <c r="N55" s="585"/>
      <c r="O55" s="585"/>
      <c r="P55" s="585"/>
      <c r="Q55" s="585"/>
      <c r="R55" s="585"/>
      <c r="S55" s="585"/>
      <c r="T55" s="585"/>
      <c r="U55" s="585"/>
      <c r="V55" s="585"/>
      <c r="W55" s="585"/>
      <c r="X55" s="585"/>
      <c r="Y55" s="585"/>
      <c r="Z55" s="585"/>
      <c r="AA55" s="585"/>
      <c r="AB55" s="585"/>
      <c r="AC55" s="586"/>
      <c r="AD55" s="544"/>
      <c r="AE55" s="545"/>
      <c r="AF55" s="545"/>
      <c r="AG55" s="545"/>
      <c r="AH55" s="545"/>
      <c r="AI55" s="545"/>
      <c r="AJ55" s="545"/>
      <c r="AK55" s="545"/>
      <c r="AL55" s="545"/>
      <c r="AM55" s="545"/>
      <c r="AN55" s="545"/>
      <c r="AO55" s="545"/>
      <c r="AP55" s="545"/>
      <c r="AQ55" s="545"/>
      <c r="AR55" s="545"/>
      <c r="AS55" s="545"/>
      <c r="AT55" s="545"/>
      <c r="AU55" s="545"/>
      <c r="AV55" s="545"/>
      <c r="AW55" s="545"/>
      <c r="AX55" s="546"/>
      <c r="AY55" s="544"/>
      <c r="AZ55" s="545"/>
      <c r="BA55" s="545"/>
      <c r="BB55" s="545"/>
      <c r="BC55" s="545"/>
      <c r="BD55" s="545"/>
      <c r="BE55" s="545"/>
      <c r="BF55" s="545"/>
      <c r="BG55" s="545"/>
      <c r="BH55" s="545"/>
      <c r="BI55" s="545"/>
      <c r="BJ55" s="545"/>
      <c r="BK55" s="545"/>
      <c r="BL55" s="545"/>
      <c r="BM55" s="545"/>
      <c r="BN55" s="545"/>
      <c r="BO55" s="545"/>
      <c r="BP55" s="546"/>
      <c r="BQ55" s="544"/>
      <c r="BR55" s="545"/>
      <c r="BS55" s="545"/>
      <c r="BT55" s="545"/>
      <c r="BU55" s="545"/>
      <c r="BV55" s="545"/>
      <c r="BW55" s="545"/>
      <c r="BX55" s="545"/>
      <c r="BY55" s="545"/>
      <c r="BZ55" s="545"/>
      <c r="CA55" s="545"/>
      <c r="CB55" s="545"/>
      <c r="CC55" s="545"/>
      <c r="CD55" s="545"/>
      <c r="CE55" s="545"/>
      <c r="CF55" s="545"/>
      <c r="CG55" s="545"/>
      <c r="CH55" s="546"/>
      <c r="CI55" s="544"/>
      <c r="CJ55" s="545"/>
      <c r="CK55" s="545"/>
      <c r="CL55" s="545"/>
      <c r="CM55" s="545"/>
      <c r="CN55" s="545"/>
      <c r="CO55" s="545"/>
      <c r="CP55" s="545"/>
      <c r="CQ55" s="545"/>
      <c r="CR55" s="545"/>
      <c r="CS55" s="545"/>
      <c r="CT55" s="545"/>
      <c r="CU55" s="545"/>
      <c r="CV55" s="545"/>
      <c r="CW55" s="545"/>
      <c r="CX55" s="545"/>
      <c r="CY55" s="545"/>
      <c r="CZ55" s="546"/>
      <c r="DA55" s="214"/>
    </row>
    <row r="56" spans="1:106" s="16" customFormat="1" ht="23.4" hidden="1" customHeight="1" x14ac:dyDescent="0.3">
      <c r="A56" s="633" t="s">
        <v>292</v>
      </c>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5"/>
      <c r="AD56" s="544" t="s">
        <v>4</v>
      </c>
      <c r="AE56" s="545"/>
      <c r="AF56" s="545"/>
      <c r="AG56" s="545"/>
      <c r="AH56" s="545"/>
      <c r="AI56" s="545"/>
      <c r="AJ56" s="545"/>
      <c r="AK56" s="545"/>
      <c r="AL56" s="545"/>
      <c r="AM56" s="545"/>
      <c r="AN56" s="545"/>
      <c r="AO56" s="545"/>
      <c r="AP56" s="545"/>
      <c r="AQ56" s="545"/>
      <c r="AR56" s="545"/>
      <c r="AS56" s="545"/>
      <c r="AT56" s="545"/>
      <c r="AU56" s="545"/>
      <c r="AV56" s="545"/>
      <c r="AW56" s="545"/>
      <c r="AX56" s="546"/>
      <c r="AY56" s="544" t="s">
        <v>4</v>
      </c>
      <c r="AZ56" s="545"/>
      <c r="BA56" s="545"/>
      <c r="BB56" s="545"/>
      <c r="BC56" s="545"/>
      <c r="BD56" s="545"/>
      <c r="BE56" s="545"/>
      <c r="BF56" s="545"/>
      <c r="BG56" s="545"/>
      <c r="BH56" s="545"/>
      <c r="BI56" s="545"/>
      <c r="BJ56" s="545"/>
      <c r="BK56" s="545"/>
      <c r="BL56" s="545"/>
      <c r="BM56" s="545"/>
      <c r="BN56" s="545"/>
      <c r="BO56" s="545"/>
      <c r="BP56" s="546"/>
      <c r="BQ56" s="544" t="s">
        <v>4</v>
      </c>
      <c r="BR56" s="545"/>
      <c r="BS56" s="545"/>
      <c r="BT56" s="545"/>
      <c r="BU56" s="545"/>
      <c r="BV56" s="545"/>
      <c r="BW56" s="545"/>
      <c r="BX56" s="545"/>
      <c r="BY56" s="545"/>
      <c r="BZ56" s="545"/>
      <c r="CA56" s="545"/>
      <c r="CB56" s="545"/>
      <c r="CC56" s="545"/>
      <c r="CD56" s="545"/>
      <c r="CE56" s="545"/>
      <c r="CF56" s="545"/>
      <c r="CG56" s="545"/>
      <c r="CH56" s="546"/>
      <c r="CI56" s="544"/>
      <c r="CJ56" s="545"/>
      <c r="CK56" s="545"/>
      <c r="CL56" s="545"/>
      <c r="CM56" s="545"/>
      <c r="CN56" s="545"/>
      <c r="CO56" s="545"/>
      <c r="CP56" s="545"/>
      <c r="CQ56" s="545"/>
      <c r="CR56" s="545"/>
      <c r="CS56" s="545"/>
      <c r="CT56" s="545"/>
      <c r="CU56" s="545"/>
      <c r="CV56" s="545"/>
      <c r="CW56" s="545"/>
      <c r="CX56" s="545"/>
      <c r="CY56" s="545"/>
      <c r="CZ56" s="546"/>
      <c r="DA56" s="214"/>
    </row>
    <row r="57" spans="1:106" s="16" customFormat="1" ht="18.75" hidden="1" customHeight="1" x14ac:dyDescent="0.3">
      <c r="A57" s="630"/>
      <c r="B57" s="631"/>
      <c r="C57" s="631"/>
      <c r="D57" s="631"/>
      <c r="E57" s="631"/>
      <c r="F57" s="632"/>
      <c r="G57" s="553" t="s">
        <v>56</v>
      </c>
      <c r="H57" s="554"/>
      <c r="I57" s="554"/>
      <c r="J57" s="554"/>
      <c r="K57" s="554"/>
      <c r="L57" s="554"/>
      <c r="M57" s="554"/>
      <c r="N57" s="554"/>
      <c r="O57" s="554"/>
      <c r="P57" s="554"/>
      <c r="Q57" s="554"/>
      <c r="R57" s="554"/>
      <c r="S57" s="554"/>
      <c r="T57" s="554"/>
      <c r="U57" s="554"/>
      <c r="V57" s="554"/>
      <c r="W57" s="554"/>
      <c r="X57" s="554"/>
      <c r="Y57" s="554"/>
      <c r="Z57" s="554"/>
      <c r="AA57" s="554"/>
      <c r="AB57" s="554"/>
      <c r="AC57" s="555"/>
      <c r="AD57" s="544" t="s">
        <v>4</v>
      </c>
      <c r="AE57" s="545"/>
      <c r="AF57" s="545"/>
      <c r="AG57" s="545"/>
      <c r="AH57" s="545"/>
      <c r="AI57" s="545"/>
      <c r="AJ57" s="545"/>
      <c r="AK57" s="545"/>
      <c r="AL57" s="545"/>
      <c r="AM57" s="545"/>
      <c r="AN57" s="545"/>
      <c r="AO57" s="545"/>
      <c r="AP57" s="545"/>
      <c r="AQ57" s="545"/>
      <c r="AR57" s="545"/>
      <c r="AS57" s="545"/>
      <c r="AT57" s="545"/>
      <c r="AU57" s="545"/>
      <c r="AV57" s="545"/>
      <c r="AW57" s="545"/>
      <c r="AX57" s="546"/>
      <c r="AY57" s="544" t="s">
        <v>4</v>
      </c>
      <c r="AZ57" s="545"/>
      <c r="BA57" s="545"/>
      <c r="BB57" s="545"/>
      <c r="BC57" s="545"/>
      <c r="BD57" s="545"/>
      <c r="BE57" s="545"/>
      <c r="BF57" s="545"/>
      <c r="BG57" s="545"/>
      <c r="BH57" s="545"/>
      <c r="BI57" s="545"/>
      <c r="BJ57" s="545"/>
      <c r="BK57" s="545"/>
      <c r="BL57" s="545"/>
      <c r="BM57" s="545"/>
      <c r="BN57" s="545"/>
      <c r="BO57" s="545"/>
      <c r="BP57" s="546"/>
      <c r="BQ57" s="544" t="s">
        <v>4</v>
      </c>
      <c r="BR57" s="545"/>
      <c r="BS57" s="545"/>
      <c r="BT57" s="545"/>
      <c r="BU57" s="545"/>
      <c r="BV57" s="545"/>
      <c r="BW57" s="545"/>
      <c r="BX57" s="545"/>
      <c r="BY57" s="545"/>
      <c r="BZ57" s="545"/>
      <c r="CA57" s="545"/>
      <c r="CB57" s="545"/>
      <c r="CC57" s="545"/>
      <c r="CD57" s="545"/>
      <c r="CE57" s="545"/>
      <c r="CF57" s="545"/>
      <c r="CG57" s="545"/>
      <c r="CH57" s="546"/>
      <c r="CI57" s="544"/>
      <c r="CJ57" s="545"/>
      <c r="CK57" s="545"/>
      <c r="CL57" s="545"/>
      <c r="CM57" s="545"/>
      <c r="CN57" s="545"/>
      <c r="CO57" s="545"/>
      <c r="CP57" s="545"/>
      <c r="CQ57" s="545"/>
      <c r="CR57" s="545"/>
      <c r="CS57" s="545"/>
      <c r="CT57" s="545"/>
      <c r="CU57" s="545"/>
      <c r="CV57" s="545"/>
      <c r="CW57" s="545"/>
      <c r="CX57" s="545"/>
      <c r="CY57" s="545"/>
      <c r="CZ57" s="546"/>
      <c r="DA57" s="214"/>
    </row>
    <row r="58" spans="1:106" s="16" customFormat="1" ht="13.95" hidden="1" customHeight="1" x14ac:dyDescent="0.3">
      <c r="A58" s="224"/>
      <c r="B58" s="224"/>
      <c r="C58" s="224"/>
      <c r="D58" s="224"/>
      <c r="E58" s="224"/>
      <c r="F58" s="224"/>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14"/>
    </row>
    <row r="59" spans="1:106" s="16" customFormat="1" ht="22.95" hidden="1" customHeight="1" x14ac:dyDescent="0.3">
      <c r="A59" s="731" t="s">
        <v>305</v>
      </c>
      <c r="B59" s="731"/>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214"/>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95" t="s">
        <v>536</v>
      </c>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595"/>
      <c r="BM60" s="595"/>
      <c r="BN60" s="595"/>
      <c r="BO60" s="595"/>
      <c r="BP60" s="595"/>
      <c r="BQ60" s="595"/>
      <c r="BR60" s="595"/>
      <c r="BS60" s="595"/>
      <c r="BT60" s="595"/>
      <c r="BU60" s="595"/>
      <c r="BV60" s="595"/>
      <c r="BW60" s="595"/>
      <c r="BX60" s="595"/>
      <c r="BY60" s="595"/>
      <c r="BZ60" s="595"/>
      <c r="CA60" s="595"/>
      <c r="CB60" s="595"/>
      <c r="CC60" s="595"/>
      <c r="CD60" s="595"/>
      <c r="CE60" s="595"/>
      <c r="CF60" s="595"/>
      <c r="CG60" s="595"/>
      <c r="CH60" s="595"/>
      <c r="CI60" s="595"/>
      <c r="CJ60" s="595"/>
      <c r="CK60" s="595"/>
      <c r="CL60" s="595"/>
      <c r="CM60" s="595"/>
      <c r="CN60" s="595"/>
      <c r="CO60" s="595"/>
      <c r="CP60" s="595"/>
      <c r="CQ60" s="595"/>
      <c r="CR60" s="595"/>
      <c r="CS60" s="595"/>
      <c r="CT60" s="595"/>
      <c r="CU60" s="595"/>
      <c r="CV60" s="595"/>
      <c r="CW60" s="595"/>
      <c r="CX60" s="595"/>
      <c r="CY60" s="595"/>
      <c r="CZ60" s="595"/>
      <c r="DA60" s="227" t="s">
        <v>914</v>
      </c>
      <c r="DB60" s="228"/>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7"/>
      <c r="DB61" s="228"/>
    </row>
    <row r="62" spans="1:106" s="16" customFormat="1" ht="42" hidden="1" customHeight="1" x14ac:dyDescent="0.3">
      <c r="A62" s="475" t="s">
        <v>49</v>
      </c>
      <c r="B62" s="476"/>
      <c r="C62" s="476"/>
      <c r="D62" s="476"/>
      <c r="E62" s="476"/>
      <c r="F62" s="477"/>
      <c r="G62" s="475" t="s">
        <v>57</v>
      </c>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7"/>
      <c r="AY62" s="475" t="s">
        <v>59</v>
      </c>
      <c r="AZ62" s="476"/>
      <c r="BA62" s="476"/>
      <c r="BB62" s="476"/>
      <c r="BC62" s="476"/>
      <c r="BD62" s="476"/>
      <c r="BE62" s="476"/>
      <c r="BF62" s="476"/>
      <c r="BG62" s="476"/>
      <c r="BH62" s="476"/>
      <c r="BI62" s="476"/>
      <c r="BJ62" s="476"/>
      <c r="BK62" s="476"/>
      <c r="BL62" s="476"/>
      <c r="BM62" s="476"/>
      <c r="BN62" s="476"/>
      <c r="BO62" s="476"/>
      <c r="BP62" s="477"/>
      <c r="BQ62" s="475" t="s">
        <v>306</v>
      </c>
      <c r="BR62" s="476"/>
      <c r="BS62" s="476"/>
      <c r="BT62" s="476"/>
      <c r="BU62" s="476"/>
      <c r="BV62" s="476"/>
      <c r="BW62" s="476"/>
      <c r="BX62" s="476"/>
      <c r="BY62" s="476"/>
      <c r="BZ62" s="476"/>
      <c r="CA62" s="476"/>
      <c r="CB62" s="476"/>
      <c r="CC62" s="476"/>
      <c r="CD62" s="476"/>
      <c r="CE62" s="476"/>
      <c r="CF62" s="476"/>
      <c r="CG62" s="476"/>
      <c r="CH62" s="477"/>
      <c r="CI62" s="475" t="s">
        <v>61</v>
      </c>
      <c r="CJ62" s="476"/>
      <c r="CK62" s="476"/>
      <c r="CL62" s="476"/>
      <c r="CM62" s="476"/>
      <c r="CN62" s="476"/>
      <c r="CO62" s="476"/>
      <c r="CP62" s="476"/>
      <c r="CQ62" s="476"/>
      <c r="CR62" s="476"/>
      <c r="CS62" s="476"/>
      <c r="CT62" s="476"/>
      <c r="CU62" s="476"/>
      <c r="CV62" s="476"/>
      <c r="CW62" s="476"/>
      <c r="CX62" s="476"/>
      <c r="CY62" s="476"/>
      <c r="CZ62" s="476"/>
      <c r="DA62" s="217"/>
      <c r="DB62" s="228"/>
    </row>
    <row r="63" spans="1:106" s="16" customFormat="1" ht="15" hidden="1" customHeight="1" x14ac:dyDescent="0.3">
      <c r="A63" s="661">
        <v>1</v>
      </c>
      <c r="B63" s="662"/>
      <c r="C63" s="662"/>
      <c r="D63" s="662"/>
      <c r="E63" s="662"/>
      <c r="F63" s="663"/>
      <c r="G63" s="661">
        <v>2</v>
      </c>
      <c r="H63" s="662"/>
      <c r="I63" s="662"/>
      <c r="J63" s="662"/>
      <c r="K63" s="662"/>
      <c r="L63" s="662"/>
      <c r="M63" s="662"/>
      <c r="N63" s="662"/>
      <c r="O63" s="662"/>
      <c r="P63" s="662"/>
      <c r="Q63" s="662"/>
      <c r="R63" s="662"/>
      <c r="S63" s="662"/>
      <c r="T63" s="662"/>
      <c r="U63" s="662"/>
      <c r="V63" s="662"/>
      <c r="W63" s="662"/>
      <c r="X63" s="662"/>
      <c r="Y63" s="662"/>
      <c r="Z63" s="662"/>
      <c r="AA63" s="662"/>
      <c r="AB63" s="662"/>
      <c r="AC63" s="663"/>
      <c r="AD63" s="661">
        <v>3</v>
      </c>
      <c r="AE63" s="662"/>
      <c r="AF63" s="662"/>
      <c r="AG63" s="662"/>
      <c r="AH63" s="662"/>
      <c r="AI63" s="662"/>
      <c r="AJ63" s="662"/>
      <c r="AK63" s="662"/>
      <c r="AL63" s="662"/>
      <c r="AM63" s="662"/>
      <c r="AN63" s="662"/>
      <c r="AO63" s="662"/>
      <c r="AP63" s="662"/>
      <c r="AQ63" s="662"/>
      <c r="AR63" s="662"/>
      <c r="AS63" s="662"/>
      <c r="AT63" s="662"/>
      <c r="AU63" s="662"/>
      <c r="AV63" s="662"/>
      <c r="AW63" s="662"/>
      <c r="AX63" s="663"/>
      <c r="AY63" s="661">
        <v>4</v>
      </c>
      <c r="AZ63" s="662"/>
      <c r="BA63" s="662"/>
      <c r="BB63" s="662"/>
      <c r="BC63" s="662"/>
      <c r="BD63" s="662"/>
      <c r="BE63" s="662"/>
      <c r="BF63" s="662"/>
      <c r="BG63" s="662"/>
      <c r="BH63" s="662"/>
      <c r="BI63" s="662"/>
      <c r="BJ63" s="662"/>
      <c r="BK63" s="662"/>
      <c r="BL63" s="662"/>
      <c r="BM63" s="662"/>
      <c r="BN63" s="662"/>
      <c r="BO63" s="662"/>
      <c r="BP63" s="663"/>
      <c r="BQ63" s="661">
        <v>5</v>
      </c>
      <c r="BR63" s="662"/>
      <c r="BS63" s="662"/>
      <c r="BT63" s="662"/>
      <c r="BU63" s="662"/>
      <c r="BV63" s="662"/>
      <c r="BW63" s="662"/>
      <c r="BX63" s="662"/>
      <c r="BY63" s="662"/>
      <c r="BZ63" s="662"/>
      <c r="CA63" s="662"/>
      <c r="CB63" s="662"/>
      <c r="CC63" s="662"/>
      <c r="CD63" s="662"/>
      <c r="CE63" s="662"/>
      <c r="CF63" s="662"/>
      <c r="CG63" s="662"/>
      <c r="CH63" s="663"/>
      <c r="CI63" s="661">
        <v>6</v>
      </c>
      <c r="CJ63" s="662"/>
      <c r="CK63" s="662"/>
      <c r="CL63" s="662"/>
      <c r="CM63" s="662"/>
      <c r="CN63" s="662"/>
      <c r="CO63" s="662"/>
      <c r="CP63" s="662"/>
      <c r="CQ63" s="662"/>
      <c r="CR63" s="662"/>
      <c r="CS63" s="662"/>
      <c r="CT63" s="662"/>
      <c r="CU63" s="662"/>
      <c r="CV63" s="662"/>
      <c r="CW63" s="662"/>
      <c r="CX63" s="662"/>
      <c r="CY63" s="662"/>
      <c r="CZ63" s="663"/>
      <c r="DA63" s="217"/>
      <c r="DB63" s="228"/>
    </row>
    <row r="64" spans="1:106" s="16" customFormat="1" ht="15" hidden="1" customHeight="1" x14ac:dyDescent="0.3">
      <c r="A64" s="656" t="s">
        <v>537</v>
      </c>
      <c r="B64" s="657"/>
      <c r="C64" s="657"/>
      <c r="D64" s="657"/>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7"/>
      <c r="BT64" s="657"/>
      <c r="BU64" s="657"/>
      <c r="BV64" s="657"/>
      <c r="BW64" s="657"/>
      <c r="BX64" s="657"/>
      <c r="BY64" s="657"/>
      <c r="BZ64" s="657"/>
      <c r="CA64" s="657"/>
      <c r="CB64" s="657"/>
      <c r="CC64" s="657"/>
      <c r="CD64" s="657"/>
      <c r="CE64" s="657"/>
      <c r="CF64" s="657"/>
      <c r="CG64" s="657"/>
      <c r="CH64" s="657"/>
      <c r="CI64" s="657"/>
      <c r="CJ64" s="657"/>
      <c r="CK64" s="657"/>
      <c r="CL64" s="657"/>
      <c r="CM64" s="657"/>
      <c r="CN64" s="657"/>
      <c r="CO64" s="657"/>
      <c r="CP64" s="657"/>
      <c r="CQ64" s="657"/>
      <c r="CR64" s="657"/>
      <c r="CS64" s="657"/>
      <c r="CT64" s="657"/>
      <c r="CU64" s="657"/>
      <c r="CV64" s="657"/>
      <c r="CW64" s="657"/>
      <c r="CX64" s="657"/>
      <c r="CY64" s="657"/>
      <c r="CZ64" s="657"/>
      <c r="DA64" s="217"/>
      <c r="DB64" s="228"/>
    </row>
    <row r="65" spans="1:106" s="16" customFormat="1" ht="21" hidden="1" customHeight="1" x14ac:dyDescent="0.3">
      <c r="A65" s="630" t="s">
        <v>441</v>
      </c>
      <c r="B65" s="631"/>
      <c r="C65" s="631"/>
      <c r="D65" s="631"/>
      <c r="E65" s="631"/>
      <c r="F65" s="632"/>
      <c r="G65" s="584" t="s">
        <v>546</v>
      </c>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5"/>
      <c r="AW65" s="585"/>
      <c r="AX65" s="586"/>
      <c r="AY65" s="544"/>
      <c r="AZ65" s="545"/>
      <c r="BA65" s="545"/>
      <c r="BB65" s="545"/>
      <c r="BC65" s="545"/>
      <c r="BD65" s="545"/>
      <c r="BE65" s="545"/>
      <c r="BF65" s="545"/>
      <c r="BG65" s="545"/>
      <c r="BH65" s="545"/>
      <c r="BI65" s="545"/>
      <c r="BJ65" s="545"/>
      <c r="BK65" s="545"/>
      <c r="BL65" s="545"/>
      <c r="BM65" s="545"/>
      <c r="BN65" s="545"/>
      <c r="BO65" s="545"/>
      <c r="BP65" s="546"/>
      <c r="BQ65" s="627"/>
      <c r="BR65" s="628"/>
      <c r="BS65" s="628"/>
      <c r="BT65" s="628"/>
      <c r="BU65" s="628"/>
      <c r="BV65" s="628"/>
      <c r="BW65" s="628"/>
      <c r="BX65" s="628"/>
      <c r="BY65" s="628"/>
      <c r="BZ65" s="628"/>
      <c r="CA65" s="628"/>
      <c r="CB65" s="628"/>
      <c r="CC65" s="628"/>
      <c r="CD65" s="628"/>
      <c r="CE65" s="628"/>
      <c r="CF65" s="628"/>
      <c r="CG65" s="628"/>
      <c r="CH65" s="629"/>
      <c r="CI65" s="627">
        <f>BQ65*AY65</f>
        <v>0</v>
      </c>
      <c r="CJ65" s="628"/>
      <c r="CK65" s="628"/>
      <c r="CL65" s="628"/>
      <c r="CM65" s="628"/>
      <c r="CN65" s="628"/>
      <c r="CO65" s="628"/>
      <c r="CP65" s="628"/>
      <c r="CQ65" s="628"/>
      <c r="CR65" s="628"/>
      <c r="CS65" s="628"/>
      <c r="CT65" s="628"/>
      <c r="CU65" s="628"/>
      <c r="CV65" s="628"/>
      <c r="CW65" s="628"/>
      <c r="CX65" s="628"/>
      <c r="CY65" s="628"/>
      <c r="CZ65" s="629"/>
      <c r="DA65" s="217"/>
      <c r="DB65" s="228"/>
    </row>
    <row r="66" spans="1:106" s="16" customFormat="1" ht="24.6" hidden="1" customHeight="1" x14ac:dyDescent="0.3">
      <c r="A66" s="630" t="s">
        <v>444</v>
      </c>
      <c r="B66" s="631"/>
      <c r="C66" s="631"/>
      <c r="D66" s="631"/>
      <c r="E66" s="631"/>
      <c r="F66" s="632"/>
      <c r="G66" s="584" t="s">
        <v>869</v>
      </c>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6"/>
      <c r="AY66" s="544"/>
      <c r="AZ66" s="545"/>
      <c r="BA66" s="545"/>
      <c r="BB66" s="545"/>
      <c r="BC66" s="545"/>
      <c r="BD66" s="545"/>
      <c r="BE66" s="545"/>
      <c r="BF66" s="545"/>
      <c r="BG66" s="545"/>
      <c r="BH66" s="545"/>
      <c r="BI66" s="545"/>
      <c r="BJ66" s="545"/>
      <c r="BK66" s="545"/>
      <c r="BL66" s="545"/>
      <c r="BM66" s="545"/>
      <c r="BN66" s="545"/>
      <c r="BO66" s="545"/>
      <c r="BP66" s="546"/>
      <c r="BQ66" s="627"/>
      <c r="BR66" s="628"/>
      <c r="BS66" s="628"/>
      <c r="BT66" s="628"/>
      <c r="BU66" s="628"/>
      <c r="BV66" s="628"/>
      <c r="BW66" s="628"/>
      <c r="BX66" s="628"/>
      <c r="BY66" s="628"/>
      <c r="BZ66" s="628"/>
      <c r="CA66" s="628"/>
      <c r="CB66" s="628"/>
      <c r="CC66" s="628"/>
      <c r="CD66" s="628"/>
      <c r="CE66" s="628"/>
      <c r="CF66" s="628"/>
      <c r="CG66" s="628"/>
      <c r="CH66" s="629"/>
      <c r="CI66" s="627">
        <f>BQ66*AY66</f>
        <v>0</v>
      </c>
      <c r="CJ66" s="628"/>
      <c r="CK66" s="628"/>
      <c r="CL66" s="628"/>
      <c r="CM66" s="628"/>
      <c r="CN66" s="628"/>
      <c r="CO66" s="628"/>
      <c r="CP66" s="628"/>
      <c r="CQ66" s="628"/>
      <c r="CR66" s="628"/>
      <c r="CS66" s="628"/>
      <c r="CT66" s="628"/>
      <c r="CU66" s="628"/>
      <c r="CV66" s="628"/>
      <c r="CW66" s="628"/>
      <c r="CX66" s="628"/>
      <c r="CY66" s="628"/>
      <c r="CZ66" s="629"/>
      <c r="DA66" s="217"/>
      <c r="DB66" s="228"/>
    </row>
    <row r="67" spans="1:106" s="16" customFormat="1" ht="15" hidden="1" customHeight="1" x14ac:dyDescent="0.3">
      <c r="A67" s="633" t="s">
        <v>292</v>
      </c>
      <c r="B67" s="634"/>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634"/>
      <c r="AS67" s="634"/>
      <c r="AT67" s="634"/>
      <c r="AU67" s="634"/>
      <c r="AV67" s="634"/>
      <c r="AW67" s="634"/>
      <c r="AX67" s="635"/>
      <c r="AY67" s="544" t="s">
        <v>4</v>
      </c>
      <c r="AZ67" s="545"/>
      <c r="BA67" s="545"/>
      <c r="BB67" s="545"/>
      <c r="BC67" s="545"/>
      <c r="BD67" s="545"/>
      <c r="BE67" s="545"/>
      <c r="BF67" s="545"/>
      <c r="BG67" s="545"/>
      <c r="BH67" s="545"/>
      <c r="BI67" s="545"/>
      <c r="BJ67" s="545"/>
      <c r="BK67" s="545"/>
      <c r="BL67" s="545"/>
      <c r="BM67" s="545"/>
      <c r="BN67" s="545"/>
      <c r="BO67" s="545"/>
      <c r="BP67" s="546"/>
      <c r="BQ67" s="544" t="s">
        <v>4</v>
      </c>
      <c r="BR67" s="545"/>
      <c r="BS67" s="545"/>
      <c r="BT67" s="545"/>
      <c r="BU67" s="545"/>
      <c r="BV67" s="545"/>
      <c r="BW67" s="545"/>
      <c r="BX67" s="545"/>
      <c r="BY67" s="545"/>
      <c r="BZ67" s="545"/>
      <c r="CA67" s="545"/>
      <c r="CB67" s="545"/>
      <c r="CC67" s="545"/>
      <c r="CD67" s="545"/>
      <c r="CE67" s="545"/>
      <c r="CF67" s="545"/>
      <c r="CG67" s="545"/>
      <c r="CH67" s="546"/>
      <c r="CI67" s="636">
        <f>SUM(CI65:CZ66)</f>
        <v>0</v>
      </c>
      <c r="CJ67" s="654"/>
      <c r="CK67" s="654"/>
      <c r="CL67" s="654"/>
      <c r="CM67" s="654"/>
      <c r="CN67" s="654"/>
      <c r="CO67" s="654"/>
      <c r="CP67" s="654"/>
      <c r="CQ67" s="654"/>
      <c r="CR67" s="654"/>
      <c r="CS67" s="654"/>
      <c r="CT67" s="654"/>
      <c r="CU67" s="654"/>
      <c r="CV67" s="654"/>
      <c r="CW67" s="654"/>
      <c r="CX67" s="654"/>
      <c r="CY67" s="654"/>
      <c r="CZ67" s="655"/>
      <c r="DA67" s="217"/>
      <c r="DB67" s="228"/>
    </row>
    <row r="68" spans="1:106" s="16" customFormat="1" ht="15" hidden="1" customHeight="1" x14ac:dyDescent="0.3">
      <c r="A68" s="656" t="s">
        <v>547</v>
      </c>
      <c r="B68" s="657"/>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7"/>
      <c r="AJ68" s="657"/>
      <c r="AK68" s="657"/>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57"/>
      <c r="BQ68" s="657"/>
      <c r="BR68" s="657"/>
      <c r="BS68" s="657"/>
      <c r="BT68" s="657"/>
      <c r="BU68" s="657"/>
      <c r="BV68" s="657"/>
      <c r="BW68" s="657"/>
      <c r="BX68" s="657"/>
      <c r="BY68" s="657"/>
      <c r="BZ68" s="657"/>
      <c r="CA68" s="657"/>
      <c r="CB68" s="657"/>
      <c r="CC68" s="657"/>
      <c r="CD68" s="657"/>
      <c r="CE68" s="657"/>
      <c r="CF68" s="657"/>
      <c r="CG68" s="657"/>
      <c r="CH68" s="657"/>
      <c r="CI68" s="657"/>
      <c r="CJ68" s="657"/>
      <c r="CK68" s="657"/>
      <c r="CL68" s="657"/>
      <c r="CM68" s="657"/>
      <c r="CN68" s="657"/>
      <c r="CO68" s="657"/>
      <c r="CP68" s="657"/>
      <c r="CQ68" s="657"/>
      <c r="CR68" s="657"/>
      <c r="CS68" s="657"/>
      <c r="CT68" s="657"/>
      <c r="CU68" s="657"/>
      <c r="CV68" s="657"/>
      <c r="CW68" s="657"/>
      <c r="CX68" s="657"/>
      <c r="CY68" s="657"/>
      <c r="CZ68" s="657"/>
      <c r="DA68" s="217"/>
      <c r="DB68" s="228"/>
    </row>
    <row r="69" spans="1:106" s="16" customFormat="1" ht="37.5" hidden="1" customHeight="1" x14ac:dyDescent="0.3">
      <c r="A69" s="630" t="s">
        <v>441</v>
      </c>
      <c r="B69" s="631"/>
      <c r="C69" s="631"/>
      <c r="D69" s="631"/>
      <c r="E69" s="631"/>
      <c r="F69" s="632"/>
      <c r="G69" s="584" t="s">
        <v>548</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6"/>
      <c r="AY69" s="544"/>
      <c r="AZ69" s="545"/>
      <c r="BA69" s="545"/>
      <c r="BB69" s="545"/>
      <c r="BC69" s="545"/>
      <c r="BD69" s="545"/>
      <c r="BE69" s="545"/>
      <c r="BF69" s="545"/>
      <c r="BG69" s="545"/>
      <c r="BH69" s="545"/>
      <c r="BI69" s="545"/>
      <c r="BJ69" s="545"/>
      <c r="BK69" s="545"/>
      <c r="BL69" s="545"/>
      <c r="BM69" s="545"/>
      <c r="BN69" s="545"/>
      <c r="BO69" s="545"/>
      <c r="BP69" s="546"/>
      <c r="BQ69" s="627"/>
      <c r="BR69" s="628"/>
      <c r="BS69" s="628"/>
      <c r="BT69" s="628"/>
      <c r="BU69" s="628"/>
      <c r="BV69" s="628"/>
      <c r="BW69" s="628"/>
      <c r="BX69" s="628"/>
      <c r="BY69" s="628"/>
      <c r="BZ69" s="628"/>
      <c r="CA69" s="628"/>
      <c r="CB69" s="628"/>
      <c r="CC69" s="628"/>
      <c r="CD69" s="628"/>
      <c r="CE69" s="628"/>
      <c r="CF69" s="628"/>
      <c r="CG69" s="628"/>
      <c r="CH69" s="629"/>
      <c r="CI69" s="627">
        <f>AY69*BQ69</f>
        <v>0</v>
      </c>
      <c r="CJ69" s="628"/>
      <c r="CK69" s="628"/>
      <c r="CL69" s="628"/>
      <c r="CM69" s="628"/>
      <c r="CN69" s="628"/>
      <c r="CO69" s="628"/>
      <c r="CP69" s="628"/>
      <c r="CQ69" s="628"/>
      <c r="CR69" s="628"/>
      <c r="CS69" s="628"/>
      <c r="CT69" s="628"/>
      <c r="CU69" s="628"/>
      <c r="CV69" s="628"/>
      <c r="CW69" s="628"/>
      <c r="CX69" s="628"/>
      <c r="CY69" s="628"/>
      <c r="CZ69" s="629"/>
      <c r="DA69" s="217"/>
      <c r="DB69" s="228"/>
    </row>
    <row r="70" spans="1:106" s="16" customFormat="1" ht="39" hidden="1" customHeight="1" x14ac:dyDescent="0.3">
      <c r="A70" s="630" t="s">
        <v>444</v>
      </c>
      <c r="B70" s="631"/>
      <c r="C70" s="631"/>
      <c r="D70" s="631"/>
      <c r="E70" s="631"/>
      <c r="F70" s="632"/>
      <c r="G70" s="584" t="s">
        <v>549</v>
      </c>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544"/>
      <c r="AZ70" s="545"/>
      <c r="BA70" s="545"/>
      <c r="BB70" s="545"/>
      <c r="BC70" s="545"/>
      <c r="BD70" s="545"/>
      <c r="BE70" s="545"/>
      <c r="BF70" s="545"/>
      <c r="BG70" s="545"/>
      <c r="BH70" s="545"/>
      <c r="BI70" s="545"/>
      <c r="BJ70" s="545"/>
      <c r="BK70" s="545"/>
      <c r="BL70" s="545"/>
      <c r="BM70" s="545"/>
      <c r="BN70" s="545"/>
      <c r="BO70" s="545"/>
      <c r="BP70" s="546"/>
      <c r="BQ70" s="627"/>
      <c r="BR70" s="628"/>
      <c r="BS70" s="628"/>
      <c r="BT70" s="628"/>
      <c r="BU70" s="628"/>
      <c r="BV70" s="628"/>
      <c r="BW70" s="628"/>
      <c r="BX70" s="628"/>
      <c r="BY70" s="628"/>
      <c r="BZ70" s="628"/>
      <c r="CA70" s="628"/>
      <c r="CB70" s="628"/>
      <c r="CC70" s="628"/>
      <c r="CD70" s="628"/>
      <c r="CE70" s="628"/>
      <c r="CF70" s="628"/>
      <c r="CG70" s="628"/>
      <c r="CH70" s="629"/>
      <c r="CI70" s="627">
        <f t="shared" ref="CI70:CI72" si="0">AY70*BQ70</f>
        <v>0</v>
      </c>
      <c r="CJ70" s="628"/>
      <c r="CK70" s="628"/>
      <c r="CL70" s="628"/>
      <c r="CM70" s="628"/>
      <c r="CN70" s="628"/>
      <c r="CO70" s="628"/>
      <c r="CP70" s="628"/>
      <c r="CQ70" s="628"/>
      <c r="CR70" s="628"/>
      <c r="CS70" s="628"/>
      <c r="CT70" s="628"/>
      <c r="CU70" s="628"/>
      <c r="CV70" s="628"/>
      <c r="CW70" s="628"/>
      <c r="CX70" s="628"/>
      <c r="CY70" s="628"/>
      <c r="CZ70" s="629"/>
      <c r="DA70" s="217"/>
      <c r="DB70" s="228"/>
    </row>
    <row r="71" spans="1:106" s="16" customFormat="1" ht="31.5" hidden="1" customHeight="1" x14ac:dyDescent="0.3">
      <c r="A71" s="630" t="s">
        <v>446</v>
      </c>
      <c r="B71" s="631"/>
      <c r="C71" s="631"/>
      <c r="D71" s="631"/>
      <c r="E71" s="631"/>
      <c r="F71" s="632"/>
      <c r="G71" s="584" t="s">
        <v>550</v>
      </c>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6"/>
      <c r="AY71" s="544"/>
      <c r="AZ71" s="545"/>
      <c r="BA71" s="545"/>
      <c r="BB71" s="545"/>
      <c r="BC71" s="545"/>
      <c r="BD71" s="545"/>
      <c r="BE71" s="545"/>
      <c r="BF71" s="545"/>
      <c r="BG71" s="545"/>
      <c r="BH71" s="545"/>
      <c r="BI71" s="545"/>
      <c r="BJ71" s="545"/>
      <c r="BK71" s="545"/>
      <c r="BL71" s="545"/>
      <c r="BM71" s="545"/>
      <c r="BN71" s="545"/>
      <c r="BO71" s="545"/>
      <c r="BP71" s="546"/>
      <c r="BQ71" s="627"/>
      <c r="BR71" s="628"/>
      <c r="BS71" s="628"/>
      <c r="BT71" s="628"/>
      <c r="BU71" s="628"/>
      <c r="BV71" s="628"/>
      <c r="BW71" s="628"/>
      <c r="BX71" s="628"/>
      <c r="BY71" s="628"/>
      <c r="BZ71" s="628"/>
      <c r="CA71" s="628"/>
      <c r="CB71" s="628"/>
      <c r="CC71" s="628"/>
      <c r="CD71" s="628"/>
      <c r="CE71" s="628"/>
      <c r="CF71" s="628"/>
      <c r="CG71" s="628"/>
      <c r="CH71" s="629"/>
      <c r="CI71" s="627">
        <f t="shared" si="0"/>
        <v>0</v>
      </c>
      <c r="CJ71" s="628"/>
      <c r="CK71" s="628"/>
      <c r="CL71" s="628"/>
      <c r="CM71" s="628"/>
      <c r="CN71" s="628"/>
      <c r="CO71" s="628"/>
      <c r="CP71" s="628"/>
      <c r="CQ71" s="628"/>
      <c r="CR71" s="628"/>
      <c r="CS71" s="628"/>
      <c r="CT71" s="628"/>
      <c r="CU71" s="628"/>
      <c r="CV71" s="628"/>
      <c r="CW71" s="628"/>
      <c r="CX71" s="628"/>
      <c r="CY71" s="628"/>
      <c r="CZ71" s="629"/>
      <c r="DA71" s="217"/>
      <c r="DB71" s="228"/>
    </row>
    <row r="72" spans="1:106" s="16" customFormat="1" ht="47.25" hidden="1" customHeight="1" x14ac:dyDescent="0.3">
      <c r="A72" s="630" t="s">
        <v>446</v>
      </c>
      <c r="B72" s="631"/>
      <c r="C72" s="631"/>
      <c r="D72" s="631"/>
      <c r="E72" s="631"/>
      <c r="F72" s="632"/>
      <c r="G72" s="584" t="s">
        <v>552</v>
      </c>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6"/>
      <c r="AY72" s="544"/>
      <c r="AZ72" s="545"/>
      <c r="BA72" s="545"/>
      <c r="BB72" s="545"/>
      <c r="BC72" s="545"/>
      <c r="BD72" s="545"/>
      <c r="BE72" s="545"/>
      <c r="BF72" s="545"/>
      <c r="BG72" s="545"/>
      <c r="BH72" s="545"/>
      <c r="BI72" s="545"/>
      <c r="BJ72" s="545"/>
      <c r="BK72" s="545"/>
      <c r="BL72" s="545"/>
      <c r="BM72" s="545"/>
      <c r="BN72" s="545"/>
      <c r="BO72" s="545"/>
      <c r="BP72" s="546"/>
      <c r="BQ72" s="627"/>
      <c r="BR72" s="628"/>
      <c r="BS72" s="628"/>
      <c r="BT72" s="628"/>
      <c r="BU72" s="628"/>
      <c r="BV72" s="628"/>
      <c r="BW72" s="628"/>
      <c r="BX72" s="628"/>
      <c r="BY72" s="628"/>
      <c r="BZ72" s="628"/>
      <c r="CA72" s="628"/>
      <c r="CB72" s="628"/>
      <c r="CC72" s="628"/>
      <c r="CD72" s="628"/>
      <c r="CE72" s="628"/>
      <c r="CF72" s="628"/>
      <c r="CG72" s="628"/>
      <c r="CH72" s="629"/>
      <c r="CI72" s="627">
        <f t="shared" si="0"/>
        <v>0</v>
      </c>
      <c r="CJ72" s="628"/>
      <c r="CK72" s="628"/>
      <c r="CL72" s="628"/>
      <c r="CM72" s="628"/>
      <c r="CN72" s="628"/>
      <c r="CO72" s="628"/>
      <c r="CP72" s="628"/>
      <c r="CQ72" s="628"/>
      <c r="CR72" s="628"/>
      <c r="CS72" s="628"/>
      <c r="CT72" s="628"/>
      <c r="CU72" s="628"/>
      <c r="CV72" s="628"/>
      <c r="CW72" s="628"/>
      <c r="CX72" s="628"/>
      <c r="CY72" s="628"/>
      <c r="CZ72" s="629"/>
      <c r="DA72" s="217"/>
      <c r="DB72" s="228"/>
    </row>
    <row r="73" spans="1:106" s="16" customFormat="1" ht="15" hidden="1" customHeight="1" x14ac:dyDescent="0.3">
      <c r="A73" s="633" t="s">
        <v>292</v>
      </c>
      <c r="B73" s="634"/>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5"/>
      <c r="AY73" s="544" t="s">
        <v>4</v>
      </c>
      <c r="AZ73" s="545"/>
      <c r="BA73" s="545"/>
      <c r="BB73" s="545"/>
      <c r="BC73" s="545"/>
      <c r="BD73" s="545"/>
      <c r="BE73" s="545"/>
      <c r="BF73" s="545"/>
      <c r="BG73" s="545"/>
      <c r="BH73" s="545"/>
      <c r="BI73" s="545"/>
      <c r="BJ73" s="545"/>
      <c r="BK73" s="545"/>
      <c r="BL73" s="545"/>
      <c r="BM73" s="545"/>
      <c r="BN73" s="545"/>
      <c r="BO73" s="545"/>
      <c r="BP73" s="546"/>
      <c r="BQ73" s="544" t="s">
        <v>4</v>
      </c>
      <c r="BR73" s="545"/>
      <c r="BS73" s="545"/>
      <c r="BT73" s="545"/>
      <c r="BU73" s="545"/>
      <c r="BV73" s="545"/>
      <c r="BW73" s="545"/>
      <c r="BX73" s="545"/>
      <c r="BY73" s="545"/>
      <c r="BZ73" s="545"/>
      <c r="CA73" s="545"/>
      <c r="CB73" s="545"/>
      <c r="CC73" s="545"/>
      <c r="CD73" s="545"/>
      <c r="CE73" s="545"/>
      <c r="CF73" s="545"/>
      <c r="CG73" s="545"/>
      <c r="CH73" s="546"/>
      <c r="CI73" s="611">
        <f>CI69+CI70+CI72+CI71</f>
        <v>0</v>
      </c>
      <c r="CJ73" s="611"/>
      <c r="CK73" s="611"/>
      <c r="CL73" s="611"/>
      <c r="CM73" s="611"/>
      <c r="CN73" s="611"/>
      <c r="CO73" s="611"/>
      <c r="CP73" s="611"/>
      <c r="CQ73" s="611"/>
      <c r="CR73" s="611"/>
      <c r="CS73" s="611"/>
      <c r="CT73" s="611"/>
      <c r="CU73" s="611"/>
      <c r="CV73" s="611"/>
      <c r="CW73" s="611"/>
      <c r="CX73" s="611"/>
      <c r="CY73" s="611"/>
      <c r="CZ73" s="611"/>
      <c r="DA73" s="217"/>
      <c r="DB73" s="228"/>
    </row>
    <row r="74" spans="1:106" s="16" customFormat="1" ht="15" hidden="1" customHeight="1" x14ac:dyDescent="0.3">
      <c r="A74" s="630"/>
      <c r="B74" s="631"/>
      <c r="C74" s="631"/>
      <c r="D74" s="631"/>
      <c r="E74" s="631"/>
      <c r="F74" s="632"/>
      <c r="G74" s="630" t="s">
        <v>56</v>
      </c>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2"/>
      <c r="AY74" s="544" t="s">
        <v>4</v>
      </c>
      <c r="AZ74" s="545"/>
      <c r="BA74" s="545"/>
      <c r="BB74" s="545"/>
      <c r="BC74" s="545"/>
      <c r="BD74" s="545"/>
      <c r="BE74" s="545"/>
      <c r="BF74" s="545"/>
      <c r="BG74" s="545"/>
      <c r="BH74" s="545"/>
      <c r="BI74" s="545"/>
      <c r="BJ74" s="545"/>
      <c r="BK74" s="545"/>
      <c r="BL74" s="545"/>
      <c r="BM74" s="545"/>
      <c r="BN74" s="545"/>
      <c r="BO74" s="545"/>
      <c r="BP74" s="546"/>
      <c r="BQ74" s="544" t="s">
        <v>4</v>
      </c>
      <c r="BR74" s="545"/>
      <c r="BS74" s="545"/>
      <c r="BT74" s="545"/>
      <c r="BU74" s="545"/>
      <c r="BV74" s="545"/>
      <c r="BW74" s="545"/>
      <c r="BX74" s="545"/>
      <c r="BY74" s="545"/>
      <c r="BZ74" s="545"/>
      <c r="CA74" s="545"/>
      <c r="CB74" s="545"/>
      <c r="CC74" s="545"/>
      <c r="CD74" s="545"/>
      <c r="CE74" s="545"/>
      <c r="CF74" s="545"/>
      <c r="CG74" s="545"/>
      <c r="CH74" s="546"/>
      <c r="CI74" s="611">
        <f>CI67+CI73</f>
        <v>0</v>
      </c>
      <c r="CJ74" s="611"/>
      <c r="CK74" s="611"/>
      <c r="CL74" s="611"/>
      <c r="CM74" s="611"/>
      <c r="CN74" s="611"/>
      <c r="CO74" s="611"/>
      <c r="CP74" s="611"/>
      <c r="CQ74" s="611"/>
      <c r="CR74" s="611"/>
      <c r="CS74" s="611"/>
      <c r="CT74" s="611"/>
      <c r="CU74" s="611"/>
      <c r="CV74" s="611"/>
      <c r="CW74" s="611"/>
      <c r="CX74" s="611"/>
      <c r="CY74" s="611"/>
      <c r="CZ74" s="611"/>
      <c r="DA74" s="217"/>
      <c r="DB74" s="228"/>
    </row>
    <row r="75" spans="1:106" s="16" customFormat="1" ht="15" hidden="1" customHeight="1" x14ac:dyDescent="0.3">
      <c r="A75" s="731" t="s">
        <v>305</v>
      </c>
      <c r="B75" s="731"/>
      <c r="C75" s="731"/>
      <c r="D75" s="731"/>
      <c r="E75" s="731"/>
      <c r="F75" s="731"/>
      <c r="G75" s="731"/>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217"/>
      <c r="DB75" s="228"/>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95" t="s">
        <v>536</v>
      </c>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5"/>
      <c r="BT76" s="595"/>
      <c r="BU76" s="595"/>
      <c r="BV76" s="595"/>
      <c r="BW76" s="595"/>
      <c r="BX76" s="595"/>
      <c r="BY76" s="595"/>
      <c r="BZ76" s="595"/>
      <c r="CA76" s="595"/>
      <c r="CB76" s="595"/>
      <c r="CC76" s="595"/>
      <c r="CD76" s="595"/>
      <c r="CE76" s="595"/>
      <c r="CF76" s="595"/>
      <c r="CG76" s="595"/>
      <c r="CH76" s="595"/>
      <c r="CI76" s="595"/>
      <c r="CJ76" s="595"/>
      <c r="CK76" s="595"/>
      <c r="CL76" s="595"/>
      <c r="CM76" s="595"/>
      <c r="CN76" s="595"/>
      <c r="CO76" s="595"/>
      <c r="CP76" s="595"/>
      <c r="CQ76" s="595"/>
      <c r="CR76" s="595"/>
      <c r="CS76" s="595"/>
      <c r="CT76" s="595"/>
      <c r="CU76" s="595"/>
      <c r="CV76" s="595"/>
      <c r="CW76" s="595"/>
      <c r="CX76" s="595"/>
      <c r="CY76" s="595"/>
      <c r="CZ76" s="595"/>
      <c r="DA76" s="217"/>
      <c r="DB76" s="228"/>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7"/>
      <c r="DB77" s="228"/>
    </row>
    <row r="78" spans="1:106" s="16" customFormat="1" ht="44.25" hidden="1" customHeight="1" x14ac:dyDescent="0.3">
      <c r="A78" s="597" t="s">
        <v>49</v>
      </c>
      <c r="B78" s="598"/>
      <c r="C78" s="598"/>
      <c r="D78" s="598"/>
      <c r="E78" s="598"/>
      <c r="F78" s="599"/>
      <c r="G78" s="475" t="s">
        <v>57</v>
      </c>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s="597" t="s">
        <v>59</v>
      </c>
      <c r="AZ78" s="598"/>
      <c r="BA78" s="598"/>
      <c r="BB78" s="598"/>
      <c r="BC78" s="598"/>
      <c r="BD78" s="598"/>
      <c r="BE78" s="598"/>
      <c r="BF78" s="598"/>
      <c r="BG78" s="598"/>
      <c r="BH78" s="598"/>
      <c r="BI78" s="598"/>
      <c r="BJ78" s="598"/>
      <c r="BK78" s="598"/>
      <c r="BL78" s="598"/>
      <c r="BM78" s="598"/>
      <c r="BN78" s="598"/>
      <c r="BO78" s="598"/>
      <c r="BP78" s="599"/>
      <c r="BQ78" s="597" t="s">
        <v>306</v>
      </c>
      <c r="BR78" s="598"/>
      <c r="BS78" s="598"/>
      <c r="BT78" s="598"/>
      <c r="BU78" s="598"/>
      <c r="BV78" s="598"/>
      <c r="BW78" s="598"/>
      <c r="BX78" s="598"/>
      <c r="BY78" s="598"/>
      <c r="BZ78" s="598"/>
      <c r="CA78" s="598"/>
      <c r="CB78" s="598"/>
      <c r="CC78" s="598"/>
      <c r="CD78" s="598"/>
      <c r="CE78" s="598"/>
      <c r="CF78" s="598"/>
      <c r="CG78" s="598"/>
      <c r="CH78" s="599"/>
      <c r="CI78" s="597" t="s">
        <v>61</v>
      </c>
      <c r="CJ78" s="598"/>
      <c r="CK78" s="598"/>
      <c r="CL78" s="598"/>
      <c r="CM78" s="598"/>
      <c r="CN78" s="598"/>
      <c r="CO78" s="598"/>
      <c r="CP78" s="598"/>
      <c r="CQ78" s="598"/>
      <c r="CR78" s="598"/>
      <c r="CS78" s="598"/>
      <c r="CT78" s="598"/>
      <c r="CU78" s="598"/>
      <c r="CV78" s="598"/>
      <c r="CW78" s="598"/>
      <c r="CX78" s="598"/>
      <c r="CY78" s="598"/>
      <c r="CZ78" s="598"/>
      <c r="DA78" s="217"/>
      <c r="DB78" s="228"/>
    </row>
    <row r="79" spans="1:106" s="16" customFormat="1" ht="15" hidden="1" customHeight="1" x14ac:dyDescent="0.3">
      <c r="A79" s="591">
        <v>1</v>
      </c>
      <c r="B79" s="591"/>
      <c r="C79" s="591"/>
      <c r="D79" s="591"/>
      <c r="E79" s="591"/>
      <c r="F79" s="591"/>
      <c r="G79" s="591">
        <v>2</v>
      </c>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v>3</v>
      </c>
      <c r="AE79" s="591"/>
      <c r="AF79" s="591"/>
      <c r="AG79" s="591"/>
      <c r="AH79" s="591"/>
      <c r="AI79" s="591"/>
      <c r="AJ79" s="591"/>
      <c r="AK79" s="591"/>
      <c r="AL79" s="591"/>
      <c r="AM79" s="591"/>
      <c r="AN79" s="591"/>
      <c r="AO79" s="591"/>
      <c r="AP79" s="591"/>
      <c r="AQ79" s="591"/>
      <c r="AR79" s="591"/>
      <c r="AS79" s="591"/>
      <c r="AT79" s="591"/>
      <c r="AU79" s="591"/>
      <c r="AV79" s="591"/>
      <c r="AW79" s="591"/>
      <c r="AX79" s="591"/>
      <c r="AY79" s="591">
        <v>4</v>
      </c>
      <c r="AZ79" s="591"/>
      <c r="BA79" s="591"/>
      <c r="BB79" s="591"/>
      <c r="BC79" s="591"/>
      <c r="BD79" s="591"/>
      <c r="BE79" s="591"/>
      <c r="BF79" s="591"/>
      <c r="BG79" s="591"/>
      <c r="BH79" s="591"/>
      <c r="BI79" s="591"/>
      <c r="BJ79" s="591"/>
      <c r="BK79" s="591"/>
      <c r="BL79" s="591"/>
      <c r="BM79" s="591"/>
      <c r="BN79" s="591"/>
      <c r="BO79" s="591"/>
      <c r="BP79" s="591"/>
      <c r="BQ79" s="591">
        <v>5</v>
      </c>
      <c r="BR79" s="591"/>
      <c r="BS79" s="591"/>
      <c r="BT79" s="591"/>
      <c r="BU79" s="591"/>
      <c r="BV79" s="591"/>
      <c r="BW79" s="591"/>
      <c r="BX79" s="591"/>
      <c r="BY79" s="591"/>
      <c r="BZ79" s="591"/>
      <c r="CA79" s="591"/>
      <c r="CB79" s="591"/>
      <c r="CC79" s="591"/>
      <c r="CD79" s="591"/>
      <c r="CE79" s="591"/>
      <c r="CF79" s="591"/>
      <c r="CG79" s="591"/>
      <c r="CH79" s="591"/>
      <c r="CI79" s="591">
        <v>6</v>
      </c>
      <c r="CJ79" s="591"/>
      <c r="CK79" s="591"/>
      <c r="CL79" s="591"/>
      <c r="CM79" s="591"/>
      <c r="CN79" s="591"/>
      <c r="CO79" s="591"/>
      <c r="CP79" s="591"/>
      <c r="CQ79" s="591"/>
      <c r="CR79" s="591"/>
      <c r="CS79" s="591"/>
      <c r="CT79" s="591"/>
      <c r="CU79" s="591"/>
      <c r="CV79" s="591"/>
      <c r="CW79" s="591"/>
      <c r="CX79" s="591"/>
      <c r="CY79" s="591"/>
      <c r="CZ79" s="661"/>
      <c r="DA79" s="217"/>
      <c r="DB79" s="228"/>
    </row>
    <row r="80" spans="1:106" s="16" customFormat="1" ht="15" hidden="1" customHeight="1" x14ac:dyDescent="0.3">
      <c r="A80" s="656" t="s">
        <v>547</v>
      </c>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57"/>
      <c r="BQ80" s="657"/>
      <c r="BR80" s="657"/>
      <c r="BS80" s="657"/>
      <c r="BT80" s="657"/>
      <c r="BU80" s="657"/>
      <c r="BV80" s="657"/>
      <c r="BW80" s="657"/>
      <c r="BX80" s="657"/>
      <c r="BY80" s="657"/>
      <c r="BZ80" s="657"/>
      <c r="CA80" s="657"/>
      <c r="CB80" s="657"/>
      <c r="CC80" s="657"/>
      <c r="CD80" s="657"/>
      <c r="CE80" s="657"/>
      <c r="CF80" s="657"/>
      <c r="CG80" s="657"/>
      <c r="CH80" s="657"/>
      <c r="CI80" s="657"/>
      <c r="CJ80" s="657"/>
      <c r="CK80" s="657"/>
      <c r="CL80" s="657"/>
      <c r="CM80" s="657"/>
      <c r="CN80" s="657"/>
      <c r="CO80" s="657"/>
      <c r="CP80" s="657"/>
      <c r="CQ80" s="657"/>
      <c r="CR80" s="657"/>
      <c r="CS80" s="657"/>
      <c r="CT80" s="657"/>
      <c r="CU80" s="657"/>
      <c r="CV80" s="657"/>
      <c r="CW80" s="657"/>
      <c r="CX80" s="657"/>
      <c r="CY80" s="657"/>
      <c r="CZ80" s="657"/>
      <c r="DA80" s="217"/>
      <c r="DB80" s="228"/>
    </row>
    <row r="81" spans="1:106" s="16" customFormat="1" ht="38.25" hidden="1" customHeight="1" x14ac:dyDescent="0.3">
      <c r="A81" s="630" t="s">
        <v>441</v>
      </c>
      <c r="B81" s="631"/>
      <c r="C81" s="631"/>
      <c r="D81" s="631"/>
      <c r="E81" s="631"/>
      <c r="F81" s="632"/>
      <c r="G81" s="584" t="s">
        <v>548</v>
      </c>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6"/>
      <c r="AY81" s="544"/>
      <c r="AZ81" s="545"/>
      <c r="BA81" s="545"/>
      <c r="BB81" s="545"/>
      <c r="BC81" s="545"/>
      <c r="BD81" s="545"/>
      <c r="BE81" s="545"/>
      <c r="BF81" s="545"/>
      <c r="BG81" s="545"/>
      <c r="BH81" s="545"/>
      <c r="BI81" s="545"/>
      <c r="BJ81" s="545"/>
      <c r="BK81" s="545"/>
      <c r="BL81" s="545"/>
      <c r="BM81" s="545"/>
      <c r="BN81" s="545"/>
      <c r="BO81" s="545"/>
      <c r="BP81" s="546"/>
      <c r="BQ81" s="627"/>
      <c r="BR81" s="628"/>
      <c r="BS81" s="628"/>
      <c r="BT81" s="628"/>
      <c r="BU81" s="628"/>
      <c r="BV81" s="628"/>
      <c r="BW81" s="628"/>
      <c r="BX81" s="628"/>
      <c r="BY81" s="628"/>
      <c r="BZ81" s="628"/>
      <c r="CA81" s="628"/>
      <c r="CB81" s="628"/>
      <c r="CC81" s="628"/>
      <c r="CD81" s="628"/>
      <c r="CE81" s="628"/>
      <c r="CF81" s="628"/>
      <c r="CG81" s="628"/>
      <c r="CH81" s="629"/>
      <c r="CI81" s="627"/>
      <c r="CJ81" s="628"/>
      <c r="CK81" s="628"/>
      <c r="CL81" s="628"/>
      <c r="CM81" s="628"/>
      <c r="CN81" s="628"/>
      <c r="CO81" s="628"/>
      <c r="CP81" s="628"/>
      <c r="CQ81" s="628"/>
      <c r="CR81" s="628"/>
      <c r="CS81" s="628"/>
      <c r="CT81" s="628"/>
      <c r="CU81" s="628"/>
      <c r="CV81" s="628"/>
      <c r="CW81" s="628"/>
      <c r="CX81" s="628"/>
      <c r="CY81" s="628"/>
      <c r="CZ81" s="628"/>
      <c r="DA81" s="217"/>
      <c r="DB81" s="228"/>
    </row>
    <row r="82" spans="1:106" s="16" customFormat="1" ht="43.5" hidden="1" customHeight="1" x14ac:dyDescent="0.3">
      <c r="A82" s="630" t="s">
        <v>444</v>
      </c>
      <c r="B82" s="631"/>
      <c r="C82" s="631"/>
      <c r="D82" s="631"/>
      <c r="E82" s="631"/>
      <c r="F82" s="632"/>
      <c r="G82" s="584" t="s">
        <v>549</v>
      </c>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6"/>
      <c r="AY82" s="544"/>
      <c r="AZ82" s="545"/>
      <c r="BA82" s="545"/>
      <c r="BB82" s="545"/>
      <c r="BC82" s="545"/>
      <c r="BD82" s="545"/>
      <c r="BE82" s="545"/>
      <c r="BF82" s="545"/>
      <c r="BG82" s="545"/>
      <c r="BH82" s="545"/>
      <c r="BI82" s="545"/>
      <c r="BJ82" s="545"/>
      <c r="BK82" s="545"/>
      <c r="BL82" s="545"/>
      <c r="BM82" s="545"/>
      <c r="BN82" s="545"/>
      <c r="BO82" s="545"/>
      <c r="BP82" s="546"/>
      <c r="BQ82" s="627"/>
      <c r="BR82" s="628"/>
      <c r="BS82" s="628"/>
      <c r="BT82" s="628"/>
      <c r="BU82" s="628"/>
      <c r="BV82" s="628"/>
      <c r="BW82" s="628"/>
      <c r="BX82" s="628"/>
      <c r="BY82" s="628"/>
      <c r="BZ82" s="628"/>
      <c r="CA82" s="628"/>
      <c r="CB82" s="628"/>
      <c r="CC82" s="628"/>
      <c r="CD82" s="628"/>
      <c r="CE82" s="628"/>
      <c r="CF82" s="628"/>
      <c r="CG82" s="628"/>
      <c r="CH82" s="629"/>
      <c r="CI82" s="627"/>
      <c r="CJ82" s="628"/>
      <c r="CK82" s="628"/>
      <c r="CL82" s="628"/>
      <c r="CM82" s="628"/>
      <c r="CN82" s="628"/>
      <c r="CO82" s="628"/>
      <c r="CP82" s="628"/>
      <c r="CQ82" s="628"/>
      <c r="CR82" s="628"/>
      <c r="CS82" s="628"/>
      <c r="CT82" s="628"/>
      <c r="CU82" s="628"/>
      <c r="CV82" s="628"/>
      <c r="CW82" s="628"/>
      <c r="CX82" s="628"/>
      <c r="CY82" s="628"/>
      <c r="CZ82" s="628"/>
      <c r="DA82" s="217"/>
      <c r="DB82" s="228"/>
    </row>
    <row r="83" spans="1:106" s="16" customFormat="1" ht="39.75" hidden="1" customHeight="1" x14ac:dyDescent="0.3">
      <c r="A83" s="630" t="s">
        <v>446</v>
      </c>
      <c r="B83" s="631"/>
      <c r="C83" s="631"/>
      <c r="D83" s="631"/>
      <c r="E83" s="631"/>
      <c r="F83" s="632"/>
      <c r="G83" s="584" t="s">
        <v>552</v>
      </c>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6"/>
      <c r="AY83" s="544"/>
      <c r="AZ83" s="545"/>
      <c r="BA83" s="545"/>
      <c r="BB83" s="545"/>
      <c r="BC83" s="545"/>
      <c r="BD83" s="545"/>
      <c r="BE83" s="545"/>
      <c r="BF83" s="545"/>
      <c r="BG83" s="545"/>
      <c r="BH83" s="545"/>
      <c r="BI83" s="545"/>
      <c r="BJ83" s="545"/>
      <c r="BK83" s="545"/>
      <c r="BL83" s="545"/>
      <c r="BM83" s="545"/>
      <c r="BN83" s="545"/>
      <c r="BO83" s="545"/>
      <c r="BP83" s="546"/>
      <c r="BQ83" s="627"/>
      <c r="BR83" s="628"/>
      <c r="BS83" s="628"/>
      <c r="BT83" s="628"/>
      <c r="BU83" s="628"/>
      <c r="BV83" s="628"/>
      <c r="BW83" s="628"/>
      <c r="BX83" s="628"/>
      <c r="BY83" s="628"/>
      <c r="BZ83" s="628"/>
      <c r="CA83" s="628"/>
      <c r="CB83" s="628"/>
      <c r="CC83" s="628"/>
      <c r="CD83" s="628"/>
      <c r="CE83" s="628"/>
      <c r="CF83" s="628"/>
      <c r="CG83" s="628"/>
      <c r="CH83" s="629"/>
      <c r="CI83" s="627"/>
      <c r="CJ83" s="628"/>
      <c r="CK83" s="628"/>
      <c r="CL83" s="628"/>
      <c r="CM83" s="628"/>
      <c r="CN83" s="628"/>
      <c r="CO83" s="628"/>
      <c r="CP83" s="628"/>
      <c r="CQ83" s="628"/>
      <c r="CR83" s="628"/>
      <c r="CS83" s="628"/>
      <c r="CT83" s="628"/>
      <c r="CU83" s="628"/>
      <c r="CV83" s="628"/>
      <c r="CW83" s="628"/>
      <c r="CX83" s="628"/>
      <c r="CY83" s="628"/>
      <c r="CZ83" s="628"/>
      <c r="DA83" s="217"/>
      <c r="DB83" s="228"/>
    </row>
    <row r="84" spans="1:106" s="16" customFormat="1" ht="15" hidden="1" customHeight="1" x14ac:dyDescent="0.3">
      <c r="A84" s="633" t="s">
        <v>292</v>
      </c>
      <c r="B84" s="634"/>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5"/>
      <c r="AY84" s="544" t="s">
        <v>4</v>
      </c>
      <c r="AZ84" s="545"/>
      <c r="BA84" s="545"/>
      <c r="BB84" s="545"/>
      <c r="BC84" s="545"/>
      <c r="BD84" s="545"/>
      <c r="BE84" s="545"/>
      <c r="BF84" s="545"/>
      <c r="BG84" s="545"/>
      <c r="BH84" s="545"/>
      <c r="BI84" s="545"/>
      <c r="BJ84" s="545"/>
      <c r="BK84" s="545"/>
      <c r="BL84" s="545"/>
      <c r="BM84" s="545"/>
      <c r="BN84" s="545"/>
      <c r="BO84" s="545"/>
      <c r="BP84" s="546"/>
      <c r="BQ84" s="544" t="s">
        <v>4</v>
      </c>
      <c r="BR84" s="545"/>
      <c r="BS84" s="545"/>
      <c r="BT84" s="545"/>
      <c r="BU84" s="545"/>
      <c r="BV84" s="545"/>
      <c r="BW84" s="545"/>
      <c r="BX84" s="545"/>
      <c r="BY84" s="545"/>
      <c r="BZ84" s="545"/>
      <c r="CA84" s="545"/>
      <c r="CB84" s="545"/>
      <c r="CC84" s="545"/>
      <c r="CD84" s="545"/>
      <c r="CE84" s="545"/>
      <c r="CF84" s="545"/>
      <c r="CG84" s="545"/>
      <c r="CH84" s="546"/>
      <c r="CI84" s="636">
        <f>CI81+CI82+CI83</f>
        <v>0</v>
      </c>
      <c r="CJ84" s="654"/>
      <c r="CK84" s="654"/>
      <c r="CL84" s="654"/>
      <c r="CM84" s="654"/>
      <c r="CN84" s="654"/>
      <c r="CO84" s="654"/>
      <c r="CP84" s="654"/>
      <c r="CQ84" s="654"/>
      <c r="CR84" s="654"/>
      <c r="CS84" s="654"/>
      <c r="CT84" s="654"/>
      <c r="CU84" s="654"/>
      <c r="CV84" s="654"/>
      <c r="CW84" s="654"/>
      <c r="CX84" s="654"/>
      <c r="CY84" s="654"/>
      <c r="CZ84" s="654"/>
      <c r="DA84" s="217"/>
      <c r="DB84" s="228"/>
    </row>
    <row r="85" spans="1:106" s="16" customFormat="1" ht="15" hidden="1" customHeight="1" x14ac:dyDescent="0.3">
      <c r="A85" s="630"/>
      <c r="B85" s="631"/>
      <c r="C85" s="631"/>
      <c r="D85" s="631"/>
      <c r="E85" s="631"/>
      <c r="F85" s="632"/>
      <c r="G85" s="630" t="s">
        <v>56</v>
      </c>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2"/>
      <c r="AY85" s="544" t="s">
        <v>4</v>
      </c>
      <c r="AZ85" s="545"/>
      <c r="BA85" s="545"/>
      <c r="BB85" s="545"/>
      <c r="BC85" s="545"/>
      <c r="BD85" s="545"/>
      <c r="BE85" s="545"/>
      <c r="BF85" s="545"/>
      <c r="BG85" s="545"/>
      <c r="BH85" s="545"/>
      <c r="BI85" s="545"/>
      <c r="BJ85" s="545"/>
      <c r="BK85" s="545"/>
      <c r="BL85" s="545"/>
      <c r="BM85" s="545"/>
      <c r="BN85" s="545"/>
      <c r="BO85" s="545"/>
      <c r="BP85" s="546"/>
      <c r="BQ85" s="544" t="s">
        <v>4</v>
      </c>
      <c r="BR85" s="545"/>
      <c r="BS85" s="545"/>
      <c r="BT85" s="545"/>
      <c r="BU85" s="545"/>
      <c r="BV85" s="545"/>
      <c r="BW85" s="545"/>
      <c r="BX85" s="545"/>
      <c r="BY85" s="545"/>
      <c r="BZ85" s="545"/>
      <c r="CA85" s="545"/>
      <c r="CB85" s="545"/>
      <c r="CC85" s="545"/>
      <c r="CD85" s="545"/>
      <c r="CE85" s="545"/>
      <c r="CF85" s="545"/>
      <c r="CG85" s="545"/>
      <c r="CH85" s="546"/>
      <c r="CI85" s="636">
        <f>CI84</f>
        <v>0</v>
      </c>
      <c r="CJ85" s="654"/>
      <c r="CK85" s="654"/>
      <c r="CL85" s="654"/>
      <c r="CM85" s="654"/>
      <c r="CN85" s="654"/>
      <c r="CO85" s="654"/>
      <c r="CP85" s="654"/>
      <c r="CQ85" s="654"/>
      <c r="CR85" s="654"/>
      <c r="CS85" s="654"/>
      <c r="CT85" s="654"/>
      <c r="CU85" s="654"/>
      <c r="CV85" s="654"/>
      <c r="CW85" s="654"/>
      <c r="CX85" s="654"/>
      <c r="CY85" s="654"/>
      <c r="CZ85" s="654"/>
      <c r="DA85" s="217">
        <f>CI85</f>
        <v>0</v>
      </c>
      <c r="DB85" s="228"/>
    </row>
    <row r="86" spans="1:106" s="16" customFormat="1" ht="15" hidden="1"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9"/>
      <c r="CJ86" s="229"/>
      <c r="CK86" s="229"/>
      <c r="CL86" s="229"/>
      <c r="CM86" s="229"/>
      <c r="CN86" s="229"/>
      <c r="CO86" s="229"/>
      <c r="CP86" s="229"/>
      <c r="CQ86" s="229"/>
      <c r="CR86" s="229"/>
      <c r="CS86" s="229"/>
      <c r="CT86" s="229"/>
      <c r="CU86" s="229"/>
      <c r="CV86" s="229"/>
      <c r="CW86" s="229"/>
      <c r="CX86" s="229"/>
      <c r="CY86" s="229"/>
      <c r="CZ86" s="229"/>
      <c r="DA86" s="230"/>
      <c r="DB86" s="230"/>
    </row>
    <row r="87" spans="1:106" s="16" customFormat="1" ht="15" hidden="1"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9"/>
      <c r="CJ87" s="229"/>
      <c r="CK87" s="229"/>
      <c r="CL87" s="229"/>
      <c r="CM87" s="229"/>
      <c r="CN87" s="229"/>
      <c r="CO87" s="229"/>
      <c r="CP87" s="229"/>
      <c r="CQ87" s="229"/>
      <c r="CR87" s="229"/>
      <c r="CS87" s="229"/>
      <c r="CT87" s="229"/>
      <c r="CU87" s="229"/>
      <c r="CV87" s="229"/>
      <c r="CW87" s="229"/>
      <c r="CX87" s="229"/>
      <c r="CY87" s="229"/>
      <c r="CZ87" s="229"/>
      <c r="DA87" s="230"/>
      <c r="DB87" s="230"/>
    </row>
    <row r="88" spans="1:106" s="16" customFormat="1" ht="15" customHeight="1" x14ac:dyDescent="0.25">
      <c r="A88" s="731" t="s">
        <v>305</v>
      </c>
      <c r="B88" s="731"/>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230"/>
      <c r="DB88" s="230"/>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95" t="s">
        <v>553</v>
      </c>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5"/>
      <c r="BT89" s="595"/>
      <c r="BU89" s="595"/>
      <c r="BV89" s="595"/>
      <c r="BW89" s="595"/>
      <c r="BX89" s="595"/>
      <c r="BY89" s="595"/>
      <c r="BZ89" s="595"/>
      <c r="CA89" s="595"/>
      <c r="CB89" s="595"/>
      <c r="CC89" s="595"/>
      <c r="CD89" s="595"/>
      <c r="CE89" s="595"/>
      <c r="CF89" s="595"/>
      <c r="CG89" s="595"/>
      <c r="CH89" s="595"/>
      <c r="CI89" s="595"/>
      <c r="CJ89" s="595"/>
      <c r="CK89" s="595"/>
      <c r="CL89" s="595"/>
      <c r="CM89" s="595"/>
      <c r="CN89" s="595"/>
      <c r="CO89" s="595"/>
      <c r="CP89" s="595"/>
      <c r="CQ89" s="595"/>
      <c r="CR89" s="595"/>
      <c r="CS89" s="595"/>
      <c r="CT89" s="595"/>
      <c r="CU89" s="595"/>
      <c r="CV89" s="595"/>
      <c r="CW89" s="595"/>
      <c r="CX89" s="595"/>
      <c r="CY89" s="595"/>
      <c r="CZ89" s="595"/>
      <c r="DA89" s="230">
        <v>226</v>
      </c>
      <c r="DB89" s="230"/>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31"/>
      <c r="DB90" s="230"/>
    </row>
    <row r="91" spans="1:106" s="16" customFormat="1" ht="26.25" customHeight="1" x14ac:dyDescent="0.25">
      <c r="A91" s="597" t="s">
        <v>49</v>
      </c>
      <c r="B91" s="598"/>
      <c r="C91" s="598"/>
      <c r="D91" s="598"/>
      <c r="E91" s="598"/>
      <c r="F91" s="599"/>
      <c r="G91" s="475" t="s">
        <v>57</v>
      </c>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7"/>
      <c r="AY91" s="597" t="s">
        <v>59</v>
      </c>
      <c r="AZ91" s="598"/>
      <c r="BA91" s="598"/>
      <c r="BB91" s="598"/>
      <c r="BC91" s="598"/>
      <c r="BD91" s="598"/>
      <c r="BE91" s="598"/>
      <c r="BF91" s="598"/>
      <c r="BG91" s="598"/>
      <c r="BH91" s="598"/>
      <c r="BI91" s="598"/>
      <c r="BJ91" s="598"/>
      <c r="BK91" s="598"/>
      <c r="BL91" s="598"/>
      <c r="BM91" s="598"/>
      <c r="BN91" s="598"/>
      <c r="BO91" s="598"/>
      <c r="BP91" s="599"/>
      <c r="BQ91" s="597" t="s">
        <v>306</v>
      </c>
      <c r="BR91" s="598"/>
      <c r="BS91" s="598"/>
      <c r="BT91" s="598"/>
      <c r="BU91" s="598"/>
      <c r="BV91" s="598"/>
      <c r="BW91" s="598"/>
      <c r="BX91" s="598"/>
      <c r="BY91" s="598"/>
      <c r="BZ91" s="598"/>
      <c r="CA91" s="598"/>
      <c r="CB91" s="598"/>
      <c r="CC91" s="598"/>
      <c r="CD91" s="598"/>
      <c r="CE91" s="598"/>
      <c r="CF91" s="598"/>
      <c r="CG91" s="598"/>
      <c r="CH91" s="599"/>
      <c r="CI91" s="597" t="s">
        <v>61</v>
      </c>
      <c r="CJ91" s="598"/>
      <c r="CK91" s="598"/>
      <c r="CL91" s="598"/>
      <c r="CM91" s="598"/>
      <c r="CN91" s="598"/>
      <c r="CO91" s="598"/>
      <c r="CP91" s="598"/>
      <c r="CQ91" s="598"/>
      <c r="CR91" s="598"/>
      <c r="CS91" s="598"/>
      <c r="CT91" s="598"/>
      <c r="CU91" s="598"/>
      <c r="CV91" s="598"/>
      <c r="CW91" s="598"/>
      <c r="CX91" s="598"/>
      <c r="CY91" s="598"/>
      <c r="CZ91" s="598"/>
      <c r="DA91" s="230"/>
      <c r="DB91" s="230"/>
    </row>
    <row r="92" spans="1:106" s="16" customFormat="1" ht="15" customHeight="1" x14ac:dyDescent="0.3">
      <c r="A92" s="591">
        <v>1</v>
      </c>
      <c r="B92" s="591"/>
      <c r="C92" s="591"/>
      <c r="D92" s="591"/>
      <c r="E92" s="591"/>
      <c r="F92" s="591"/>
      <c r="G92" s="591">
        <v>2</v>
      </c>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v>3</v>
      </c>
      <c r="AE92" s="591"/>
      <c r="AF92" s="591"/>
      <c r="AG92" s="591"/>
      <c r="AH92" s="591"/>
      <c r="AI92" s="591"/>
      <c r="AJ92" s="591"/>
      <c r="AK92" s="591"/>
      <c r="AL92" s="591"/>
      <c r="AM92" s="591"/>
      <c r="AN92" s="591"/>
      <c r="AO92" s="591"/>
      <c r="AP92" s="591"/>
      <c r="AQ92" s="591"/>
      <c r="AR92" s="591"/>
      <c r="AS92" s="591"/>
      <c r="AT92" s="591"/>
      <c r="AU92" s="591"/>
      <c r="AV92" s="591"/>
      <c r="AW92" s="591"/>
      <c r="AX92" s="591"/>
      <c r="AY92" s="591">
        <v>4</v>
      </c>
      <c r="AZ92" s="591"/>
      <c r="BA92" s="591"/>
      <c r="BB92" s="591"/>
      <c r="BC92" s="591"/>
      <c r="BD92" s="591"/>
      <c r="BE92" s="591"/>
      <c r="BF92" s="591"/>
      <c r="BG92" s="591"/>
      <c r="BH92" s="591"/>
      <c r="BI92" s="591"/>
      <c r="BJ92" s="591"/>
      <c r="BK92" s="591"/>
      <c r="BL92" s="591"/>
      <c r="BM92" s="591"/>
      <c r="BN92" s="591"/>
      <c r="BO92" s="591"/>
      <c r="BP92" s="591"/>
      <c r="BQ92" s="591">
        <v>5</v>
      </c>
      <c r="BR92" s="591"/>
      <c r="BS92" s="591"/>
      <c r="BT92" s="591"/>
      <c r="BU92" s="591"/>
      <c r="BV92" s="591"/>
      <c r="BW92" s="591"/>
      <c r="BX92" s="591"/>
      <c r="BY92" s="591"/>
      <c r="BZ92" s="591"/>
      <c r="CA92" s="591"/>
      <c r="CB92" s="591"/>
      <c r="CC92" s="591"/>
      <c r="CD92" s="591"/>
      <c r="CE92" s="591"/>
      <c r="CF92" s="591"/>
      <c r="CG92" s="591"/>
      <c r="CH92" s="591"/>
      <c r="CI92" s="591">
        <v>6</v>
      </c>
      <c r="CJ92" s="591"/>
      <c r="CK92" s="591"/>
      <c r="CL92" s="591"/>
      <c r="CM92" s="591"/>
      <c r="CN92" s="591"/>
      <c r="CO92" s="591"/>
      <c r="CP92" s="591"/>
      <c r="CQ92" s="591"/>
      <c r="CR92" s="591"/>
      <c r="CS92" s="591"/>
      <c r="CT92" s="591"/>
      <c r="CU92" s="591"/>
      <c r="CV92" s="591"/>
      <c r="CW92" s="591"/>
      <c r="CX92" s="591"/>
      <c r="CY92" s="591"/>
      <c r="CZ92" s="591"/>
      <c r="DA92" s="214"/>
    </row>
    <row r="93" spans="1:106" s="16" customFormat="1" ht="15" customHeight="1" x14ac:dyDescent="0.3">
      <c r="A93" s="656" t="s">
        <v>537</v>
      </c>
      <c r="B93" s="657"/>
      <c r="C93" s="657"/>
      <c r="D93" s="657"/>
      <c r="E93" s="657"/>
      <c r="F93" s="657"/>
      <c r="G93" s="657"/>
      <c r="H93" s="657"/>
      <c r="I93" s="657"/>
      <c r="J93" s="657"/>
      <c r="K93" s="657"/>
      <c r="L93" s="657"/>
      <c r="M93" s="657"/>
      <c r="N93" s="657"/>
      <c r="O93" s="657"/>
      <c r="P93" s="657"/>
      <c r="Q93" s="657"/>
      <c r="R93" s="657"/>
      <c r="S93" s="657"/>
      <c r="T93" s="657"/>
      <c r="U93" s="657"/>
      <c r="V93" s="657"/>
      <c r="W93" s="657"/>
      <c r="X93" s="657"/>
      <c r="Y93" s="657"/>
      <c r="Z93" s="657"/>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57"/>
      <c r="BQ93" s="657"/>
      <c r="BR93" s="657"/>
      <c r="BS93" s="657"/>
      <c r="BT93" s="657"/>
      <c r="BU93" s="657"/>
      <c r="BV93" s="657"/>
      <c r="BW93" s="657"/>
      <c r="BX93" s="657"/>
      <c r="BY93" s="657"/>
      <c r="BZ93" s="657"/>
      <c r="CA93" s="657"/>
      <c r="CB93" s="657"/>
      <c r="CC93" s="657"/>
      <c r="CD93" s="657"/>
      <c r="CE93" s="657"/>
      <c r="CF93" s="657"/>
      <c r="CG93" s="657"/>
      <c r="CH93" s="657"/>
      <c r="CI93" s="657"/>
      <c r="CJ93" s="657"/>
      <c r="CK93" s="657"/>
      <c r="CL93" s="657"/>
      <c r="CM93" s="657"/>
      <c r="CN93" s="657"/>
      <c r="CO93" s="657"/>
      <c r="CP93" s="657"/>
      <c r="CQ93" s="657"/>
      <c r="CR93" s="657"/>
      <c r="CS93" s="657"/>
      <c r="CT93" s="657"/>
      <c r="CU93" s="657"/>
      <c r="CV93" s="657"/>
      <c r="CW93" s="657"/>
      <c r="CX93" s="657"/>
      <c r="CY93" s="657"/>
      <c r="CZ93" s="657"/>
      <c r="DA93" s="214"/>
    </row>
    <row r="94" spans="1:106" s="16" customFormat="1" ht="34.950000000000003" customHeight="1" x14ac:dyDescent="0.3">
      <c r="A94" s="630" t="s">
        <v>441</v>
      </c>
      <c r="B94" s="631"/>
      <c r="C94" s="631"/>
      <c r="D94" s="631"/>
      <c r="E94" s="631"/>
      <c r="F94" s="632"/>
      <c r="G94" s="584" t="s">
        <v>870</v>
      </c>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5"/>
      <c r="AL94" s="585"/>
      <c r="AM94" s="585"/>
      <c r="AN94" s="585"/>
      <c r="AO94" s="585"/>
      <c r="AP94" s="585"/>
      <c r="AQ94" s="585"/>
      <c r="AR94" s="585"/>
      <c r="AS94" s="585"/>
      <c r="AT94" s="585"/>
      <c r="AU94" s="585"/>
      <c r="AV94" s="585"/>
      <c r="AW94" s="585"/>
      <c r="AX94" s="586"/>
      <c r="AY94" s="544">
        <v>1</v>
      </c>
      <c r="AZ94" s="545"/>
      <c r="BA94" s="545"/>
      <c r="BB94" s="545"/>
      <c r="BC94" s="545"/>
      <c r="BD94" s="545"/>
      <c r="BE94" s="545"/>
      <c r="BF94" s="545"/>
      <c r="BG94" s="545"/>
      <c r="BH94" s="545"/>
      <c r="BI94" s="545"/>
      <c r="BJ94" s="545"/>
      <c r="BK94" s="545"/>
      <c r="BL94" s="545"/>
      <c r="BM94" s="545"/>
      <c r="BN94" s="545"/>
      <c r="BO94" s="545"/>
      <c r="BP94" s="546"/>
      <c r="BQ94" s="627">
        <v>10000</v>
      </c>
      <c r="BR94" s="628"/>
      <c r="BS94" s="628"/>
      <c r="BT94" s="628"/>
      <c r="BU94" s="628"/>
      <c r="BV94" s="628"/>
      <c r="BW94" s="628"/>
      <c r="BX94" s="628"/>
      <c r="BY94" s="628"/>
      <c r="BZ94" s="628"/>
      <c r="CA94" s="628"/>
      <c r="CB94" s="628"/>
      <c r="CC94" s="628"/>
      <c r="CD94" s="628"/>
      <c r="CE94" s="628"/>
      <c r="CF94" s="628"/>
      <c r="CG94" s="628"/>
      <c r="CH94" s="629"/>
      <c r="CI94" s="627">
        <f>BQ94*AY94</f>
        <v>10000</v>
      </c>
      <c r="CJ94" s="628"/>
      <c r="CK94" s="628"/>
      <c r="CL94" s="628"/>
      <c r="CM94" s="628"/>
      <c r="CN94" s="628"/>
      <c r="CO94" s="628"/>
      <c r="CP94" s="628"/>
      <c r="CQ94" s="628"/>
      <c r="CR94" s="628"/>
      <c r="CS94" s="628"/>
      <c r="CT94" s="628"/>
      <c r="CU94" s="628"/>
      <c r="CV94" s="628"/>
      <c r="CW94" s="628"/>
      <c r="CX94" s="628"/>
      <c r="CY94" s="628"/>
      <c r="CZ94" s="629"/>
      <c r="DA94" s="214"/>
    </row>
    <row r="95" spans="1:106" s="16" customFormat="1" ht="15" customHeight="1" x14ac:dyDescent="0.3">
      <c r="A95" s="633" t="s">
        <v>292</v>
      </c>
      <c r="B95" s="634"/>
      <c r="C95" s="634"/>
      <c r="D95" s="63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5"/>
      <c r="AY95" s="544" t="s">
        <v>4</v>
      </c>
      <c r="AZ95" s="545"/>
      <c r="BA95" s="545"/>
      <c r="BB95" s="545"/>
      <c r="BC95" s="545"/>
      <c r="BD95" s="545"/>
      <c r="BE95" s="545"/>
      <c r="BF95" s="545"/>
      <c r="BG95" s="545"/>
      <c r="BH95" s="545"/>
      <c r="BI95" s="545"/>
      <c r="BJ95" s="545"/>
      <c r="BK95" s="545"/>
      <c r="BL95" s="545"/>
      <c r="BM95" s="545"/>
      <c r="BN95" s="545"/>
      <c r="BO95" s="545"/>
      <c r="BP95" s="546"/>
      <c r="BQ95" s="544" t="s">
        <v>4</v>
      </c>
      <c r="BR95" s="545"/>
      <c r="BS95" s="545"/>
      <c r="BT95" s="545"/>
      <c r="BU95" s="545"/>
      <c r="BV95" s="545"/>
      <c r="BW95" s="545"/>
      <c r="BX95" s="545"/>
      <c r="BY95" s="545"/>
      <c r="BZ95" s="545"/>
      <c r="CA95" s="545"/>
      <c r="CB95" s="545"/>
      <c r="CC95" s="545"/>
      <c r="CD95" s="545"/>
      <c r="CE95" s="545"/>
      <c r="CF95" s="545"/>
      <c r="CG95" s="545"/>
      <c r="CH95" s="546"/>
      <c r="CI95" s="636">
        <f>CI94</f>
        <v>10000</v>
      </c>
      <c r="CJ95" s="654"/>
      <c r="CK95" s="654"/>
      <c r="CL95" s="654"/>
      <c r="CM95" s="654"/>
      <c r="CN95" s="654"/>
      <c r="CO95" s="654"/>
      <c r="CP95" s="654"/>
      <c r="CQ95" s="654"/>
      <c r="CR95" s="654"/>
      <c r="CS95" s="654"/>
      <c r="CT95" s="654"/>
      <c r="CU95" s="654"/>
      <c r="CV95" s="654"/>
      <c r="CW95" s="654"/>
      <c r="CX95" s="654"/>
      <c r="CY95" s="654"/>
      <c r="CZ95" s="655"/>
      <c r="DA95" s="214"/>
    </row>
    <row r="96" spans="1:106" s="16" customFormat="1" ht="15" customHeight="1" x14ac:dyDescent="0.3">
      <c r="A96" s="630"/>
      <c r="B96" s="631"/>
      <c r="C96" s="631"/>
      <c r="D96" s="631"/>
      <c r="E96" s="631"/>
      <c r="F96" s="632"/>
      <c r="G96" s="630" t="s">
        <v>56</v>
      </c>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2"/>
      <c r="AY96" s="544" t="s">
        <v>4</v>
      </c>
      <c r="AZ96" s="545"/>
      <c r="BA96" s="545"/>
      <c r="BB96" s="545"/>
      <c r="BC96" s="545"/>
      <c r="BD96" s="545"/>
      <c r="BE96" s="545"/>
      <c r="BF96" s="545"/>
      <c r="BG96" s="545"/>
      <c r="BH96" s="545"/>
      <c r="BI96" s="545"/>
      <c r="BJ96" s="545"/>
      <c r="BK96" s="545"/>
      <c r="BL96" s="545"/>
      <c r="BM96" s="545"/>
      <c r="BN96" s="545"/>
      <c r="BO96" s="545"/>
      <c r="BP96" s="546"/>
      <c r="BQ96" s="544" t="s">
        <v>4</v>
      </c>
      <c r="BR96" s="545"/>
      <c r="BS96" s="545"/>
      <c r="BT96" s="545"/>
      <c r="BU96" s="545"/>
      <c r="BV96" s="545"/>
      <c r="BW96" s="545"/>
      <c r="BX96" s="545"/>
      <c r="BY96" s="545"/>
      <c r="BZ96" s="545"/>
      <c r="CA96" s="545"/>
      <c r="CB96" s="545"/>
      <c r="CC96" s="545"/>
      <c r="CD96" s="545"/>
      <c r="CE96" s="545"/>
      <c r="CF96" s="545"/>
      <c r="CG96" s="545"/>
      <c r="CH96" s="546"/>
      <c r="CI96" s="636">
        <f>CI95</f>
        <v>10000</v>
      </c>
      <c r="CJ96" s="654"/>
      <c r="CK96" s="654"/>
      <c r="CL96" s="654"/>
      <c r="CM96" s="654"/>
      <c r="CN96" s="654"/>
      <c r="CO96" s="654"/>
      <c r="CP96" s="654"/>
      <c r="CQ96" s="654"/>
      <c r="CR96" s="654"/>
      <c r="CS96" s="654"/>
      <c r="CT96" s="654"/>
      <c r="CU96" s="654"/>
      <c r="CV96" s="654"/>
      <c r="CW96" s="654"/>
      <c r="CX96" s="654"/>
      <c r="CY96" s="654"/>
      <c r="CZ96" s="655"/>
      <c r="DA96" s="214"/>
    </row>
    <row r="97" spans="1:105" s="16" customFormat="1" ht="15" customHeight="1"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9"/>
      <c r="CJ97" s="229"/>
      <c r="CK97" s="229"/>
      <c r="CL97" s="229"/>
      <c r="CM97" s="229"/>
      <c r="CN97" s="229"/>
      <c r="CO97" s="229"/>
      <c r="CP97" s="229"/>
      <c r="CQ97" s="229"/>
      <c r="CR97" s="229"/>
      <c r="CS97" s="229"/>
      <c r="CT97" s="229"/>
      <c r="CU97" s="229"/>
      <c r="CV97" s="229"/>
      <c r="CW97" s="229"/>
      <c r="CX97" s="229"/>
      <c r="CY97" s="229"/>
      <c r="CZ97" s="229"/>
      <c r="DA97" s="220">
        <f>CI96</f>
        <v>10000</v>
      </c>
    </row>
    <row r="98" spans="1:105" s="20" customFormat="1" ht="26.4" customHeight="1" x14ac:dyDescent="0.25">
      <c r="A98" s="524" t="s">
        <v>376</v>
      </c>
      <c r="B98" s="524"/>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4"/>
      <c r="AZ98" s="524"/>
      <c r="BA98" s="524"/>
      <c r="BB98" s="524"/>
      <c r="BC98" s="524"/>
      <c r="BD98" s="524"/>
      <c r="BE98" s="524"/>
      <c r="BF98" s="524"/>
      <c r="BG98" s="524"/>
      <c r="BH98" s="524"/>
      <c r="BI98" s="524"/>
      <c r="BJ98" s="524"/>
      <c r="BK98" s="524"/>
      <c r="BL98" s="524"/>
      <c r="BM98" s="524"/>
      <c r="BN98" s="524"/>
      <c r="BO98" s="524"/>
      <c r="BP98" s="524"/>
      <c r="BQ98" s="524"/>
      <c r="BR98" s="524"/>
      <c r="BS98" s="524"/>
      <c r="BT98" s="524"/>
      <c r="BU98" s="524"/>
      <c r="BV98" s="524"/>
      <c r="BW98" s="524"/>
      <c r="BX98" s="524"/>
      <c r="BY98" s="524"/>
      <c r="BZ98" s="524"/>
      <c r="CA98" s="524"/>
      <c r="CB98" s="524"/>
      <c r="CC98" s="524"/>
      <c r="CD98" s="524"/>
      <c r="CE98" s="524"/>
      <c r="CF98" s="524"/>
      <c r="CG98" s="524"/>
      <c r="CH98" s="524"/>
      <c r="CI98" s="524"/>
      <c r="CJ98" s="524"/>
      <c r="CK98" s="524"/>
      <c r="CL98" s="524"/>
      <c r="CM98" s="524"/>
      <c r="CN98" s="524"/>
      <c r="CO98" s="524"/>
      <c r="CP98" s="524"/>
      <c r="CQ98" s="524"/>
      <c r="CR98" s="524"/>
      <c r="CS98" s="524"/>
      <c r="CT98" s="524"/>
      <c r="CU98" s="524"/>
      <c r="CV98" s="524"/>
      <c r="CW98" s="524"/>
      <c r="CX98" s="524"/>
      <c r="CY98" s="524"/>
      <c r="CZ98" s="524"/>
    </row>
    <row r="99" spans="1:105" s="20" customFormat="1" ht="9.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5" s="20" customFormat="1" x14ac:dyDescent="0.25">
      <c r="A100" s="20" t="s">
        <v>47</v>
      </c>
      <c r="W100" s="595" t="s">
        <v>553</v>
      </c>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595"/>
      <c r="BV100" s="595"/>
      <c r="BW100" s="595"/>
      <c r="BX100" s="595"/>
      <c r="BY100" s="595"/>
      <c r="BZ100" s="595"/>
      <c r="CA100" s="595"/>
      <c r="CB100" s="595"/>
      <c r="CC100" s="595"/>
      <c r="CD100" s="595"/>
      <c r="CE100" s="595"/>
      <c r="CF100" s="595"/>
      <c r="CG100" s="595"/>
      <c r="CH100" s="595"/>
      <c r="CI100" s="595"/>
      <c r="CJ100" s="595"/>
      <c r="CK100" s="595"/>
      <c r="CL100" s="595"/>
      <c r="CM100" s="595"/>
      <c r="CN100" s="595"/>
      <c r="CO100" s="595"/>
      <c r="CP100" s="595"/>
      <c r="CQ100" s="595"/>
      <c r="CR100" s="595"/>
      <c r="CS100" s="595"/>
      <c r="CT100" s="595"/>
      <c r="CU100" s="595"/>
      <c r="CV100" s="595"/>
      <c r="CW100" s="595"/>
      <c r="CX100" s="595"/>
      <c r="CY100" s="595"/>
      <c r="CZ100" s="595"/>
      <c r="DA100" s="230">
        <v>213.21100000000001</v>
      </c>
    </row>
    <row r="101" spans="1:105" s="20" customFormat="1" ht="15.6" customHeight="1" x14ac:dyDescent="0.25"/>
    <row r="102" spans="1:105" ht="55.5" customHeight="1" x14ac:dyDescent="0.25">
      <c r="A102" s="475" t="s">
        <v>49</v>
      </c>
      <c r="B102" s="476"/>
      <c r="C102" s="476"/>
      <c r="D102" s="476"/>
      <c r="E102" s="476"/>
      <c r="F102" s="477"/>
      <c r="G102" s="475" t="s">
        <v>64</v>
      </c>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476"/>
      <c r="BT102" s="476"/>
      <c r="BU102" s="477"/>
      <c r="BV102" s="475" t="s">
        <v>65</v>
      </c>
      <c r="BW102" s="476"/>
      <c r="BX102" s="476"/>
      <c r="BY102" s="476"/>
      <c r="BZ102" s="476"/>
      <c r="CA102" s="476"/>
      <c r="CB102" s="476"/>
      <c r="CC102" s="476"/>
      <c r="CD102" s="476"/>
      <c r="CE102" s="476"/>
      <c r="CF102" s="476"/>
      <c r="CG102" s="476"/>
      <c r="CH102" s="476"/>
      <c r="CI102" s="476"/>
      <c r="CJ102" s="476"/>
      <c r="CK102" s="477"/>
      <c r="CL102" s="475" t="s">
        <v>66</v>
      </c>
      <c r="CM102" s="476"/>
      <c r="CN102" s="476"/>
      <c r="CO102" s="476"/>
      <c r="CP102" s="476"/>
      <c r="CQ102" s="476"/>
      <c r="CR102" s="476"/>
      <c r="CS102" s="476"/>
      <c r="CT102" s="476"/>
      <c r="CU102" s="476"/>
      <c r="CV102" s="476"/>
      <c r="CW102" s="476"/>
      <c r="CX102" s="476"/>
      <c r="CY102" s="476"/>
      <c r="CZ102" s="476"/>
    </row>
    <row r="103" spans="1:105" s="17" customFormat="1" ht="13.2" x14ac:dyDescent="0.25">
      <c r="A103" s="661">
        <v>1</v>
      </c>
      <c r="B103" s="662"/>
      <c r="C103" s="662"/>
      <c r="D103" s="662"/>
      <c r="E103" s="662"/>
      <c r="F103" s="663"/>
      <c r="G103" s="661">
        <v>2</v>
      </c>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2"/>
      <c r="AY103" s="662"/>
      <c r="AZ103" s="662"/>
      <c r="BA103" s="662"/>
      <c r="BB103" s="662"/>
      <c r="BC103" s="662"/>
      <c r="BD103" s="662"/>
      <c r="BE103" s="662"/>
      <c r="BF103" s="662"/>
      <c r="BG103" s="662"/>
      <c r="BH103" s="662"/>
      <c r="BI103" s="662"/>
      <c r="BJ103" s="662"/>
      <c r="BK103" s="662"/>
      <c r="BL103" s="662"/>
      <c r="BM103" s="662"/>
      <c r="BN103" s="662"/>
      <c r="BO103" s="662"/>
      <c r="BP103" s="662"/>
      <c r="BQ103" s="662"/>
      <c r="BR103" s="662"/>
      <c r="BS103" s="662"/>
      <c r="BT103" s="662"/>
      <c r="BU103" s="663"/>
      <c r="BV103" s="661">
        <v>3</v>
      </c>
      <c r="BW103" s="662"/>
      <c r="BX103" s="662"/>
      <c r="BY103" s="662"/>
      <c r="BZ103" s="662"/>
      <c r="CA103" s="662"/>
      <c r="CB103" s="662"/>
      <c r="CC103" s="662"/>
      <c r="CD103" s="662"/>
      <c r="CE103" s="662"/>
      <c r="CF103" s="662"/>
      <c r="CG103" s="662"/>
      <c r="CH103" s="662"/>
      <c r="CI103" s="662"/>
      <c r="CJ103" s="662"/>
      <c r="CK103" s="663"/>
      <c r="CL103" s="661">
        <v>4</v>
      </c>
      <c r="CM103" s="662"/>
      <c r="CN103" s="662"/>
      <c r="CO103" s="662"/>
      <c r="CP103" s="662"/>
      <c r="CQ103" s="662"/>
      <c r="CR103" s="662"/>
      <c r="CS103" s="662"/>
      <c r="CT103" s="662"/>
      <c r="CU103" s="662"/>
      <c r="CV103" s="662"/>
      <c r="CW103" s="662"/>
      <c r="CX103" s="662"/>
      <c r="CY103" s="662"/>
      <c r="CZ103" s="663"/>
      <c r="DA103" s="232"/>
    </row>
    <row r="104" spans="1:105" s="16" customFormat="1" ht="15" customHeight="1" x14ac:dyDescent="0.3">
      <c r="A104" s="648" t="s">
        <v>569</v>
      </c>
      <c r="B104" s="649"/>
      <c r="C104" s="649"/>
      <c r="D104" s="649"/>
      <c r="E104" s="649"/>
      <c r="F104" s="649"/>
      <c r="G104" s="649"/>
      <c r="H104" s="649"/>
      <c r="I104" s="649"/>
      <c r="J104" s="649"/>
      <c r="K104" s="649"/>
      <c r="L104" s="649"/>
      <c r="M104" s="649"/>
      <c r="N104" s="649"/>
      <c r="O104" s="649"/>
      <c r="P104" s="649"/>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49"/>
      <c r="BA104" s="649"/>
      <c r="BB104" s="649"/>
      <c r="BC104" s="649"/>
      <c r="BD104" s="649"/>
      <c r="BE104" s="649"/>
      <c r="BF104" s="649"/>
      <c r="BG104" s="649"/>
      <c r="BH104" s="649"/>
      <c r="BI104" s="649"/>
      <c r="BJ104" s="649"/>
      <c r="BK104" s="649"/>
      <c r="BL104" s="649"/>
      <c r="BM104" s="649"/>
      <c r="BN104" s="649"/>
      <c r="BO104" s="649"/>
      <c r="BP104" s="649"/>
      <c r="BQ104" s="649"/>
      <c r="BR104" s="649"/>
      <c r="BS104" s="649"/>
      <c r="BT104" s="649"/>
      <c r="BU104" s="649"/>
      <c r="BV104" s="649"/>
      <c r="BW104" s="649"/>
      <c r="BX104" s="649"/>
      <c r="BY104" s="649"/>
      <c r="BZ104" s="649"/>
      <c r="CA104" s="649"/>
      <c r="CB104" s="649"/>
      <c r="CC104" s="649"/>
      <c r="CD104" s="649"/>
      <c r="CE104" s="649"/>
      <c r="CF104" s="649"/>
      <c r="CG104" s="649"/>
      <c r="CH104" s="649"/>
      <c r="CI104" s="649"/>
      <c r="CJ104" s="649"/>
      <c r="CK104" s="649"/>
      <c r="CL104" s="649"/>
      <c r="CM104" s="649"/>
      <c r="CN104" s="649"/>
      <c r="CO104" s="649"/>
      <c r="CP104" s="649"/>
      <c r="CQ104" s="649"/>
      <c r="CR104" s="649"/>
      <c r="CS104" s="649"/>
      <c r="CT104" s="649"/>
      <c r="CU104" s="649"/>
      <c r="CV104" s="649"/>
      <c r="CW104" s="649"/>
      <c r="CX104" s="649"/>
      <c r="CY104" s="649"/>
      <c r="CZ104" s="649"/>
      <c r="DA104" s="214"/>
    </row>
    <row r="105" spans="1:105" ht="40.950000000000003" customHeight="1" x14ac:dyDescent="0.25">
      <c r="A105" s="630" t="s">
        <v>67</v>
      </c>
      <c r="B105" s="631"/>
      <c r="C105" s="631"/>
      <c r="D105" s="631"/>
      <c r="E105" s="631"/>
      <c r="F105" s="632"/>
      <c r="G105" s="213"/>
      <c r="H105" s="585" t="s">
        <v>369</v>
      </c>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5"/>
      <c r="AZ105" s="585"/>
      <c r="BA105" s="585"/>
      <c r="BB105" s="585"/>
      <c r="BC105" s="585"/>
      <c r="BD105" s="585"/>
      <c r="BE105" s="585"/>
      <c r="BF105" s="585"/>
      <c r="BG105" s="585"/>
      <c r="BH105" s="585"/>
      <c r="BI105" s="585"/>
      <c r="BJ105" s="585"/>
      <c r="BK105" s="585"/>
      <c r="BL105" s="585"/>
      <c r="BM105" s="585"/>
      <c r="BN105" s="585"/>
      <c r="BO105" s="585"/>
      <c r="BP105" s="585"/>
      <c r="BQ105" s="585"/>
      <c r="BR105" s="585"/>
      <c r="BS105" s="585"/>
      <c r="BT105" s="585"/>
      <c r="BU105" s="586"/>
      <c r="BV105" s="544" t="s">
        <v>4</v>
      </c>
      <c r="BW105" s="545"/>
      <c r="BX105" s="545"/>
      <c r="BY105" s="545"/>
      <c r="BZ105" s="545"/>
      <c r="CA105" s="545"/>
      <c r="CB105" s="545"/>
      <c r="CC105" s="545"/>
      <c r="CD105" s="545"/>
      <c r="CE105" s="545"/>
      <c r="CF105" s="545"/>
      <c r="CG105" s="545"/>
      <c r="CH105" s="545"/>
      <c r="CI105" s="545"/>
      <c r="CJ105" s="545"/>
      <c r="CK105" s="546"/>
      <c r="CL105" s="636">
        <f>CL106+CL108</f>
        <v>26043995.028000001</v>
      </c>
      <c r="CM105" s="654"/>
      <c r="CN105" s="654"/>
      <c r="CO105" s="654"/>
      <c r="CP105" s="654"/>
      <c r="CQ105" s="654"/>
      <c r="CR105" s="654"/>
      <c r="CS105" s="654"/>
      <c r="CT105" s="654"/>
      <c r="CU105" s="654"/>
      <c r="CV105" s="654"/>
      <c r="CW105" s="654"/>
      <c r="CX105" s="654"/>
      <c r="CY105" s="654"/>
      <c r="CZ105" s="655"/>
    </row>
    <row r="106" spans="1:105" s="17" customFormat="1" ht="12.75" customHeight="1" x14ac:dyDescent="0.25">
      <c r="A106" s="709" t="s">
        <v>68</v>
      </c>
      <c r="B106" s="710"/>
      <c r="C106" s="710"/>
      <c r="D106" s="710"/>
      <c r="E106" s="710"/>
      <c r="F106" s="711"/>
      <c r="G106" s="233"/>
      <c r="H106" s="707" t="s">
        <v>3</v>
      </c>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c r="BA106" s="707"/>
      <c r="BB106" s="707"/>
      <c r="BC106" s="707"/>
      <c r="BD106" s="707"/>
      <c r="BE106" s="707"/>
      <c r="BF106" s="707"/>
      <c r="BG106" s="707"/>
      <c r="BH106" s="707"/>
      <c r="BI106" s="707"/>
      <c r="BJ106" s="707"/>
      <c r="BK106" s="707"/>
      <c r="BL106" s="707"/>
      <c r="BM106" s="707"/>
      <c r="BN106" s="707"/>
      <c r="BO106" s="707"/>
      <c r="BP106" s="707"/>
      <c r="BQ106" s="707"/>
      <c r="BR106" s="707"/>
      <c r="BS106" s="707"/>
      <c r="BT106" s="707"/>
      <c r="BU106" s="708"/>
      <c r="BV106" s="717">
        <f>BV111</f>
        <v>86813316.760000005</v>
      </c>
      <c r="BW106" s="718"/>
      <c r="BX106" s="718"/>
      <c r="BY106" s="718"/>
      <c r="BZ106" s="718"/>
      <c r="CA106" s="718"/>
      <c r="CB106" s="718"/>
      <c r="CC106" s="718"/>
      <c r="CD106" s="718"/>
      <c r="CE106" s="718"/>
      <c r="CF106" s="718"/>
      <c r="CG106" s="718"/>
      <c r="CH106" s="718"/>
      <c r="CI106" s="718"/>
      <c r="CJ106" s="718"/>
      <c r="CK106" s="719"/>
      <c r="CL106" s="717">
        <f>BV106*30%</f>
        <v>26043995.028000001</v>
      </c>
      <c r="CM106" s="718"/>
      <c r="CN106" s="718"/>
      <c r="CO106" s="718"/>
      <c r="CP106" s="718"/>
      <c r="CQ106" s="718"/>
      <c r="CR106" s="718"/>
      <c r="CS106" s="718"/>
      <c r="CT106" s="718"/>
      <c r="CU106" s="718"/>
      <c r="CV106" s="718"/>
      <c r="CW106" s="718"/>
      <c r="CX106" s="718"/>
      <c r="CY106" s="718"/>
      <c r="CZ106" s="719"/>
      <c r="DA106" s="232"/>
    </row>
    <row r="107" spans="1:105" s="17" customFormat="1" ht="12.75" customHeight="1" x14ac:dyDescent="0.25">
      <c r="A107" s="712"/>
      <c r="B107" s="713"/>
      <c r="C107" s="713"/>
      <c r="D107" s="713"/>
      <c r="E107" s="713"/>
      <c r="F107" s="714"/>
      <c r="G107" s="234"/>
      <c r="H107" s="707" t="s">
        <v>370</v>
      </c>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8"/>
      <c r="BV107" s="720"/>
      <c r="BW107" s="721"/>
      <c r="BX107" s="721"/>
      <c r="BY107" s="721"/>
      <c r="BZ107" s="721"/>
      <c r="CA107" s="721"/>
      <c r="CB107" s="721"/>
      <c r="CC107" s="721"/>
      <c r="CD107" s="721"/>
      <c r="CE107" s="721"/>
      <c r="CF107" s="721"/>
      <c r="CG107" s="721"/>
      <c r="CH107" s="721"/>
      <c r="CI107" s="721"/>
      <c r="CJ107" s="721"/>
      <c r="CK107" s="722"/>
      <c r="CL107" s="720"/>
      <c r="CM107" s="721"/>
      <c r="CN107" s="721"/>
      <c r="CO107" s="721"/>
      <c r="CP107" s="721"/>
      <c r="CQ107" s="721"/>
      <c r="CR107" s="721"/>
      <c r="CS107" s="721"/>
      <c r="CT107" s="721"/>
      <c r="CU107" s="721"/>
      <c r="CV107" s="721"/>
      <c r="CW107" s="721"/>
      <c r="CX107" s="721"/>
      <c r="CY107" s="721"/>
      <c r="CZ107" s="722"/>
      <c r="DA107" s="232"/>
    </row>
    <row r="108" spans="1:105" s="17" customFormat="1" ht="13.5" customHeight="1" x14ac:dyDescent="0.25">
      <c r="A108" s="630" t="s">
        <v>69</v>
      </c>
      <c r="B108" s="631"/>
      <c r="C108" s="631"/>
      <c r="D108" s="631"/>
      <c r="E108" s="631"/>
      <c r="F108" s="632"/>
      <c r="G108" s="213"/>
      <c r="H108" s="707" t="s">
        <v>371</v>
      </c>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8"/>
      <c r="BV108" s="547">
        <v>0</v>
      </c>
      <c r="BW108" s="548"/>
      <c r="BX108" s="548"/>
      <c r="BY108" s="548"/>
      <c r="BZ108" s="548"/>
      <c r="CA108" s="548"/>
      <c r="CB108" s="548"/>
      <c r="CC108" s="548"/>
      <c r="CD108" s="548"/>
      <c r="CE108" s="548"/>
      <c r="CF108" s="548"/>
      <c r="CG108" s="548"/>
      <c r="CH108" s="548"/>
      <c r="CI108" s="548"/>
      <c r="CJ108" s="548"/>
      <c r="CK108" s="549"/>
      <c r="CL108" s="547">
        <f>BV108*10%</f>
        <v>0</v>
      </c>
      <c r="CM108" s="548"/>
      <c r="CN108" s="548"/>
      <c r="CO108" s="548"/>
      <c r="CP108" s="548"/>
      <c r="CQ108" s="548"/>
      <c r="CR108" s="548"/>
      <c r="CS108" s="548"/>
      <c r="CT108" s="548"/>
      <c r="CU108" s="548"/>
      <c r="CV108" s="548"/>
      <c r="CW108" s="548"/>
      <c r="CX108" s="548"/>
      <c r="CY108" s="548"/>
      <c r="CZ108" s="549"/>
      <c r="DA108" s="232"/>
    </row>
    <row r="109" spans="1:105" s="17" customFormat="1" ht="26.25" customHeight="1" x14ac:dyDescent="0.25">
      <c r="A109" s="630" t="s">
        <v>70</v>
      </c>
      <c r="B109" s="631"/>
      <c r="C109" s="631"/>
      <c r="D109" s="631"/>
      <c r="E109" s="631"/>
      <c r="F109" s="632"/>
      <c r="G109" s="213"/>
      <c r="H109" s="707" t="s">
        <v>557</v>
      </c>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8"/>
      <c r="BV109" s="547"/>
      <c r="BW109" s="548"/>
      <c r="BX109" s="548"/>
      <c r="BY109" s="548"/>
      <c r="BZ109" s="548"/>
      <c r="CA109" s="548"/>
      <c r="CB109" s="548"/>
      <c r="CC109" s="548"/>
      <c r="CD109" s="548"/>
      <c r="CE109" s="548"/>
      <c r="CF109" s="548"/>
      <c r="CG109" s="548"/>
      <c r="CH109" s="548"/>
      <c r="CI109" s="548"/>
      <c r="CJ109" s="548"/>
      <c r="CK109" s="549"/>
      <c r="CL109" s="547"/>
      <c r="CM109" s="548"/>
      <c r="CN109" s="548"/>
      <c r="CO109" s="548"/>
      <c r="CP109" s="548"/>
      <c r="CQ109" s="548"/>
      <c r="CR109" s="548"/>
      <c r="CS109" s="548"/>
      <c r="CT109" s="548"/>
      <c r="CU109" s="548"/>
      <c r="CV109" s="548"/>
      <c r="CW109" s="548"/>
      <c r="CX109" s="548"/>
      <c r="CY109" s="548"/>
      <c r="CZ109" s="549"/>
      <c r="DA109" s="235"/>
    </row>
    <row r="110" spans="1:105" s="17" customFormat="1" ht="26.25" customHeight="1" x14ac:dyDescent="0.25">
      <c r="A110" s="630" t="s">
        <v>71</v>
      </c>
      <c r="B110" s="631"/>
      <c r="C110" s="631"/>
      <c r="D110" s="631"/>
      <c r="E110" s="631"/>
      <c r="F110" s="632"/>
      <c r="G110" s="213"/>
      <c r="H110" s="585" t="s">
        <v>822</v>
      </c>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5"/>
      <c r="AW110" s="585"/>
      <c r="AX110" s="585"/>
      <c r="AY110" s="585"/>
      <c r="AZ110" s="585"/>
      <c r="BA110" s="585"/>
      <c r="BB110" s="585"/>
      <c r="BC110" s="585"/>
      <c r="BD110" s="585"/>
      <c r="BE110" s="585"/>
      <c r="BF110" s="585"/>
      <c r="BG110" s="585"/>
      <c r="BH110" s="585"/>
      <c r="BI110" s="585"/>
      <c r="BJ110" s="585"/>
      <c r="BK110" s="585"/>
      <c r="BL110" s="585"/>
      <c r="BM110" s="585"/>
      <c r="BN110" s="585"/>
      <c r="BO110" s="585"/>
      <c r="BP110" s="585"/>
      <c r="BQ110" s="585"/>
      <c r="BR110" s="585"/>
      <c r="BS110" s="585"/>
      <c r="BT110" s="585"/>
      <c r="BU110" s="586"/>
      <c r="BV110" s="547" t="s">
        <v>4</v>
      </c>
      <c r="BW110" s="548"/>
      <c r="BX110" s="548"/>
      <c r="BY110" s="548"/>
      <c r="BZ110" s="548"/>
      <c r="CA110" s="548"/>
      <c r="CB110" s="548"/>
      <c r="CC110" s="548"/>
      <c r="CD110" s="548"/>
      <c r="CE110" s="548"/>
      <c r="CF110" s="548"/>
      <c r="CG110" s="548"/>
      <c r="CH110" s="548"/>
      <c r="CI110" s="548"/>
      <c r="CJ110" s="548"/>
      <c r="CK110" s="549"/>
      <c r="CL110" s="767">
        <f>CL111+CL114</f>
        <v>173626.63352</v>
      </c>
      <c r="CM110" s="768"/>
      <c r="CN110" s="768"/>
      <c r="CO110" s="768"/>
      <c r="CP110" s="768"/>
      <c r="CQ110" s="768"/>
      <c r="CR110" s="768"/>
      <c r="CS110" s="768"/>
      <c r="CT110" s="768"/>
      <c r="CU110" s="768"/>
      <c r="CV110" s="768"/>
      <c r="CW110" s="768"/>
      <c r="CX110" s="768"/>
      <c r="CY110" s="768"/>
      <c r="CZ110" s="769"/>
      <c r="DA110" s="232"/>
    </row>
    <row r="111" spans="1:105" s="17" customFormat="1" ht="12.75" customHeight="1" x14ac:dyDescent="0.25">
      <c r="A111" s="709" t="s">
        <v>72</v>
      </c>
      <c r="B111" s="710"/>
      <c r="C111" s="710"/>
      <c r="D111" s="710"/>
      <c r="E111" s="710"/>
      <c r="F111" s="711"/>
      <c r="G111" s="233"/>
      <c r="H111" s="707" t="s">
        <v>3</v>
      </c>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8"/>
      <c r="BV111" s="717">
        <v>86813316.760000005</v>
      </c>
      <c r="BW111" s="718"/>
      <c r="BX111" s="718"/>
      <c r="BY111" s="718"/>
      <c r="BZ111" s="718"/>
      <c r="CA111" s="718"/>
      <c r="CB111" s="718"/>
      <c r="CC111" s="718"/>
      <c r="CD111" s="718"/>
      <c r="CE111" s="718"/>
      <c r="CF111" s="718"/>
      <c r="CG111" s="718"/>
      <c r="CH111" s="718"/>
      <c r="CI111" s="718"/>
      <c r="CJ111" s="718"/>
      <c r="CK111" s="719"/>
      <c r="CL111" s="717">
        <f>BV111*0.2%</f>
        <v>173626.63352</v>
      </c>
      <c r="CM111" s="718"/>
      <c r="CN111" s="718"/>
      <c r="CO111" s="718"/>
      <c r="CP111" s="718"/>
      <c r="CQ111" s="718"/>
      <c r="CR111" s="718"/>
      <c r="CS111" s="718"/>
      <c r="CT111" s="718"/>
      <c r="CU111" s="718"/>
      <c r="CV111" s="718"/>
      <c r="CW111" s="718"/>
      <c r="CX111" s="718"/>
      <c r="CY111" s="718"/>
      <c r="CZ111" s="719"/>
      <c r="DA111" s="232"/>
    </row>
    <row r="112" spans="1:105" s="17" customFormat="1" ht="13.2" customHeight="1" x14ac:dyDescent="0.25">
      <c r="A112" s="712"/>
      <c r="B112" s="713"/>
      <c r="C112" s="713"/>
      <c r="D112" s="713"/>
      <c r="E112" s="713"/>
      <c r="F112" s="714"/>
      <c r="G112" s="234"/>
      <c r="H112" s="707" t="s">
        <v>374</v>
      </c>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8"/>
      <c r="BV112" s="720"/>
      <c r="BW112" s="721"/>
      <c r="BX112" s="721"/>
      <c r="BY112" s="721"/>
      <c r="BZ112" s="721"/>
      <c r="CA112" s="721"/>
      <c r="CB112" s="721"/>
      <c r="CC112" s="721"/>
      <c r="CD112" s="721"/>
      <c r="CE112" s="721"/>
      <c r="CF112" s="721"/>
      <c r="CG112" s="721"/>
      <c r="CH112" s="721"/>
      <c r="CI112" s="721"/>
      <c r="CJ112" s="721"/>
      <c r="CK112" s="722"/>
      <c r="CL112" s="720"/>
      <c r="CM112" s="721"/>
      <c r="CN112" s="721"/>
      <c r="CO112" s="721"/>
      <c r="CP112" s="721"/>
      <c r="CQ112" s="721"/>
      <c r="CR112" s="721"/>
      <c r="CS112" s="721"/>
      <c r="CT112" s="721"/>
      <c r="CU112" s="721"/>
      <c r="CV112" s="721"/>
      <c r="CW112" s="721"/>
      <c r="CX112" s="721"/>
      <c r="CY112" s="721"/>
      <c r="CZ112" s="722"/>
      <c r="DA112" s="232"/>
    </row>
    <row r="113" spans="1:106" s="17" customFormat="1" ht="13.2" customHeight="1" x14ac:dyDescent="0.25">
      <c r="A113" s="630" t="s">
        <v>73</v>
      </c>
      <c r="B113" s="631"/>
      <c r="C113" s="631"/>
      <c r="D113" s="631"/>
      <c r="E113" s="631"/>
      <c r="F113" s="632"/>
      <c r="G113" s="213"/>
      <c r="H113" s="707" t="s">
        <v>375</v>
      </c>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8"/>
      <c r="BV113" s="547">
        <v>0</v>
      </c>
      <c r="BW113" s="548"/>
      <c r="BX113" s="548"/>
      <c r="BY113" s="548"/>
      <c r="BZ113" s="548"/>
      <c r="CA113" s="548"/>
      <c r="CB113" s="548"/>
      <c r="CC113" s="548"/>
      <c r="CD113" s="548"/>
      <c r="CE113" s="548"/>
      <c r="CF113" s="548"/>
      <c r="CG113" s="548"/>
      <c r="CH113" s="548"/>
      <c r="CI113" s="548"/>
      <c r="CJ113" s="548"/>
      <c r="CK113" s="549"/>
      <c r="CL113" s="547"/>
      <c r="CM113" s="548"/>
      <c r="CN113" s="548"/>
      <c r="CO113" s="548"/>
      <c r="CP113" s="548"/>
      <c r="CQ113" s="548"/>
      <c r="CR113" s="548"/>
      <c r="CS113" s="548"/>
      <c r="CT113" s="548"/>
      <c r="CU113" s="548"/>
      <c r="CV113" s="548"/>
      <c r="CW113" s="548"/>
      <c r="CX113" s="548"/>
      <c r="CY113" s="548"/>
      <c r="CZ113" s="549"/>
      <c r="DA113" s="232"/>
    </row>
    <row r="114" spans="1:106" s="17" customFormat="1" ht="13.95" customHeight="1" x14ac:dyDescent="0.25">
      <c r="A114" s="630" t="s">
        <v>74</v>
      </c>
      <c r="B114" s="631"/>
      <c r="C114" s="631"/>
      <c r="D114" s="631"/>
      <c r="E114" s="631"/>
      <c r="F114" s="632"/>
      <c r="G114" s="213"/>
      <c r="H114" s="707" t="s">
        <v>375</v>
      </c>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8"/>
      <c r="BV114" s="547"/>
      <c r="BW114" s="548"/>
      <c r="BX114" s="548"/>
      <c r="BY114" s="548"/>
      <c r="BZ114" s="548"/>
      <c r="CA114" s="548"/>
      <c r="CB114" s="548"/>
      <c r="CC114" s="548"/>
      <c r="CD114" s="548"/>
      <c r="CE114" s="548"/>
      <c r="CF114" s="548"/>
      <c r="CG114" s="548"/>
      <c r="CH114" s="548"/>
      <c r="CI114" s="548"/>
      <c r="CJ114" s="548"/>
      <c r="CK114" s="549"/>
      <c r="CL114" s="547"/>
      <c r="CM114" s="548"/>
      <c r="CN114" s="548"/>
      <c r="CO114" s="548"/>
      <c r="CP114" s="548"/>
      <c r="CQ114" s="548"/>
      <c r="CR114" s="548"/>
      <c r="CS114" s="548"/>
      <c r="CT114" s="548"/>
      <c r="CU114" s="548"/>
      <c r="CV114" s="548"/>
      <c r="CW114" s="548"/>
      <c r="CX114" s="548"/>
      <c r="CY114" s="548"/>
      <c r="CZ114" s="549"/>
      <c r="DA114" s="235"/>
    </row>
    <row r="115" spans="1:106" s="17" customFormat="1" ht="13.5" customHeight="1" x14ac:dyDescent="0.25">
      <c r="A115" s="630"/>
      <c r="B115" s="631"/>
      <c r="C115" s="631"/>
      <c r="D115" s="631"/>
      <c r="E115" s="631"/>
      <c r="F115" s="632"/>
      <c r="G115" s="607" t="s">
        <v>292</v>
      </c>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8"/>
      <c r="AZ115" s="608"/>
      <c r="BA115" s="608"/>
      <c r="BB115" s="608"/>
      <c r="BC115" s="608"/>
      <c r="BD115" s="608"/>
      <c r="BE115" s="608"/>
      <c r="BF115" s="608"/>
      <c r="BG115" s="608"/>
      <c r="BH115" s="608"/>
      <c r="BI115" s="608"/>
      <c r="BJ115" s="608"/>
      <c r="BK115" s="608"/>
      <c r="BL115" s="608"/>
      <c r="BM115" s="608"/>
      <c r="BN115" s="608"/>
      <c r="BO115" s="608"/>
      <c r="BP115" s="608"/>
      <c r="BQ115" s="608"/>
      <c r="BR115" s="608"/>
      <c r="BS115" s="608"/>
      <c r="BT115" s="608"/>
      <c r="BU115" s="609"/>
      <c r="BV115" s="647" t="s">
        <v>4</v>
      </c>
      <c r="BW115" s="637"/>
      <c r="BX115" s="637"/>
      <c r="BY115" s="637"/>
      <c r="BZ115" s="637"/>
      <c r="CA115" s="637"/>
      <c r="CB115" s="637"/>
      <c r="CC115" s="637"/>
      <c r="CD115" s="637"/>
      <c r="CE115" s="637"/>
      <c r="CF115" s="637"/>
      <c r="CG115" s="637"/>
      <c r="CH115" s="637"/>
      <c r="CI115" s="637"/>
      <c r="CJ115" s="637"/>
      <c r="CK115" s="638"/>
      <c r="CL115" s="636">
        <f>CL105+CL110</f>
        <v>26217621.661520001</v>
      </c>
      <c r="CM115" s="654"/>
      <c r="CN115" s="654"/>
      <c r="CO115" s="654"/>
      <c r="CP115" s="654"/>
      <c r="CQ115" s="654"/>
      <c r="CR115" s="654"/>
      <c r="CS115" s="654"/>
      <c r="CT115" s="654"/>
      <c r="CU115" s="654"/>
      <c r="CV115" s="654"/>
      <c r="CW115" s="654"/>
      <c r="CX115" s="654"/>
      <c r="CY115" s="654"/>
      <c r="CZ115" s="655"/>
      <c r="DA115" s="235"/>
      <c r="DB115" s="236"/>
    </row>
    <row r="116" spans="1:106" s="16" customFormat="1" ht="15" customHeight="1" x14ac:dyDescent="0.3">
      <c r="A116" s="648" t="s">
        <v>566</v>
      </c>
      <c r="B116" s="649"/>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49"/>
      <c r="BC116" s="649"/>
      <c r="BD116" s="649"/>
      <c r="BE116" s="649"/>
      <c r="BF116" s="649"/>
      <c r="BG116" s="649"/>
      <c r="BH116" s="649"/>
      <c r="BI116" s="649"/>
      <c r="BJ116" s="649"/>
      <c r="BK116" s="649"/>
      <c r="BL116" s="649"/>
      <c r="BM116" s="649"/>
      <c r="BN116" s="649"/>
      <c r="BO116" s="649"/>
      <c r="BP116" s="649"/>
      <c r="BQ116" s="649"/>
      <c r="BR116" s="649"/>
      <c r="BS116" s="649"/>
      <c r="BT116" s="649"/>
      <c r="BU116" s="649"/>
      <c r="BV116" s="649"/>
      <c r="BW116" s="649"/>
      <c r="BX116" s="649"/>
      <c r="BY116" s="649"/>
      <c r="BZ116" s="649"/>
      <c r="CA116" s="649"/>
      <c r="CB116" s="649"/>
      <c r="CC116" s="649"/>
      <c r="CD116" s="649"/>
      <c r="CE116" s="649"/>
      <c r="CF116" s="649"/>
      <c r="CG116" s="649"/>
      <c r="CH116" s="649"/>
      <c r="CI116" s="649"/>
      <c r="CJ116" s="649"/>
      <c r="CK116" s="649"/>
      <c r="CL116" s="649"/>
      <c r="CM116" s="649"/>
      <c r="CN116" s="649"/>
      <c r="CO116" s="649"/>
      <c r="CP116" s="649"/>
      <c r="CQ116" s="649"/>
      <c r="CR116" s="649"/>
      <c r="CS116" s="649"/>
      <c r="CT116" s="649"/>
      <c r="CU116" s="649"/>
      <c r="CV116" s="649"/>
      <c r="CW116" s="649"/>
      <c r="CX116" s="649"/>
      <c r="CY116" s="649"/>
      <c r="CZ116" s="649"/>
      <c r="DA116" s="214"/>
    </row>
    <row r="117" spans="1:106" ht="37.950000000000003" customHeight="1" x14ac:dyDescent="0.25">
      <c r="A117" s="630" t="s">
        <v>67</v>
      </c>
      <c r="B117" s="631"/>
      <c r="C117" s="631"/>
      <c r="D117" s="631"/>
      <c r="E117" s="631"/>
      <c r="F117" s="632"/>
      <c r="G117" s="213"/>
      <c r="H117" s="585" t="s">
        <v>369</v>
      </c>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c r="AV117" s="585"/>
      <c r="AW117" s="585"/>
      <c r="AX117" s="585"/>
      <c r="AY117" s="585"/>
      <c r="AZ117" s="585"/>
      <c r="BA117" s="585"/>
      <c r="BB117" s="585"/>
      <c r="BC117" s="585"/>
      <c r="BD117" s="585"/>
      <c r="BE117" s="585"/>
      <c r="BF117" s="585"/>
      <c r="BG117" s="585"/>
      <c r="BH117" s="585"/>
      <c r="BI117" s="585"/>
      <c r="BJ117" s="585"/>
      <c r="BK117" s="585"/>
      <c r="BL117" s="585"/>
      <c r="BM117" s="585"/>
      <c r="BN117" s="585"/>
      <c r="BO117" s="585"/>
      <c r="BP117" s="585"/>
      <c r="BQ117" s="585"/>
      <c r="BR117" s="585"/>
      <c r="BS117" s="585"/>
      <c r="BT117" s="585"/>
      <c r="BU117" s="586"/>
      <c r="BV117" s="544" t="s">
        <v>4</v>
      </c>
      <c r="BW117" s="545"/>
      <c r="BX117" s="545"/>
      <c r="BY117" s="545"/>
      <c r="BZ117" s="545"/>
      <c r="CA117" s="545"/>
      <c r="CB117" s="545"/>
      <c r="CC117" s="545"/>
      <c r="CD117" s="545"/>
      <c r="CE117" s="545"/>
      <c r="CF117" s="545"/>
      <c r="CG117" s="545"/>
      <c r="CH117" s="545"/>
      <c r="CI117" s="545"/>
      <c r="CJ117" s="545"/>
      <c r="CK117" s="546"/>
      <c r="CL117" s="767">
        <f>CL118+CL120</f>
        <v>83271.890999999989</v>
      </c>
      <c r="CM117" s="768"/>
      <c r="CN117" s="768"/>
      <c r="CO117" s="768"/>
      <c r="CP117" s="768"/>
      <c r="CQ117" s="768"/>
      <c r="CR117" s="768"/>
      <c r="CS117" s="768"/>
      <c r="CT117" s="768"/>
      <c r="CU117" s="768"/>
      <c r="CV117" s="768"/>
      <c r="CW117" s="768"/>
      <c r="CX117" s="768"/>
      <c r="CY117" s="768"/>
      <c r="CZ117" s="769"/>
    </row>
    <row r="118" spans="1:106" s="17" customFormat="1" ht="12.75" customHeight="1" x14ac:dyDescent="0.25">
      <c r="A118" s="709" t="s">
        <v>68</v>
      </c>
      <c r="B118" s="710"/>
      <c r="C118" s="710"/>
      <c r="D118" s="710"/>
      <c r="E118" s="710"/>
      <c r="F118" s="711"/>
      <c r="G118" s="233"/>
      <c r="H118" s="707" t="s">
        <v>3</v>
      </c>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c r="BA118" s="707"/>
      <c r="BB118" s="707"/>
      <c r="BC118" s="707"/>
      <c r="BD118" s="707"/>
      <c r="BE118" s="707"/>
      <c r="BF118" s="707"/>
      <c r="BG118" s="707"/>
      <c r="BH118" s="707"/>
      <c r="BI118" s="707"/>
      <c r="BJ118" s="707"/>
      <c r="BK118" s="707"/>
      <c r="BL118" s="707"/>
      <c r="BM118" s="707"/>
      <c r="BN118" s="707"/>
      <c r="BO118" s="707"/>
      <c r="BP118" s="707"/>
      <c r="BQ118" s="707"/>
      <c r="BR118" s="707"/>
      <c r="BS118" s="707"/>
      <c r="BT118" s="707"/>
      <c r="BU118" s="708"/>
      <c r="BV118" s="717">
        <f>BV123</f>
        <v>277572.96999999997</v>
      </c>
      <c r="BW118" s="718"/>
      <c r="BX118" s="718"/>
      <c r="BY118" s="718"/>
      <c r="BZ118" s="718"/>
      <c r="CA118" s="718"/>
      <c r="CB118" s="718"/>
      <c r="CC118" s="718"/>
      <c r="CD118" s="718"/>
      <c r="CE118" s="718"/>
      <c r="CF118" s="718"/>
      <c r="CG118" s="718"/>
      <c r="CH118" s="718"/>
      <c r="CI118" s="718"/>
      <c r="CJ118" s="718"/>
      <c r="CK118" s="719"/>
      <c r="CL118" s="717">
        <f>BV118*30%</f>
        <v>83271.890999999989</v>
      </c>
      <c r="CM118" s="718"/>
      <c r="CN118" s="718"/>
      <c r="CO118" s="718"/>
      <c r="CP118" s="718"/>
      <c r="CQ118" s="718"/>
      <c r="CR118" s="718"/>
      <c r="CS118" s="718"/>
      <c r="CT118" s="718"/>
      <c r="CU118" s="718"/>
      <c r="CV118" s="718"/>
      <c r="CW118" s="718"/>
      <c r="CX118" s="718"/>
      <c r="CY118" s="718"/>
      <c r="CZ118" s="719"/>
      <c r="DA118" s="232"/>
    </row>
    <row r="119" spans="1:106" s="17" customFormat="1" ht="12.75" customHeight="1" x14ac:dyDescent="0.25">
      <c r="A119" s="712"/>
      <c r="B119" s="713"/>
      <c r="C119" s="713"/>
      <c r="D119" s="713"/>
      <c r="E119" s="713"/>
      <c r="F119" s="714"/>
      <c r="G119" s="234"/>
      <c r="H119" s="707" t="s">
        <v>370</v>
      </c>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8"/>
      <c r="BV119" s="720"/>
      <c r="BW119" s="721"/>
      <c r="BX119" s="721"/>
      <c r="BY119" s="721"/>
      <c r="BZ119" s="721"/>
      <c r="CA119" s="721"/>
      <c r="CB119" s="721"/>
      <c r="CC119" s="721"/>
      <c r="CD119" s="721"/>
      <c r="CE119" s="721"/>
      <c r="CF119" s="721"/>
      <c r="CG119" s="721"/>
      <c r="CH119" s="721"/>
      <c r="CI119" s="721"/>
      <c r="CJ119" s="721"/>
      <c r="CK119" s="722"/>
      <c r="CL119" s="720"/>
      <c r="CM119" s="721"/>
      <c r="CN119" s="721"/>
      <c r="CO119" s="721"/>
      <c r="CP119" s="721"/>
      <c r="CQ119" s="721"/>
      <c r="CR119" s="721"/>
      <c r="CS119" s="721"/>
      <c r="CT119" s="721"/>
      <c r="CU119" s="721"/>
      <c r="CV119" s="721"/>
      <c r="CW119" s="721"/>
      <c r="CX119" s="721"/>
      <c r="CY119" s="721"/>
      <c r="CZ119" s="722"/>
      <c r="DA119" s="232"/>
    </row>
    <row r="120" spans="1:106" s="17" customFormat="1" ht="13.5" customHeight="1" x14ac:dyDescent="0.25">
      <c r="A120" s="630" t="s">
        <v>69</v>
      </c>
      <c r="B120" s="631"/>
      <c r="C120" s="631"/>
      <c r="D120" s="631"/>
      <c r="E120" s="631"/>
      <c r="F120" s="632"/>
      <c r="G120" s="213"/>
      <c r="H120" s="707" t="s">
        <v>371</v>
      </c>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8"/>
      <c r="BV120" s="547">
        <v>0</v>
      </c>
      <c r="BW120" s="548"/>
      <c r="BX120" s="548"/>
      <c r="BY120" s="548"/>
      <c r="BZ120" s="548"/>
      <c r="CA120" s="548"/>
      <c r="CB120" s="548"/>
      <c r="CC120" s="548"/>
      <c r="CD120" s="548"/>
      <c r="CE120" s="548"/>
      <c r="CF120" s="548"/>
      <c r="CG120" s="548"/>
      <c r="CH120" s="548"/>
      <c r="CI120" s="548"/>
      <c r="CJ120" s="548"/>
      <c r="CK120" s="549"/>
      <c r="CL120" s="547">
        <f>BV120*10%</f>
        <v>0</v>
      </c>
      <c r="CM120" s="548"/>
      <c r="CN120" s="548"/>
      <c r="CO120" s="548"/>
      <c r="CP120" s="548"/>
      <c r="CQ120" s="548"/>
      <c r="CR120" s="548"/>
      <c r="CS120" s="548"/>
      <c r="CT120" s="548"/>
      <c r="CU120" s="548"/>
      <c r="CV120" s="548"/>
      <c r="CW120" s="548"/>
      <c r="CX120" s="548"/>
      <c r="CY120" s="548"/>
      <c r="CZ120" s="549"/>
      <c r="DA120" s="232"/>
    </row>
    <row r="121" spans="1:106" s="17" customFormat="1" ht="26.25" customHeight="1" x14ac:dyDescent="0.25">
      <c r="A121" s="630" t="s">
        <v>70</v>
      </c>
      <c r="B121" s="631"/>
      <c r="C121" s="631"/>
      <c r="D121" s="631"/>
      <c r="E121" s="631"/>
      <c r="F121" s="632"/>
      <c r="G121" s="213"/>
      <c r="H121" s="707" t="s">
        <v>557</v>
      </c>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8"/>
      <c r="BV121" s="547"/>
      <c r="BW121" s="548"/>
      <c r="BX121" s="548"/>
      <c r="BY121" s="548"/>
      <c r="BZ121" s="548"/>
      <c r="CA121" s="548"/>
      <c r="CB121" s="548"/>
      <c r="CC121" s="548"/>
      <c r="CD121" s="548"/>
      <c r="CE121" s="548"/>
      <c r="CF121" s="548"/>
      <c r="CG121" s="548"/>
      <c r="CH121" s="548"/>
      <c r="CI121" s="548"/>
      <c r="CJ121" s="548"/>
      <c r="CK121" s="549"/>
      <c r="CL121" s="547"/>
      <c r="CM121" s="548"/>
      <c r="CN121" s="548"/>
      <c r="CO121" s="548"/>
      <c r="CP121" s="548"/>
      <c r="CQ121" s="548"/>
      <c r="CR121" s="548"/>
      <c r="CS121" s="548"/>
      <c r="CT121" s="548"/>
      <c r="CU121" s="548"/>
      <c r="CV121" s="548"/>
      <c r="CW121" s="548"/>
      <c r="CX121" s="548"/>
      <c r="CY121" s="548"/>
      <c r="CZ121" s="549"/>
      <c r="DA121" s="232"/>
    </row>
    <row r="122" spans="1:106" s="17" customFormat="1" ht="26.25" customHeight="1" x14ac:dyDescent="0.25">
      <c r="A122" s="630" t="s">
        <v>71</v>
      </c>
      <c r="B122" s="631"/>
      <c r="C122" s="631"/>
      <c r="D122" s="631"/>
      <c r="E122" s="631"/>
      <c r="F122" s="632"/>
      <c r="G122" s="213"/>
      <c r="H122" s="585" t="s">
        <v>373</v>
      </c>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5"/>
      <c r="AW122" s="585"/>
      <c r="AX122" s="585"/>
      <c r="AY122" s="585"/>
      <c r="AZ122" s="585"/>
      <c r="BA122" s="585"/>
      <c r="BB122" s="585"/>
      <c r="BC122" s="585"/>
      <c r="BD122" s="585"/>
      <c r="BE122" s="585"/>
      <c r="BF122" s="585"/>
      <c r="BG122" s="585"/>
      <c r="BH122" s="585"/>
      <c r="BI122" s="585"/>
      <c r="BJ122" s="585"/>
      <c r="BK122" s="585"/>
      <c r="BL122" s="585"/>
      <c r="BM122" s="585"/>
      <c r="BN122" s="585"/>
      <c r="BO122" s="585"/>
      <c r="BP122" s="585"/>
      <c r="BQ122" s="585"/>
      <c r="BR122" s="585"/>
      <c r="BS122" s="585"/>
      <c r="BT122" s="585"/>
      <c r="BU122" s="586"/>
      <c r="BV122" s="544" t="s">
        <v>4</v>
      </c>
      <c r="BW122" s="545"/>
      <c r="BX122" s="545"/>
      <c r="BY122" s="545"/>
      <c r="BZ122" s="545"/>
      <c r="CA122" s="545"/>
      <c r="CB122" s="545"/>
      <c r="CC122" s="545"/>
      <c r="CD122" s="545"/>
      <c r="CE122" s="545"/>
      <c r="CF122" s="545"/>
      <c r="CG122" s="545"/>
      <c r="CH122" s="545"/>
      <c r="CI122" s="545"/>
      <c r="CJ122" s="545"/>
      <c r="CK122" s="546"/>
      <c r="CL122" s="767">
        <f>CL123+CL126+CL125-0.01</f>
        <v>555.13594000000001</v>
      </c>
      <c r="CM122" s="768"/>
      <c r="CN122" s="768"/>
      <c r="CO122" s="768"/>
      <c r="CP122" s="768"/>
      <c r="CQ122" s="768"/>
      <c r="CR122" s="768"/>
      <c r="CS122" s="768"/>
      <c r="CT122" s="768"/>
      <c r="CU122" s="768"/>
      <c r="CV122" s="768"/>
      <c r="CW122" s="768"/>
      <c r="CX122" s="768"/>
      <c r="CY122" s="768"/>
      <c r="CZ122" s="769"/>
      <c r="DA122" s="232"/>
    </row>
    <row r="123" spans="1:106" s="17" customFormat="1" ht="12.75" customHeight="1" x14ac:dyDescent="0.25">
      <c r="A123" s="709" t="s">
        <v>72</v>
      </c>
      <c r="B123" s="710"/>
      <c r="C123" s="710"/>
      <c r="D123" s="710"/>
      <c r="E123" s="710"/>
      <c r="F123" s="711"/>
      <c r="G123" s="233"/>
      <c r="H123" s="707" t="s">
        <v>3</v>
      </c>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c r="BA123" s="707"/>
      <c r="BB123" s="707"/>
      <c r="BC123" s="707"/>
      <c r="BD123" s="707"/>
      <c r="BE123" s="707"/>
      <c r="BF123" s="707"/>
      <c r="BG123" s="707"/>
      <c r="BH123" s="707"/>
      <c r="BI123" s="707"/>
      <c r="BJ123" s="707"/>
      <c r="BK123" s="707"/>
      <c r="BL123" s="707"/>
      <c r="BM123" s="707"/>
      <c r="BN123" s="707"/>
      <c r="BO123" s="707"/>
      <c r="BP123" s="707"/>
      <c r="BQ123" s="707"/>
      <c r="BR123" s="707"/>
      <c r="BS123" s="707"/>
      <c r="BT123" s="707"/>
      <c r="BU123" s="708"/>
      <c r="BV123" s="717">
        <v>277572.96999999997</v>
      </c>
      <c r="BW123" s="718"/>
      <c r="BX123" s="718"/>
      <c r="BY123" s="718"/>
      <c r="BZ123" s="718"/>
      <c r="CA123" s="718"/>
      <c r="CB123" s="718"/>
      <c r="CC123" s="718"/>
      <c r="CD123" s="718"/>
      <c r="CE123" s="718"/>
      <c r="CF123" s="718"/>
      <c r="CG123" s="718"/>
      <c r="CH123" s="718"/>
      <c r="CI123" s="718"/>
      <c r="CJ123" s="718"/>
      <c r="CK123" s="719"/>
      <c r="CL123" s="717">
        <f>BV123*0.2%</f>
        <v>555.14594</v>
      </c>
      <c r="CM123" s="718"/>
      <c r="CN123" s="718"/>
      <c r="CO123" s="718"/>
      <c r="CP123" s="718"/>
      <c r="CQ123" s="718"/>
      <c r="CR123" s="718"/>
      <c r="CS123" s="718"/>
      <c r="CT123" s="718"/>
      <c r="CU123" s="718"/>
      <c r="CV123" s="718"/>
      <c r="CW123" s="718"/>
      <c r="CX123" s="718"/>
      <c r="CY123" s="718"/>
      <c r="CZ123" s="719"/>
      <c r="DA123" s="232"/>
    </row>
    <row r="124" spans="1:106" s="17" customFormat="1" ht="13.2" customHeight="1" x14ac:dyDescent="0.25">
      <c r="A124" s="712"/>
      <c r="B124" s="713"/>
      <c r="C124" s="713"/>
      <c r="D124" s="713"/>
      <c r="E124" s="713"/>
      <c r="F124" s="714"/>
      <c r="G124" s="234"/>
      <c r="H124" s="707" t="s">
        <v>374</v>
      </c>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7"/>
      <c r="AY124" s="707"/>
      <c r="AZ124" s="707"/>
      <c r="BA124" s="707"/>
      <c r="BB124" s="707"/>
      <c r="BC124" s="707"/>
      <c r="BD124" s="707"/>
      <c r="BE124" s="707"/>
      <c r="BF124" s="707"/>
      <c r="BG124" s="707"/>
      <c r="BH124" s="707"/>
      <c r="BI124" s="707"/>
      <c r="BJ124" s="707"/>
      <c r="BK124" s="707"/>
      <c r="BL124" s="707"/>
      <c r="BM124" s="707"/>
      <c r="BN124" s="707"/>
      <c r="BO124" s="707"/>
      <c r="BP124" s="707"/>
      <c r="BQ124" s="707"/>
      <c r="BR124" s="707"/>
      <c r="BS124" s="707"/>
      <c r="BT124" s="707"/>
      <c r="BU124" s="708"/>
      <c r="BV124" s="720"/>
      <c r="BW124" s="721"/>
      <c r="BX124" s="721"/>
      <c r="BY124" s="721"/>
      <c r="BZ124" s="721"/>
      <c r="CA124" s="721"/>
      <c r="CB124" s="721"/>
      <c r="CC124" s="721"/>
      <c r="CD124" s="721"/>
      <c r="CE124" s="721"/>
      <c r="CF124" s="721"/>
      <c r="CG124" s="721"/>
      <c r="CH124" s="721"/>
      <c r="CI124" s="721"/>
      <c r="CJ124" s="721"/>
      <c r="CK124" s="722"/>
      <c r="CL124" s="720"/>
      <c r="CM124" s="721"/>
      <c r="CN124" s="721"/>
      <c r="CO124" s="721"/>
      <c r="CP124" s="721"/>
      <c r="CQ124" s="721"/>
      <c r="CR124" s="721"/>
      <c r="CS124" s="721"/>
      <c r="CT124" s="721"/>
      <c r="CU124" s="721"/>
      <c r="CV124" s="721"/>
      <c r="CW124" s="721"/>
      <c r="CX124" s="721"/>
      <c r="CY124" s="721"/>
      <c r="CZ124" s="722"/>
      <c r="DA124" s="232"/>
    </row>
    <row r="125" spans="1:106" s="17" customFormat="1" ht="12" customHeight="1" x14ac:dyDescent="0.25">
      <c r="A125" s="630" t="s">
        <v>73</v>
      </c>
      <c r="B125" s="631"/>
      <c r="C125" s="631"/>
      <c r="D125" s="631"/>
      <c r="E125" s="631"/>
      <c r="F125" s="632"/>
      <c r="G125" s="213"/>
      <c r="H125" s="707" t="s">
        <v>375</v>
      </c>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8"/>
      <c r="BV125" s="547"/>
      <c r="BW125" s="548"/>
      <c r="BX125" s="548"/>
      <c r="BY125" s="548"/>
      <c r="BZ125" s="548"/>
      <c r="CA125" s="548"/>
      <c r="CB125" s="548"/>
      <c r="CC125" s="548"/>
      <c r="CD125" s="548"/>
      <c r="CE125" s="548"/>
      <c r="CF125" s="548"/>
      <c r="CG125" s="548"/>
      <c r="CH125" s="548"/>
      <c r="CI125" s="548"/>
      <c r="CJ125" s="548"/>
      <c r="CK125" s="549"/>
      <c r="CL125" s="547"/>
      <c r="CM125" s="548"/>
      <c r="CN125" s="548"/>
      <c r="CO125" s="548"/>
      <c r="CP125" s="548"/>
      <c r="CQ125" s="548"/>
      <c r="CR125" s="548"/>
      <c r="CS125" s="548"/>
      <c r="CT125" s="548"/>
      <c r="CU125" s="548"/>
      <c r="CV125" s="548"/>
      <c r="CW125" s="548"/>
      <c r="CX125" s="548"/>
      <c r="CY125" s="548"/>
      <c r="CZ125" s="549"/>
      <c r="DA125" s="232"/>
    </row>
    <row r="126" spans="1:106" s="17" customFormat="1" ht="12.6" customHeight="1" x14ac:dyDescent="0.25">
      <c r="A126" s="630" t="s">
        <v>74</v>
      </c>
      <c r="B126" s="631"/>
      <c r="C126" s="631"/>
      <c r="D126" s="631"/>
      <c r="E126" s="631"/>
      <c r="F126" s="632"/>
      <c r="G126" s="213"/>
      <c r="H126" s="707" t="s">
        <v>375</v>
      </c>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c r="BA126" s="707"/>
      <c r="BB126" s="707"/>
      <c r="BC126" s="707"/>
      <c r="BD126" s="707"/>
      <c r="BE126" s="707"/>
      <c r="BF126" s="707"/>
      <c r="BG126" s="707"/>
      <c r="BH126" s="707"/>
      <c r="BI126" s="707"/>
      <c r="BJ126" s="707"/>
      <c r="BK126" s="707"/>
      <c r="BL126" s="707"/>
      <c r="BM126" s="707"/>
      <c r="BN126" s="707"/>
      <c r="BO126" s="707"/>
      <c r="BP126" s="707"/>
      <c r="BQ126" s="707"/>
      <c r="BR126" s="707"/>
      <c r="BS126" s="707"/>
      <c r="BT126" s="707"/>
      <c r="BU126" s="708"/>
      <c r="BV126" s="547"/>
      <c r="BW126" s="548"/>
      <c r="BX126" s="548"/>
      <c r="BY126" s="548"/>
      <c r="BZ126" s="548"/>
      <c r="CA126" s="548"/>
      <c r="CB126" s="548"/>
      <c r="CC126" s="548"/>
      <c r="CD126" s="548"/>
      <c r="CE126" s="548"/>
      <c r="CF126" s="548"/>
      <c r="CG126" s="548"/>
      <c r="CH126" s="548"/>
      <c r="CI126" s="548"/>
      <c r="CJ126" s="548"/>
      <c r="CK126" s="549"/>
      <c r="CL126" s="547"/>
      <c r="CM126" s="548"/>
      <c r="CN126" s="548"/>
      <c r="CO126" s="548"/>
      <c r="CP126" s="548"/>
      <c r="CQ126" s="548"/>
      <c r="CR126" s="548"/>
      <c r="CS126" s="548"/>
      <c r="CT126" s="548"/>
      <c r="CU126" s="548"/>
      <c r="CV126" s="548"/>
      <c r="CW126" s="548"/>
      <c r="CX126" s="548"/>
      <c r="CY126" s="548"/>
      <c r="CZ126" s="549"/>
      <c r="DA126" s="232"/>
    </row>
    <row r="127" spans="1:106" s="17" customFormat="1" ht="13.5" customHeight="1" x14ac:dyDescent="0.25">
      <c r="A127" s="630"/>
      <c r="B127" s="631"/>
      <c r="C127" s="631"/>
      <c r="D127" s="631"/>
      <c r="E127" s="631"/>
      <c r="F127" s="632"/>
      <c r="G127" s="607" t="s">
        <v>292</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8"/>
      <c r="AY127" s="608"/>
      <c r="AZ127" s="608"/>
      <c r="BA127" s="608"/>
      <c r="BB127" s="608"/>
      <c r="BC127" s="608"/>
      <c r="BD127" s="608"/>
      <c r="BE127" s="608"/>
      <c r="BF127" s="608"/>
      <c r="BG127" s="608"/>
      <c r="BH127" s="608"/>
      <c r="BI127" s="608"/>
      <c r="BJ127" s="608"/>
      <c r="BK127" s="608"/>
      <c r="BL127" s="608"/>
      <c r="BM127" s="608"/>
      <c r="BN127" s="608"/>
      <c r="BO127" s="608"/>
      <c r="BP127" s="608"/>
      <c r="BQ127" s="608"/>
      <c r="BR127" s="608"/>
      <c r="BS127" s="608"/>
      <c r="BT127" s="608"/>
      <c r="BU127" s="609"/>
      <c r="BV127" s="647" t="s">
        <v>4</v>
      </c>
      <c r="BW127" s="637"/>
      <c r="BX127" s="637"/>
      <c r="BY127" s="637"/>
      <c r="BZ127" s="637"/>
      <c r="CA127" s="637"/>
      <c r="CB127" s="637"/>
      <c r="CC127" s="637"/>
      <c r="CD127" s="637"/>
      <c r="CE127" s="637"/>
      <c r="CF127" s="637"/>
      <c r="CG127" s="637"/>
      <c r="CH127" s="637"/>
      <c r="CI127" s="637"/>
      <c r="CJ127" s="637"/>
      <c r="CK127" s="638"/>
      <c r="CL127" s="636">
        <f>CL117+CL122</f>
        <v>83827.026939999982</v>
      </c>
      <c r="CM127" s="654"/>
      <c r="CN127" s="654"/>
      <c r="CO127" s="654"/>
      <c r="CP127" s="654"/>
      <c r="CQ127" s="654"/>
      <c r="CR127" s="654"/>
      <c r="CS127" s="654"/>
      <c r="CT127" s="654"/>
      <c r="CU127" s="654"/>
      <c r="CV127" s="654"/>
      <c r="CW127" s="654"/>
      <c r="CX127" s="654"/>
      <c r="CY127" s="654"/>
      <c r="CZ127" s="655"/>
      <c r="DA127" s="235"/>
    </row>
    <row r="128" spans="1:106" s="17" customFormat="1" ht="13.5" hidden="1" customHeight="1" x14ac:dyDescent="0.25">
      <c r="A128" s="648" t="s">
        <v>567</v>
      </c>
      <c r="B128" s="649"/>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49"/>
      <c r="BC128" s="649"/>
      <c r="BD128" s="649"/>
      <c r="BE128" s="649"/>
      <c r="BF128" s="649"/>
      <c r="BG128" s="649"/>
      <c r="BH128" s="649"/>
      <c r="BI128" s="649"/>
      <c r="BJ128" s="649"/>
      <c r="BK128" s="649"/>
      <c r="BL128" s="649"/>
      <c r="BM128" s="649"/>
      <c r="BN128" s="649"/>
      <c r="BO128" s="649"/>
      <c r="BP128" s="649"/>
      <c r="BQ128" s="649"/>
      <c r="BR128" s="649"/>
      <c r="BS128" s="649"/>
      <c r="BT128" s="649"/>
      <c r="BU128" s="649"/>
      <c r="BV128" s="649"/>
      <c r="BW128" s="649"/>
      <c r="BX128" s="649"/>
      <c r="BY128" s="649"/>
      <c r="BZ128" s="649"/>
      <c r="CA128" s="649"/>
      <c r="CB128" s="649"/>
      <c r="CC128" s="649"/>
      <c r="CD128" s="649"/>
      <c r="CE128" s="649"/>
      <c r="CF128" s="649"/>
      <c r="CG128" s="649"/>
      <c r="CH128" s="649"/>
      <c r="CI128" s="649"/>
      <c r="CJ128" s="649"/>
      <c r="CK128" s="649"/>
      <c r="CL128" s="649"/>
      <c r="CM128" s="649"/>
      <c r="CN128" s="649"/>
      <c r="CO128" s="649"/>
      <c r="CP128" s="649"/>
      <c r="CQ128" s="649"/>
      <c r="CR128" s="649"/>
      <c r="CS128" s="649"/>
      <c r="CT128" s="649"/>
      <c r="CU128" s="649"/>
      <c r="CV128" s="649"/>
      <c r="CW128" s="649"/>
      <c r="CX128" s="649"/>
      <c r="CY128" s="649"/>
      <c r="CZ128" s="649"/>
      <c r="DA128" s="232"/>
    </row>
    <row r="129" spans="1:105" s="17" customFormat="1" ht="13.5" hidden="1" customHeight="1" x14ac:dyDescent="0.25">
      <c r="A129" s="630" t="s">
        <v>67</v>
      </c>
      <c r="B129" s="631"/>
      <c r="C129" s="631"/>
      <c r="D129" s="631"/>
      <c r="E129" s="631"/>
      <c r="F129" s="632"/>
      <c r="G129" s="213"/>
      <c r="H129" s="585" t="s">
        <v>554</v>
      </c>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5"/>
      <c r="AY129" s="585"/>
      <c r="AZ129" s="585"/>
      <c r="BA129" s="585"/>
      <c r="BB129" s="585"/>
      <c r="BC129" s="585"/>
      <c r="BD129" s="585"/>
      <c r="BE129" s="585"/>
      <c r="BF129" s="585"/>
      <c r="BG129" s="585"/>
      <c r="BH129" s="585"/>
      <c r="BI129" s="585"/>
      <c r="BJ129" s="585"/>
      <c r="BK129" s="585"/>
      <c r="BL129" s="585"/>
      <c r="BM129" s="585"/>
      <c r="BN129" s="585"/>
      <c r="BO129" s="585"/>
      <c r="BP129" s="585"/>
      <c r="BQ129" s="585"/>
      <c r="BR129" s="585"/>
      <c r="BS129" s="585"/>
      <c r="BT129" s="585"/>
      <c r="BU129" s="586"/>
      <c r="BV129" s="544" t="s">
        <v>4</v>
      </c>
      <c r="BW129" s="545"/>
      <c r="BX129" s="545"/>
      <c r="BY129" s="545"/>
      <c r="BZ129" s="545"/>
      <c r="CA129" s="545"/>
      <c r="CB129" s="545"/>
      <c r="CC129" s="545"/>
      <c r="CD129" s="545"/>
      <c r="CE129" s="545"/>
      <c r="CF129" s="545"/>
      <c r="CG129" s="545"/>
      <c r="CH129" s="545"/>
      <c r="CI129" s="545"/>
      <c r="CJ129" s="545"/>
      <c r="CK129" s="546"/>
      <c r="CL129" s="767">
        <f>CL130+CL132</f>
        <v>0</v>
      </c>
      <c r="CM129" s="768"/>
      <c r="CN129" s="768"/>
      <c r="CO129" s="768"/>
      <c r="CP129" s="768"/>
      <c r="CQ129" s="768"/>
      <c r="CR129" s="768"/>
      <c r="CS129" s="768"/>
      <c r="CT129" s="768"/>
      <c r="CU129" s="768"/>
      <c r="CV129" s="768"/>
      <c r="CW129" s="768"/>
      <c r="CX129" s="768"/>
      <c r="CY129" s="768"/>
      <c r="CZ129" s="769"/>
      <c r="DA129" s="232"/>
    </row>
    <row r="130" spans="1:105" s="17" customFormat="1" ht="13.5" hidden="1" customHeight="1" x14ac:dyDescent="0.25">
      <c r="A130" s="709" t="s">
        <v>68</v>
      </c>
      <c r="B130" s="710"/>
      <c r="C130" s="710"/>
      <c r="D130" s="710"/>
      <c r="E130" s="710"/>
      <c r="F130" s="711"/>
      <c r="G130" s="233"/>
      <c r="H130" s="715" t="s">
        <v>3</v>
      </c>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5"/>
      <c r="AY130" s="715"/>
      <c r="AZ130" s="715"/>
      <c r="BA130" s="715"/>
      <c r="BB130" s="715"/>
      <c r="BC130" s="715"/>
      <c r="BD130" s="715"/>
      <c r="BE130" s="715"/>
      <c r="BF130" s="715"/>
      <c r="BG130" s="715"/>
      <c r="BH130" s="715"/>
      <c r="BI130" s="715"/>
      <c r="BJ130" s="715"/>
      <c r="BK130" s="715"/>
      <c r="BL130" s="715"/>
      <c r="BM130" s="715"/>
      <c r="BN130" s="715"/>
      <c r="BO130" s="715"/>
      <c r="BP130" s="715"/>
      <c r="BQ130" s="715"/>
      <c r="BR130" s="715"/>
      <c r="BS130" s="715"/>
      <c r="BT130" s="715"/>
      <c r="BU130" s="716"/>
      <c r="BV130" s="717">
        <f>BV141</f>
        <v>0</v>
      </c>
      <c r="BW130" s="718"/>
      <c r="BX130" s="718"/>
      <c r="BY130" s="718"/>
      <c r="BZ130" s="718"/>
      <c r="CA130" s="718"/>
      <c r="CB130" s="718"/>
      <c r="CC130" s="718"/>
      <c r="CD130" s="718"/>
      <c r="CE130" s="718"/>
      <c r="CF130" s="718"/>
      <c r="CG130" s="718"/>
      <c r="CH130" s="718"/>
      <c r="CI130" s="718"/>
      <c r="CJ130" s="718"/>
      <c r="CK130" s="719"/>
      <c r="CL130" s="717">
        <f>BV130*22%</f>
        <v>0</v>
      </c>
      <c r="CM130" s="718"/>
      <c r="CN130" s="718"/>
      <c r="CO130" s="718"/>
      <c r="CP130" s="718"/>
      <c r="CQ130" s="718"/>
      <c r="CR130" s="718"/>
      <c r="CS130" s="718"/>
      <c r="CT130" s="718"/>
      <c r="CU130" s="718"/>
      <c r="CV130" s="718"/>
      <c r="CW130" s="718"/>
      <c r="CX130" s="718"/>
      <c r="CY130" s="718"/>
      <c r="CZ130" s="719"/>
      <c r="DA130" s="232"/>
    </row>
    <row r="131" spans="1:105" s="17" customFormat="1" ht="13.5" hidden="1" customHeight="1" x14ac:dyDescent="0.25">
      <c r="A131" s="712"/>
      <c r="B131" s="713"/>
      <c r="C131" s="713"/>
      <c r="D131" s="713"/>
      <c r="E131" s="713"/>
      <c r="F131" s="714"/>
      <c r="G131" s="234"/>
      <c r="H131" s="723" t="s">
        <v>555</v>
      </c>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3"/>
      <c r="AR131" s="723"/>
      <c r="AS131" s="723"/>
      <c r="AT131" s="723"/>
      <c r="AU131" s="723"/>
      <c r="AV131" s="723"/>
      <c r="AW131" s="723"/>
      <c r="AX131" s="723"/>
      <c r="AY131" s="723"/>
      <c r="AZ131" s="723"/>
      <c r="BA131" s="723"/>
      <c r="BB131" s="723"/>
      <c r="BC131" s="723"/>
      <c r="BD131" s="723"/>
      <c r="BE131" s="723"/>
      <c r="BF131" s="723"/>
      <c r="BG131" s="723"/>
      <c r="BH131" s="723"/>
      <c r="BI131" s="723"/>
      <c r="BJ131" s="723"/>
      <c r="BK131" s="723"/>
      <c r="BL131" s="723"/>
      <c r="BM131" s="723"/>
      <c r="BN131" s="723"/>
      <c r="BO131" s="723"/>
      <c r="BP131" s="723"/>
      <c r="BQ131" s="723"/>
      <c r="BR131" s="723"/>
      <c r="BS131" s="723"/>
      <c r="BT131" s="723"/>
      <c r="BU131" s="724"/>
      <c r="BV131" s="720"/>
      <c r="BW131" s="721"/>
      <c r="BX131" s="721"/>
      <c r="BY131" s="721"/>
      <c r="BZ131" s="721"/>
      <c r="CA131" s="721"/>
      <c r="CB131" s="721"/>
      <c r="CC131" s="721"/>
      <c r="CD131" s="721"/>
      <c r="CE131" s="721"/>
      <c r="CF131" s="721"/>
      <c r="CG131" s="721"/>
      <c r="CH131" s="721"/>
      <c r="CI131" s="721"/>
      <c r="CJ131" s="721"/>
      <c r="CK131" s="722"/>
      <c r="CL131" s="720"/>
      <c r="CM131" s="721"/>
      <c r="CN131" s="721"/>
      <c r="CO131" s="721"/>
      <c r="CP131" s="721"/>
      <c r="CQ131" s="721"/>
      <c r="CR131" s="721"/>
      <c r="CS131" s="721"/>
      <c r="CT131" s="721"/>
      <c r="CU131" s="721"/>
      <c r="CV131" s="721"/>
      <c r="CW131" s="721"/>
      <c r="CX131" s="721"/>
      <c r="CY131" s="721"/>
      <c r="CZ131" s="722"/>
      <c r="DA131" s="232"/>
    </row>
    <row r="132" spans="1:105" s="17" customFormat="1" ht="13.5" hidden="1" customHeight="1" x14ac:dyDescent="0.25">
      <c r="A132" s="630" t="s">
        <v>69</v>
      </c>
      <c r="B132" s="631"/>
      <c r="C132" s="631"/>
      <c r="D132" s="631"/>
      <c r="E132" s="631"/>
      <c r="F132" s="632"/>
      <c r="G132" s="213"/>
      <c r="H132" s="707" t="s">
        <v>556</v>
      </c>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c r="BA132" s="707"/>
      <c r="BB132" s="707"/>
      <c r="BC132" s="707"/>
      <c r="BD132" s="707"/>
      <c r="BE132" s="707"/>
      <c r="BF132" s="707"/>
      <c r="BG132" s="707"/>
      <c r="BH132" s="707"/>
      <c r="BI132" s="707"/>
      <c r="BJ132" s="707"/>
      <c r="BK132" s="707"/>
      <c r="BL132" s="707"/>
      <c r="BM132" s="707"/>
      <c r="BN132" s="707"/>
      <c r="BO132" s="707"/>
      <c r="BP132" s="707"/>
      <c r="BQ132" s="707"/>
      <c r="BR132" s="707"/>
      <c r="BS132" s="707"/>
      <c r="BT132" s="707"/>
      <c r="BU132" s="708"/>
      <c r="BV132" s="547">
        <v>0</v>
      </c>
      <c r="BW132" s="548"/>
      <c r="BX132" s="548"/>
      <c r="BY132" s="548"/>
      <c r="BZ132" s="548"/>
      <c r="CA132" s="548"/>
      <c r="CB132" s="548"/>
      <c r="CC132" s="548"/>
      <c r="CD132" s="548"/>
      <c r="CE132" s="548"/>
      <c r="CF132" s="548"/>
      <c r="CG132" s="548"/>
      <c r="CH132" s="548"/>
      <c r="CI132" s="548"/>
      <c r="CJ132" s="548"/>
      <c r="CK132" s="549"/>
      <c r="CL132" s="547">
        <f>BV132*10%</f>
        <v>0</v>
      </c>
      <c r="CM132" s="548"/>
      <c r="CN132" s="548"/>
      <c r="CO132" s="548"/>
      <c r="CP132" s="548"/>
      <c r="CQ132" s="548"/>
      <c r="CR132" s="548"/>
      <c r="CS132" s="548"/>
      <c r="CT132" s="548"/>
      <c r="CU132" s="548"/>
      <c r="CV132" s="548"/>
      <c r="CW132" s="548"/>
      <c r="CX132" s="548"/>
      <c r="CY132" s="548"/>
      <c r="CZ132" s="549"/>
      <c r="DA132" s="232"/>
    </row>
    <row r="133" spans="1:105" s="17" customFormat="1" ht="20.25" hidden="1" customHeight="1" x14ac:dyDescent="0.25">
      <c r="A133" s="630" t="s">
        <v>70</v>
      </c>
      <c r="B133" s="631"/>
      <c r="C133" s="631"/>
      <c r="D133" s="631"/>
      <c r="E133" s="631"/>
      <c r="F133" s="632"/>
      <c r="G133" s="213"/>
      <c r="H133" s="707" t="s">
        <v>557</v>
      </c>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707"/>
      <c r="BF133" s="707"/>
      <c r="BG133" s="707"/>
      <c r="BH133" s="707"/>
      <c r="BI133" s="707"/>
      <c r="BJ133" s="707"/>
      <c r="BK133" s="707"/>
      <c r="BL133" s="707"/>
      <c r="BM133" s="707"/>
      <c r="BN133" s="707"/>
      <c r="BO133" s="707"/>
      <c r="BP133" s="707"/>
      <c r="BQ133" s="707"/>
      <c r="BR133" s="707"/>
      <c r="BS133" s="707"/>
      <c r="BT133" s="707"/>
      <c r="BU133" s="708"/>
      <c r="BV133" s="547"/>
      <c r="BW133" s="548"/>
      <c r="BX133" s="548"/>
      <c r="BY133" s="548"/>
      <c r="BZ133" s="548"/>
      <c r="CA133" s="548"/>
      <c r="CB133" s="548"/>
      <c r="CC133" s="548"/>
      <c r="CD133" s="548"/>
      <c r="CE133" s="548"/>
      <c r="CF133" s="548"/>
      <c r="CG133" s="548"/>
      <c r="CH133" s="548"/>
      <c r="CI133" s="548"/>
      <c r="CJ133" s="548"/>
      <c r="CK133" s="549"/>
      <c r="CL133" s="547"/>
      <c r="CM133" s="548"/>
      <c r="CN133" s="548"/>
      <c r="CO133" s="548"/>
      <c r="CP133" s="548"/>
      <c r="CQ133" s="548"/>
      <c r="CR133" s="548"/>
      <c r="CS133" s="548"/>
      <c r="CT133" s="548"/>
      <c r="CU133" s="548"/>
      <c r="CV133" s="548"/>
      <c r="CW133" s="548"/>
      <c r="CX133" s="548"/>
      <c r="CY133" s="548"/>
      <c r="CZ133" s="549"/>
      <c r="DA133" s="232"/>
    </row>
    <row r="134" spans="1:105" s="17" customFormat="1" ht="21.75" hidden="1" customHeight="1" x14ac:dyDescent="0.25">
      <c r="A134" s="630" t="s">
        <v>71</v>
      </c>
      <c r="B134" s="631"/>
      <c r="C134" s="631"/>
      <c r="D134" s="631"/>
      <c r="E134" s="631"/>
      <c r="F134" s="632"/>
      <c r="G134" s="213"/>
      <c r="H134" s="585" t="s">
        <v>558</v>
      </c>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5"/>
      <c r="AY134" s="585"/>
      <c r="AZ134" s="585"/>
      <c r="BA134" s="585"/>
      <c r="BB134" s="585"/>
      <c r="BC134" s="585"/>
      <c r="BD134" s="585"/>
      <c r="BE134" s="585"/>
      <c r="BF134" s="585"/>
      <c r="BG134" s="585"/>
      <c r="BH134" s="585"/>
      <c r="BI134" s="585"/>
      <c r="BJ134" s="585"/>
      <c r="BK134" s="585"/>
      <c r="BL134" s="585"/>
      <c r="BM134" s="585"/>
      <c r="BN134" s="585"/>
      <c r="BO134" s="585"/>
      <c r="BP134" s="585"/>
      <c r="BQ134" s="585"/>
      <c r="BR134" s="585"/>
      <c r="BS134" s="585"/>
      <c r="BT134" s="585"/>
      <c r="BU134" s="586"/>
      <c r="BV134" s="544" t="s">
        <v>4</v>
      </c>
      <c r="BW134" s="545"/>
      <c r="BX134" s="545"/>
      <c r="BY134" s="545"/>
      <c r="BZ134" s="545"/>
      <c r="CA134" s="545"/>
      <c r="CB134" s="545"/>
      <c r="CC134" s="545"/>
      <c r="CD134" s="545"/>
      <c r="CE134" s="545"/>
      <c r="CF134" s="545"/>
      <c r="CG134" s="545"/>
      <c r="CH134" s="545"/>
      <c r="CI134" s="545"/>
      <c r="CJ134" s="545"/>
      <c r="CK134" s="546"/>
      <c r="CL134" s="767">
        <f>CL135+CL138+CL137</f>
        <v>0</v>
      </c>
      <c r="CM134" s="768"/>
      <c r="CN134" s="768"/>
      <c r="CO134" s="768"/>
      <c r="CP134" s="768"/>
      <c r="CQ134" s="768"/>
      <c r="CR134" s="768"/>
      <c r="CS134" s="768"/>
      <c r="CT134" s="768"/>
      <c r="CU134" s="768"/>
      <c r="CV134" s="768"/>
      <c r="CW134" s="768"/>
      <c r="CX134" s="768"/>
      <c r="CY134" s="768"/>
      <c r="CZ134" s="769"/>
      <c r="DA134" s="232"/>
    </row>
    <row r="135" spans="1:105" s="17" customFormat="1" ht="13.5" hidden="1" customHeight="1" x14ac:dyDescent="0.25">
      <c r="A135" s="709" t="s">
        <v>72</v>
      </c>
      <c r="B135" s="710"/>
      <c r="C135" s="710"/>
      <c r="D135" s="710"/>
      <c r="E135" s="710"/>
      <c r="F135" s="711"/>
      <c r="G135" s="233"/>
      <c r="H135" s="715" t="s">
        <v>3</v>
      </c>
      <c r="I135" s="715"/>
      <c r="J135" s="715"/>
      <c r="K135" s="715"/>
      <c r="L135" s="715"/>
      <c r="M135" s="715"/>
      <c r="N135" s="715"/>
      <c r="O135" s="715"/>
      <c r="P135" s="715"/>
      <c r="Q135" s="715"/>
      <c r="R135" s="715"/>
      <c r="S135" s="715"/>
      <c r="T135" s="715"/>
      <c r="U135" s="715"/>
      <c r="V135" s="715"/>
      <c r="W135" s="715"/>
      <c r="X135" s="715"/>
      <c r="Y135" s="715"/>
      <c r="Z135" s="715"/>
      <c r="AA135" s="715"/>
      <c r="AB135" s="715"/>
      <c r="AC135" s="715"/>
      <c r="AD135" s="715"/>
      <c r="AE135" s="715"/>
      <c r="AF135" s="715"/>
      <c r="AG135" s="715"/>
      <c r="AH135" s="715"/>
      <c r="AI135" s="715"/>
      <c r="AJ135" s="715"/>
      <c r="AK135" s="715"/>
      <c r="AL135" s="715"/>
      <c r="AM135" s="715"/>
      <c r="AN135" s="715"/>
      <c r="AO135" s="715"/>
      <c r="AP135" s="715"/>
      <c r="AQ135" s="715"/>
      <c r="AR135" s="715"/>
      <c r="AS135" s="715"/>
      <c r="AT135" s="715"/>
      <c r="AU135" s="715"/>
      <c r="AV135" s="715"/>
      <c r="AW135" s="715"/>
      <c r="AX135" s="715"/>
      <c r="AY135" s="715"/>
      <c r="AZ135" s="715"/>
      <c r="BA135" s="715"/>
      <c r="BB135" s="715"/>
      <c r="BC135" s="715"/>
      <c r="BD135" s="715"/>
      <c r="BE135" s="715"/>
      <c r="BF135" s="715"/>
      <c r="BG135" s="715"/>
      <c r="BH135" s="715"/>
      <c r="BI135" s="715"/>
      <c r="BJ135" s="715"/>
      <c r="BK135" s="715"/>
      <c r="BL135" s="715"/>
      <c r="BM135" s="715"/>
      <c r="BN135" s="715"/>
      <c r="BO135" s="715"/>
      <c r="BP135" s="715"/>
      <c r="BQ135" s="715"/>
      <c r="BR135" s="715"/>
      <c r="BS135" s="715"/>
      <c r="BT135" s="715"/>
      <c r="BU135" s="716"/>
      <c r="BV135" s="717">
        <f>BV141</f>
        <v>0</v>
      </c>
      <c r="BW135" s="718"/>
      <c r="BX135" s="718"/>
      <c r="BY135" s="718"/>
      <c r="BZ135" s="718"/>
      <c r="CA135" s="718"/>
      <c r="CB135" s="718"/>
      <c r="CC135" s="718"/>
      <c r="CD135" s="718"/>
      <c r="CE135" s="718"/>
      <c r="CF135" s="718"/>
      <c r="CG135" s="718"/>
      <c r="CH135" s="718"/>
      <c r="CI135" s="718"/>
      <c r="CJ135" s="718"/>
      <c r="CK135" s="719"/>
      <c r="CL135" s="717">
        <f>BV135*2.9%</f>
        <v>0</v>
      </c>
      <c r="CM135" s="718"/>
      <c r="CN135" s="718"/>
      <c r="CO135" s="718"/>
      <c r="CP135" s="718"/>
      <c r="CQ135" s="718"/>
      <c r="CR135" s="718"/>
      <c r="CS135" s="718"/>
      <c r="CT135" s="718"/>
      <c r="CU135" s="718"/>
      <c r="CV135" s="718"/>
      <c r="CW135" s="718"/>
      <c r="CX135" s="718"/>
      <c r="CY135" s="718"/>
      <c r="CZ135" s="719"/>
      <c r="DA135" s="232"/>
    </row>
    <row r="136" spans="1:105" s="17" customFormat="1" ht="29.25" hidden="1" customHeight="1" x14ac:dyDescent="0.25">
      <c r="A136" s="712"/>
      <c r="B136" s="713"/>
      <c r="C136" s="713"/>
      <c r="D136" s="713"/>
      <c r="E136" s="713"/>
      <c r="F136" s="714"/>
      <c r="G136" s="234"/>
      <c r="H136" s="723" t="s">
        <v>559</v>
      </c>
      <c r="I136" s="723"/>
      <c r="J136" s="723"/>
      <c r="K136" s="723"/>
      <c r="L136" s="723"/>
      <c r="M136" s="723"/>
      <c r="N136" s="723"/>
      <c r="O136" s="723"/>
      <c r="P136" s="723"/>
      <c r="Q136" s="723"/>
      <c r="R136" s="723"/>
      <c r="S136" s="723"/>
      <c r="T136" s="723"/>
      <c r="U136" s="723"/>
      <c r="V136" s="723"/>
      <c r="W136" s="723"/>
      <c r="X136" s="723"/>
      <c r="Y136" s="723"/>
      <c r="Z136" s="723"/>
      <c r="AA136" s="723"/>
      <c r="AB136" s="723"/>
      <c r="AC136" s="723"/>
      <c r="AD136" s="723"/>
      <c r="AE136" s="723"/>
      <c r="AF136" s="723"/>
      <c r="AG136" s="723"/>
      <c r="AH136" s="723"/>
      <c r="AI136" s="723"/>
      <c r="AJ136" s="723"/>
      <c r="AK136" s="723"/>
      <c r="AL136" s="723"/>
      <c r="AM136" s="723"/>
      <c r="AN136" s="723"/>
      <c r="AO136" s="723"/>
      <c r="AP136" s="723"/>
      <c r="AQ136" s="723"/>
      <c r="AR136" s="723"/>
      <c r="AS136" s="723"/>
      <c r="AT136" s="723"/>
      <c r="AU136" s="723"/>
      <c r="AV136" s="723"/>
      <c r="AW136" s="723"/>
      <c r="AX136" s="723"/>
      <c r="AY136" s="723"/>
      <c r="AZ136" s="723"/>
      <c r="BA136" s="723"/>
      <c r="BB136" s="723"/>
      <c r="BC136" s="723"/>
      <c r="BD136" s="723"/>
      <c r="BE136" s="723"/>
      <c r="BF136" s="723"/>
      <c r="BG136" s="723"/>
      <c r="BH136" s="723"/>
      <c r="BI136" s="723"/>
      <c r="BJ136" s="723"/>
      <c r="BK136" s="723"/>
      <c r="BL136" s="723"/>
      <c r="BM136" s="723"/>
      <c r="BN136" s="723"/>
      <c r="BO136" s="723"/>
      <c r="BP136" s="723"/>
      <c r="BQ136" s="723"/>
      <c r="BR136" s="723"/>
      <c r="BS136" s="723"/>
      <c r="BT136" s="723"/>
      <c r="BU136" s="724"/>
      <c r="BV136" s="720"/>
      <c r="BW136" s="721"/>
      <c r="BX136" s="721"/>
      <c r="BY136" s="721"/>
      <c r="BZ136" s="721"/>
      <c r="CA136" s="721"/>
      <c r="CB136" s="721"/>
      <c r="CC136" s="721"/>
      <c r="CD136" s="721"/>
      <c r="CE136" s="721"/>
      <c r="CF136" s="721"/>
      <c r="CG136" s="721"/>
      <c r="CH136" s="721"/>
      <c r="CI136" s="721"/>
      <c r="CJ136" s="721"/>
      <c r="CK136" s="722"/>
      <c r="CL136" s="720"/>
      <c r="CM136" s="721"/>
      <c r="CN136" s="721"/>
      <c r="CO136" s="721"/>
      <c r="CP136" s="721"/>
      <c r="CQ136" s="721"/>
      <c r="CR136" s="721"/>
      <c r="CS136" s="721"/>
      <c r="CT136" s="721"/>
      <c r="CU136" s="721"/>
      <c r="CV136" s="721"/>
      <c r="CW136" s="721"/>
      <c r="CX136" s="721"/>
      <c r="CY136" s="721"/>
      <c r="CZ136" s="722"/>
      <c r="DA136" s="232"/>
    </row>
    <row r="137" spans="1:105" s="17" customFormat="1" ht="13.5" hidden="1" customHeight="1" x14ac:dyDescent="0.25">
      <c r="A137" s="630" t="s">
        <v>73</v>
      </c>
      <c r="B137" s="631"/>
      <c r="C137" s="631"/>
      <c r="D137" s="631"/>
      <c r="E137" s="631"/>
      <c r="F137" s="632"/>
      <c r="G137" s="213"/>
      <c r="H137" s="707" t="s">
        <v>560</v>
      </c>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c r="BA137" s="707"/>
      <c r="BB137" s="707"/>
      <c r="BC137" s="707"/>
      <c r="BD137" s="707"/>
      <c r="BE137" s="707"/>
      <c r="BF137" s="707"/>
      <c r="BG137" s="707"/>
      <c r="BH137" s="707"/>
      <c r="BI137" s="707"/>
      <c r="BJ137" s="707"/>
      <c r="BK137" s="707"/>
      <c r="BL137" s="707"/>
      <c r="BM137" s="707"/>
      <c r="BN137" s="707"/>
      <c r="BO137" s="707"/>
      <c r="BP137" s="707"/>
      <c r="BQ137" s="707"/>
      <c r="BR137" s="707"/>
      <c r="BS137" s="707"/>
      <c r="BT137" s="707"/>
      <c r="BU137" s="708"/>
      <c r="BV137" s="547">
        <v>0</v>
      </c>
      <c r="BW137" s="548"/>
      <c r="BX137" s="548"/>
      <c r="BY137" s="548"/>
      <c r="BZ137" s="548"/>
      <c r="CA137" s="548"/>
      <c r="CB137" s="548"/>
      <c r="CC137" s="548"/>
      <c r="CD137" s="548"/>
      <c r="CE137" s="548"/>
      <c r="CF137" s="548"/>
      <c r="CG137" s="548"/>
      <c r="CH137" s="548"/>
      <c r="CI137" s="548"/>
      <c r="CJ137" s="548"/>
      <c r="CK137" s="549"/>
      <c r="CL137" s="547"/>
      <c r="CM137" s="548"/>
      <c r="CN137" s="548"/>
      <c r="CO137" s="548"/>
      <c r="CP137" s="548"/>
      <c r="CQ137" s="548"/>
      <c r="CR137" s="548"/>
      <c r="CS137" s="548"/>
      <c r="CT137" s="548"/>
      <c r="CU137" s="548"/>
      <c r="CV137" s="548"/>
      <c r="CW137" s="548"/>
      <c r="CX137" s="548"/>
      <c r="CY137" s="548"/>
      <c r="CZ137" s="549"/>
      <c r="DA137" s="232"/>
    </row>
    <row r="138" spans="1:105" s="17" customFormat="1" ht="30.75" hidden="1" customHeight="1" x14ac:dyDescent="0.25">
      <c r="A138" s="630" t="s">
        <v>74</v>
      </c>
      <c r="B138" s="631"/>
      <c r="C138" s="631"/>
      <c r="D138" s="631"/>
      <c r="E138" s="631"/>
      <c r="F138" s="632"/>
      <c r="G138" s="213"/>
      <c r="H138" s="707" t="s">
        <v>561</v>
      </c>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c r="BA138" s="707"/>
      <c r="BB138" s="707"/>
      <c r="BC138" s="707"/>
      <c r="BD138" s="707"/>
      <c r="BE138" s="707"/>
      <c r="BF138" s="707"/>
      <c r="BG138" s="707"/>
      <c r="BH138" s="707"/>
      <c r="BI138" s="707"/>
      <c r="BJ138" s="707"/>
      <c r="BK138" s="707"/>
      <c r="BL138" s="707"/>
      <c r="BM138" s="707"/>
      <c r="BN138" s="707"/>
      <c r="BO138" s="707"/>
      <c r="BP138" s="707"/>
      <c r="BQ138" s="707"/>
      <c r="BR138" s="707"/>
      <c r="BS138" s="707"/>
      <c r="BT138" s="707"/>
      <c r="BU138" s="708"/>
      <c r="BV138" s="547">
        <f>BV141</f>
        <v>0</v>
      </c>
      <c r="BW138" s="548"/>
      <c r="BX138" s="548"/>
      <c r="BY138" s="548"/>
      <c r="BZ138" s="548"/>
      <c r="CA138" s="548"/>
      <c r="CB138" s="548"/>
      <c r="CC138" s="548"/>
      <c r="CD138" s="548"/>
      <c r="CE138" s="548"/>
      <c r="CF138" s="548"/>
      <c r="CG138" s="548"/>
      <c r="CH138" s="548"/>
      <c r="CI138" s="548"/>
      <c r="CJ138" s="548"/>
      <c r="CK138" s="549"/>
      <c r="CL138" s="547">
        <f>BV138*0.2%</f>
        <v>0</v>
      </c>
      <c r="CM138" s="548"/>
      <c r="CN138" s="548"/>
      <c r="CO138" s="548"/>
      <c r="CP138" s="548"/>
      <c r="CQ138" s="548"/>
      <c r="CR138" s="548"/>
      <c r="CS138" s="548"/>
      <c r="CT138" s="548"/>
      <c r="CU138" s="548"/>
      <c r="CV138" s="548"/>
      <c r="CW138" s="548"/>
      <c r="CX138" s="548"/>
      <c r="CY138" s="548"/>
      <c r="CZ138" s="549"/>
      <c r="DA138" s="232"/>
    </row>
    <row r="139" spans="1:105" s="17" customFormat="1" ht="13.5" hidden="1" customHeight="1" x14ac:dyDescent="0.25">
      <c r="A139" s="630" t="s">
        <v>562</v>
      </c>
      <c r="B139" s="631"/>
      <c r="C139" s="631"/>
      <c r="D139" s="631"/>
      <c r="E139" s="631"/>
      <c r="F139" s="632"/>
      <c r="G139" s="213"/>
      <c r="H139" s="707" t="s">
        <v>563</v>
      </c>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707"/>
      <c r="BF139" s="707"/>
      <c r="BG139" s="707"/>
      <c r="BH139" s="707"/>
      <c r="BI139" s="707"/>
      <c r="BJ139" s="707"/>
      <c r="BK139" s="707"/>
      <c r="BL139" s="707"/>
      <c r="BM139" s="707"/>
      <c r="BN139" s="707"/>
      <c r="BO139" s="707"/>
      <c r="BP139" s="707"/>
      <c r="BQ139" s="707"/>
      <c r="BR139" s="707"/>
      <c r="BS139" s="707"/>
      <c r="BT139" s="707"/>
      <c r="BU139" s="708"/>
      <c r="BV139" s="547"/>
      <c r="BW139" s="548"/>
      <c r="BX139" s="548"/>
      <c r="BY139" s="548"/>
      <c r="BZ139" s="548"/>
      <c r="CA139" s="548"/>
      <c r="CB139" s="548"/>
      <c r="CC139" s="548"/>
      <c r="CD139" s="548"/>
      <c r="CE139" s="548"/>
      <c r="CF139" s="548"/>
      <c r="CG139" s="548"/>
      <c r="CH139" s="548"/>
      <c r="CI139" s="548"/>
      <c r="CJ139" s="548"/>
      <c r="CK139" s="549"/>
      <c r="CL139" s="547"/>
      <c r="CM139" s="548"/>
      <c r="CN139" s="548"/>
      <c r="CO139" s="548"/>
      <c r="CP139" s="548"/>
      <c r="CQ139" s="548"/>
      <c r="CR139" s="548"/>
      <c r="CS139" s="548"/>
      <c r="CT139" s="548"/>
      <c r="CU139" s="548"/>
      <c r="CV139" s="548"/>
      <c r="CW139" s="548"/>
      <c r="CX139" s="548"/>
      <c r="CY139" s="548"/>
      <c r="CZ139" s="549"/>
      <c r="DA139" s="232"/>
    </row>
    <row r="140" spans="1:105" s="17" customFormat="1" ht="13.5" hidden="1" customHeight="1" x14ac:dyDescent="0.25">
      <c r="A140" s="630" t="s">
        <v>564</v>
      </c>
      <c r="B140" s="631"/>
      <c r="C140" s="631"/>
      <c r="D140" s="631"/>
      <c r="E140" s="631"/>
      <c r="F140" s="632"/>
      <c r="G140" s="213"/>
      <c r="H140" s="707" t="s">
        <v>563</v>
      </c>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c r="BA140" s="707"/>
      <c r="BB140" s="707"/>
      <c r="BC140" s="707"/>
      <c r="BD140" s="707"/>
      <c r="BE140" s="707"/>
      <c r="BF140" s="707"/>
      <c r="BG140" s="707"/>
      <c r="BH140" s="707"/>
      <c r="BI140" s="707"/>
      <c r="BJ140" s="707"/>
      <c r="BK140" s="707"/>
      <c r="BL140" s="707"/>
      <c r="BM140" s="707"/>
      <c r="BN140" s="707"/>
      <c r="BO140" s="707"/>
      <c r="BP140" s="707"/>
      <c r="BQ140" s="707"/>
      <c r="BR140" s="707"/>
      <c r="BS140" s="707"/>
      <c r="BT140" s="707"/>
      <c r="BU140" s="708"/>
      <c r="BV140" s="547"/>
      <c r="BW140" s="548"/>
      <c r="BX140" s="548"/>
      <c r="BY140" s="548"/>
      <c r="BZ140" s="548"/>
      <c r="CA140" s="548"/>
      <c r="CB140" s="548"/>
      <c r="CC140" s="548"/>
      <c r="CD140" s="548"/>
      <c r="CE140" s="548"/>
      <c r="CF140" s="548"/>
      <c r="CG140" s="548"/>
      <c r="CH140" s="548"/>
      <c r="CI140" s="548"/>
      <c r="CJ140" s="548"/>
      <c r="CK140" s="549"/>
      <c r="CL140" s="547"/>
      <c r="CM140" s="548"/>
      <c r="CN140" s="548"/>
      <c r="CO140" s="548"/>
      <c r="CP140" s="548"/>
      <c r="CQ140" s="548"/>
      <c r="CR140" s="548"/>
      <c r="CS140" s="548"/>
      <c r="CT140" s="548"/>
      <c r="CU140" s="548"/>
      <c r="CV140" s="548"/>
      <c r="CW140" s="548"/>
      <c r="CX140" s="548"/>
      <c r="CY140" s="548"/>
      <c r="CZ140" s="549"/>
      <c r="DA140" s="232"/>
    </row>
    <row r="141" spans="1:105" s="17" customFormat="1" ht="13.5" hidden="1" customHeight="1" x14ac:dyDescent="0.25">
      <c r="A141" s="630" t="s">
        <v>462</v>
      </c>
      <c r="B141" s="631"/>
      <c r="C141" s="631"/>
      <c r="D141" s="631"/>
      <c r="E141" s="631"/>
      <c r="F141" s="632"/>
      <c r="G141" s="213"/>
      <c r="H141" s="585" t="s">
        <v>565</v>
      </c>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c r="AV141" s="585"/>
      <c r="AW141" s="585"/>
      <c r="AX141" s="585"/>
      <c r="AY141" s="585"/>
      <c r="AZ141" s="585"/>
      <c r="BA141" s="585"/>
      <c r="BB141" s="585"/>
      <c r="BC141" s="585"/>
      <c r="BD141" s="585"/>
      <c r="BE141" s="585"/>
      <c r="BF141" s="585"/>
      <c r="BG141" s="585"/>
      <c r="BH141" s="585"/>
      <c r="BI141" s="585"/>
      <c r="BJ141" s="585"/>
      <c r="BK141" s="585"/>
      <c r="BL141" s="585"/>
      <c r="BM141" s="585"/>
      <c r="BN141" s="585"/>
      <c r="BO141" s="585"/>
      <c r="BP141" s="585"/>
      <c r="BQ141" s="585"/>
      <c r="BR141" s="585"/>
      <c r="BS141" s="585"/>
      <c r="BT141" s="585"/>
      <c r="BU141" s="586"/>
      <c r="BV141" s="547">
        <v>0</v>
      </c>
      <c r="BW141" s="548"/>
      <c r="BX141" s="548"/>
      <c r="BY141" s="548"/>
      <c r="BZ141" s="548"/>
      <c r="CA141" s="548"/>
      <c r="CB141" s="548"/>
      <c r="CC141" s="548"/>
      <c r="CD141" s="548"/>
      <c r="CE141" s="548"/>
      <c r="CF141" s="548"/>
      <c r="CG141" s="548"/>
      <c r="CH141" s="548"/>
      <c r="CI141" s="548"/>
      <c r="CJ141" s="548"/>
      <c r="CK141" s="549"/>
      <c r="CL141" s="767">
        <f>BV141*5.1%</f>
        <v>0</v>
      </c>
      <c r="CM141" s="768"/>
      <c r="CN141" s="768"/>
      <c r="CO141" s="768"/>
      <c r="CP141" s="768"/>
      <c r="CQ141" s="768"/>
      <c r="CR141" s="768"/>
      <c r="CS141" s="768"/>
      <c r="CT141" s="768"/>
      <c r="CU141" s="768"/>
      <c r="CV141" s="768"/>
      <c r="CW141" s="768"/>
      <c r="CX141" s="768"/>
      <c r="CY141" s="768"/>
      <c r="CZ141" s="769"/>
      <c r="DA141" s="235"/>
    </row>
    <row r="142" spans="1:105" s="17" customFormat="1" ht="13.5" hidden="1" customHeight="1" x14ac:dyDescent="0.25">
      <c r="A142" s="630"/>
      <c r="B142" s="631"/>
      <c r="C142" s="631"/>
      <c r="D142" s="631"/>
      <c r="E142" s="631"/>
      <c r="F142" s="632"/>
      <c r="G142" s="607" t="s">
        <v>292</v>
      </c>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8"/>
      <c r="AZ142" s="608"/>
      <c r="BA142" s="608"/>
      <c r="BB142" s="608"/>
      <c r="BC142" s="608"/>
      <c r="BD142" s="608"/>
      <c r="BE142" s="608"/>
      <c r="BF142" s="608"/>
      <c r="BG142" s="608"/>
      <c r="BH142" s="608"/>
      <c r="BI142" s="608"/>
      <c r="BJ142" s="608"/>
      <c r="BK142" s="608"/>
      <c r="BL142" s="608"/>
      <c r="BM142" s="608"/>
      <c r="BN142" s="608"/>
      <c r="BO142" s="608"/>
      <c r="BP142" s="608"/>
      <c r="BQ142" s="608"/>
      <c r="BR142" s="608"/>
      <c r="BS142" s="608"/>
      <c r="BT142" s="608"/>
      <c r="BU142" s="609"/>
      <c r="BV142" s="647" t="s">
        <v>4</v>
      </c>
      <c r="BW142" s="637"/>
      <c r="BX142" s="637"/>
      <c r="BY142" s="637"/>
      <c r="BZ142" s="637"/>
      <c r="CA142" s="637"/>
      <c r="CB142" s="637"/>
      <c r="CC142" s="637"/>
      <c r="CD142" s="637"/>
      <c r="CE142" s="637"/>
      <c r="CF142" s="637"/>
      <c r="CG142" s="637"/>
      <c r="CH142" s="637"/>
      <c r="CI142" s="637"/>
      <c r="CJ142" s="637"/>
      <c r="CK142" s="638"/>
      <c r="CL142" s="636">
        <v>0</v>
      </c>
      <c r="CM142" s="654"/>
      <c r="CN142" s="654"/>
      <c r="CO142" s="654"/>
      <c r="CP142" s="654"/>
      <c r="CQ142" s="654"/>
      <c r="CR142" s="654"/>
      <c r="CS142" s="654"/>
      <c r="CT142" s="654"/>
      <c r="CU142" s="654"/>
      <c r="CV142" s="654"/>
      <c r="CW142" s="654"/>
      <c r="CX142" s="654"/>
      <c r="CY142" s="654"/>
      <c r="CZ142" s="655"/>
      <c r="DA142" s="235"/>
    </row>
    <row r="143" spans="1:105" s="17" customFormat="1" ht="13.5" customHeight="1" x14ac:dyDescent="0.25">
      <c r="A143" s="630"/>
      <c r="B143" s="631"/>
      <c r="C143" s="631"/>
      <c r="D143" s="631"/>
      <c r="E143" s="631"/>
      <c r="F143" s="632"/>
      <c r="G143" s="607" t="s">
        <v>56</v>
      </c>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8"/>
      <c r="AY143" s="608"/>
      <c r="AZ143" s="608"/>
      <c r="BA143" s="608"/>
      <c r="BB143" s="608"/>
      <c r="BC143" s="608"/>
      <c r="BD143" s="608"/>
      <c r="BE143" s="608"/>
      <c r="BF143" s="608"/>
      <c r="BG143" s="608"/>
      <c r="BH143" s="608"/>
      <c r="BI143" s="608"/>
      <c r="BJ143" s="608"/>
      <c r="BK143" s="608"/>
      <c r="BL143" s="608"/>
      <c r="BM143" s="608"/>
      <c r="BN143" s="608"/>
      <c r="BO143" s="608"/>
      <c r="BP143" s="608"/>
      <c r="BQ143" s="608"/>
      <c r="BR143" s="608"/>
      <c r="BS143" s="608"/>
      <c r="BT143" s="608"/>
      <c r="BU143" s="609"/>
      <c r="BV143" s="647" t="s">
        <v>4</v>
      </c>
      <c r="BW143" s="637"/>
      <c r="BX143" s="637"/>
      <c r="BY143" s="637"/>
      <c r="BZ143" s="637"/>
      <c r="CA143" s="637"/>
      <c r="CB143" s="637"/>
      <c r="CC143" s="637"/>
      <c r="CD143" s="637"/>
      <c r="CE143" s="637"/>
      <c r="CF143" s="637"/>
      <c r="CG143" s="637"/>
      <c r="CH143" s="637"/>
      <c r="CI143" s="637"/>
      <c r="CJ143" s="637"/>
      <c r="CK143" s="638"/>
      <c r="CL143" s="636">
        <f>CL115+CL127+CL142</f>
        <v>26301448.68846</v>
      </c>
      <c r="CM143" s="654"/>
      <c r="CN143" s="654"/>
      <c r="CO143" s="654"/>
      <c r="CP143" s="654"/>
      <c r="CQ143" s="654"/>
      <c r="CR143" s="654"/>
      <c r="CS143" s="654"/>
      <c r="CT143" s="654"/>
      <c r="CU143" s="654"/>
      <c r="CV143" s="654"/>
      <c r="CW143" s="654"/>
      <c r="CX143" s="654"/>
      <c r="CY143" s="654"/>
      <c r="CZ143" s="655"/>
      <c r="DA143" s="235"/>
    </row>
    <row r="144" spans="1:105" s="17" customFormat="1" ht="13.5" customHeight="1" x14ac:dyDescent="0.25">
      <c r="A144" s="221"/>
      <c r="B144" s="221"/>
      <c r="C144" s="221"/>
      <c r="D144" s="221"/>
      <c r="E144" s="221"/>
      <c r="F144" s="221"/>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9"/>
      <c r="CM144" s="229"/>
      <c r="CN144" s="229"/>
      <c r="CO144" s="229"/>
      <c r="CP144" s="229"/>
      <c r="CQ144" s="229"/>
      <c r="CR144" s="229"/>
      <c r="CS144" s="229"/>
      <c r="CT144" s="229"/>
      <c r="CU144" s="229"/>
      <c r="CV144" s="229"/>
      <c r="CW144" s="229"/>
      <c r="CX144" s="229"/>
      <c r="CY144" s="229"/>
      <c r="CZ144" s="229"/>
      <c r="DA144" s="235"/>
    </row>
    <row r="145" spans="1:105" s="17" customFormat="1" ht="30" hidden="1" customHeight="1" x14ac:dyDescent="0.25">
      <c r="A145" s="524" t="s">
        <v>377</v>
      </c>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4"/>
      <c r="AY145" s="524"/>
      <c r="AZ145" s="524"/>
      <c r="BA145" s="524"/>
      <c r="BB145" s="524"/>
      <c r="BC145" s="524"/>
      <c r="BD145" s="524"/>
      <c r="BE145" s="524"/>
      <c r="BF145" s="524"/>
      <c r="BG145" s="524"/>
      <c r="BH145" s="524"/>
      <c r="BI145" s="524"/>
      <c r="BJ145" s="524"/>
      <c r="BK145" s="524"/>
      <c r="BL145" s="524"/>
      <c r="BM145" s="524"/>
      <c r="BN145" s="524"/>
      <c r="BO145" s="524"/>
      <c r="BP145" s="524"/>
      <c r="BQ145" s="524"/>
      <c r="BR145" s="524"/>
      <c r="BS145" s="524"/>
      <c r="BT145" s="524"/>
      <c r="BU145" s="524"/>
      <c r="BV145" s="524"/>
      <c r="BW145" s="524"/>
      <c r="BX145" s="524"/>
      <c r="BY145" s="524"/>
      <c r="BZ145" s="524"/>
      <c r="CA145" s="524"/>
      <c r="CB145" s="524"/>
      <c r="CC145" s="524"/>
      <c r="CD145" s="524"/>
      <c r="CE145" s="524"/>
      <c r="CF145" s="524"/>
      <c r="CG145" s="524"/>
      <c r="CH145" s="524"/>
      <c r="CI145" s="524"/>
      <c r="CJ145" s="524"/>
      <c r="CK145" s="524"/>
      <c r="CL145" s="524"/>
      <c r="CM145" s="524"/>
      <c r="CN145" s="524"/>
      <c r="CO145" s="524"/>
      <c r="CP145" s="524"/>
      <c r="CQ145" s="524"/>
      <c r="CR145" s="524"/>
      <c r="CS145" s="524"/>
      <c r="CT145" s="524"/>
      <c r="CU145" s="524"/>
      <c r="CV145" s="524"/>
      <c r="CW145" s="524"/>
      <c r="CX145" s="524"/>
      <c r="CY145" s="524"/>
      <c r="CZ145" s="524"/>
      <c r="DA145" s="235"/>
    </row>
    <row r="146" spans="1:105" s="17" customFormat="1" ht="8.4" hidden="1" customHeight="1" x14ac:dyDescent="0.25">
      <c r="A146" s="221"/>
      <c r="B146" s="221"/>
      <c r="C146" s="221"/>
      <c r="D146" s="221"/>
      <c r="E146" s="221"/>
      <c r="F146" s="2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9"/>
      <c r="CM146" s="229"/>
      <c r="CN146" s="229"/>
      <c r="CO146" s="229"/>
      <c r="CP146" s="229"/>
      <c r="CQ146" s="229"/>
      <c r="CR146" s="229"/>
      <c r="CS146" s="229"/>
      <c r="CT146" s="229"/>
      <c r="CU146" s="229"/>
      <c r="CV146" s="229"/>
      <c r="CW146" s="229"/>
      <c r="CX146" s="229"/>
      <c r="CY146" s="229"/>
      <c r="CZ146" s="229"/>
      <c r="DA146" s="235"/>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95" t="s">
        <v>553</v>
      </c>
      <c r="X147" s="595"/>
      <c r="Y147" s="595"/>
      <c r="Z147" s="595"/>
      <c r="AA147" s="595"/>
      <c r="AB147" s="595"/>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595"/>
      <c r="BB147" s="595"/>
      <c r="BC147" s="595"/>
      <c r="BD147" s="595"/>
      <c r="BE147" s="595"/>
      <c r="BF147" s="595"/>
      <c r="BG147" s="595"/>
      <c r="BH147" s="595"/>
      <c r="BI147" s="595"/>
      <c r="BJ147" s="595"/>
      <c r="BK147" s="595"/>
      <c r="BL147" s="595"/>
      <c r="BM147" s="595"/>
      <c r="BN147" s="595"/>
      <c r="BO147" s="595"/>
      <c r="BP147" s="595"/>
      <c r="BQ147" s="595"/>
      <c r="BR147" s="595"/>
      <c r="BS147" s="595"/>
      <c r="BT147" s="595"/>
      <c r="BU147" s="595"/>
      <c r="BV147" s="595"/>
      <c r="BW147" s="595"/>
      <c r="BX147" s="595"/>
      <c r="BY147" s="595"/>
      <c r="BZ147" s="595"/>
      <c r="CA147" s="595"/>
      <c r="CB147" s="595"/>
      <c r="CC147" s="595"/>
      <c r="CD147" s="595"/>
      <c r="CE147" s="595"/>
      <c r="CF147" s="595"/>
      <c r="CG147" s="595"/>
      <c r="CH147" s="595"/>
      <c r="CI147" s="595"/>
      <c r="CJ147" s="595"/>
      <c r="CK147" s="595"/>
      <c r="CL147" s="595"/>
      <c r="CM147" s="595"/>
      <c r="CN147" s="595"/>
      <c r="CO147" s="595"/>
      <c r="CP147" s="595"/>
      <c r="CQ147" s="595"/>
      <c r="CR147" s="595"/>
      <c r="CS147" s="595"/>
      <c r="CT147" s="595"/>
      <c r="CU147" s="595"/>
      <c r="CV147" s="595"/>
      <c r="CW147" s="595"/>
      <c r="CX147" s="595"/>
      <c r="CY147" s="595"/>
      <c r="CZ147" s="595"/>
      <c r="DA147" s="235"/>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5"/>
    </row>
    <row r="149" spans="1:105" s="17" customFormat="1" ht="13.5" hidden="1" customHeight="1" x14ac:dyDescent="0.25">
      <c r="A149" s="606" t="s">
        <v>49</v>
      </c>
      <c r="B149" s="606"/>
      <c r="C149" s="606"/>
      <c r="D149" s="606"/>
      <c r="E149" s="606"/>
      <c r="F149" s="606"/>
      <c r="G149" s="606" t="s">
        <v>64</v>
      </c>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06"/>
      <c r="AL149" s="606"/>
      <c r="AM149" s="606"/>
      <c r="AN149" s="606"/>
      <c r="AO149" s="606"/>
      <c r="AP149" s="606"/>
      <c r="AQ149" s="606"/>
      <c r="AR149" s="606"/>
      <c r="AS149" s="606"/>
      <c r="AT149" s="606"/>
      <c r="AU149" s="606"/>
      <c r="AV149" s="606"/>
      <c r="AW149" s="606"/>
      <c r="AX149" s="606"/>
      <c r="AY149" s="606"/>
      <c r="AZ149" s="606"/>
      <c r="BA149" s="606"/>
      <c r="BB149" s="606"/>
      <c r="BC149" s="606"/>
      <c r="BD149" s="606"/>
      <c r="BE149" s="606"/>
      <c r="BF149" s="606"/>
      <c r="BG149" s="606"/>
      <c r="BH149" s="606"/>
      <c r="BI149" s="606"/>
      <c r="BJ149" s="606"/>
      <c r="BK149" s="606"/>
      <c r="BL149" s="606"/>
      <c r="BM149" s="606"/>
      <c r="BN149" s="606"/>
      <c r="BO149" s="606"/>
      <c r="BP149" s="606"/>
      <c r="BQ149" s="606"/>
      <c r="BR149" s="606"/>
      <c r="BS149" s="606"/>
      <c r="BT149" s="606"/>
      <c r="BU149" s="606"/>
      <c r="BV149" s="597" t="s">
        <v>65</v>
      </c>
      <c r="BW149" s="598"/>
      <c r="BX149" s="598"/>
      <c r="BY149" s="598"/>
      <c r="BZ149" s="598"/>
      <c r="CA149" s="598"/>
      <c r="CB149" s="598"/>
      <c r="CC149" s="598"/>
      <c r="CD149" s="598"/>
      <c r="CE149" s="598"/>
      <c r="CF149" s="598"/>
      <c r="CG149" s="598"/>
      <c r="CH149" s="598"/>
      <c r="CI149" s="598"/>
      <c r="CJ149" s="598"/>
      <c r="CK149" s="599"/>
      <c r="CL149" s="597" t="s">
        <v>66</v>
      </c>
      <c r="CM149" s="598"/>
      <c r="CN149" s="598"/>
      <c r="CO149" s="598"/>
      <c r="CP149" s="598"/>
      <c r="CQ149" s="598"/>
      <c r="CR149" s="598"/>
      <c r="CS149" s="598"/>
      <c r="CT149" s="598"/>
      <c r="CU149" s="598"/>
      <c r="CV149" s="598"/>
      <c r="CW149" s="598"/>
      <c r="CX149" s="598"/>
      <c r="CY149" s="598"/>
      <c r="CZ149" s="598"/>
      <c r="DA149" s="235"/>
    </row>
    <row r="150" spans="1:105" s="17" customFormat="1" ht="13.5" hidden="1" customHeight="1" x14ac:dyDescent="0.25">
      <c r="A150" s="591">
        <v>1</v>
      </c>
      <c r="B150" s="591"/>
      <c r="C150" s="591"/>
      <c r="D150" s="591"/>
      <c r="E150" s="591"/>
      <c r="F150" s="591"/>
      <c r="G150" s="591">
        <v>2</v>
      </c>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1"/>
      <c r="AY150" s="591"/>
      <c r="AZ150" s="591"/>
      <c r="BA150" s="591"/>
      <c r="BB150" s="591"/>
      <c r="BC150" s="591"/>
      <c r="BD150" s="591"/>
      <c r="BE150" s="591"/>
      <c r="BF150" s="591"/>
      <c r="BG150" s="591"/>
      <c r="BH150" s="591"/>
      <c r="BI150" s="591"/>
      <c r="BJ150" s="591"/>
      <c r="BK150" s="591"/>
      <c r="BL150" s="591"/>
      <c r="BM150" s="591"/>
      <c r="BN150" s="591"/>
      <c r="BO150" s="591"/>
      <c r="BP150" s="591"/>
      <c r="BQ150" s="591"/>
      <c r="BR150" s="591"/>
      <c r="BS150" s="591"/>
      <c r="BT150" s="591"/>
      <c r="BU150" s="591"/>
      <c r="BV150" s="591">
        <v>3</v>
      </c>
      <c r="BW150" s="591"/>
      <c r="BX150" s="591"/>
      <c r="BY150" s="591"/>
      <c r="BZ150" s="591"/>
      <c r="CA150" s="591"/>
      <c r="CB150" s="591"/>
      <c r="CC150" s="591"/>
      <c r="CD150" s="591"/>
      <c r="CE150" s="591"/>
      <c r="CF150" s="591"/>
      <c r="CG150" s="591"/>
      <c r="CH150" s="591"/>
      <c r="CI150" s="591"/>
      <c r="CJ150" s="591"/>
      <c r="CK150" s="591"/>
      <c r="CL150" s="591">
        <v>4</v>
      </c>
      <c r="CM150" s="591"/>
      <c r="CN150" s="591"/>
      <c r="CO150" s="591"/>
      <c r="CP150" s="591"/>
      <c r="CQ150" s="591"/>
      <c r="CR150" s="591"/>
      <c r="CS150" s="591"/>
      <c r="CT150" s="591"/>
      <c r="CU150" s="591"/>
      <c r="CV150" s="591"/>
      <c r="CW150" s="591"/>
      <c r="CX150" s="591"/>
      <c r="CY150" s="591"/>
      <c r="CZ150" s="591"/>
      <c r="DA150" s="235"/>
    </row>
    <row r="151" spans="1:105" s="17" customFormat="1" ht="13.5" hidden="1" customHeight="1" x14ac:dyDescent="0.25">
      <c r="A151" s="648" t="s">
        <v>889</v>
      </c>
      <c r="B151" s="649"/>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9"/>
      <c r="AL151" s="649"/>
      <c r="AM151" s="649"/>
      <c r="AN151" s="649"/>
      <c r="AO151" s="649"/>
      <c r="AP151" s="649"/>
      <c r="AQ151" s="649"/>
      <c r="AR151" s="649"/>
      <c r="AS151" s="649"/>
      <c r="AT151" s="649"/>
      <c r="AU151" s="649"/>
      <c r="AV151" s="649"/>
      <c r="AW151" s="649"/>
      <c r="AX151" s="649"/>
      <c r="AY151" s="649"/>
      <c r="AZ151" s="649"/>
      <c r="BA151" s="649"/>
      <c r="BB151" s="649"/>
      <c r="BC151" s="649"/>
      <c r="BD151" s="649"/>
      <c r="BE151" s="649"/>
      <c r="BF151" s="649"/>
      <c r="BG151" s="649"/>
      <c r="BH151" s="649"/>
      <c r="BI151" s="649"/>
      <c r="BJ151" s="649"/>
      <c r="BK151" s="649"/>
      <c r="BL151" s="649"/>
      <c r="BM151" s="649"/>
      <c r="BN151" s="649"/>
      <c r="BO151" s="649"/>
      <c r="BP151" s="649"/>
      <c r="BQ151" s="649"/>
      <c r="BR151" s="649"/>
      <c r="BS151" s="649"/>
      <c r="BT151" s="649"/>
      <c r="BU151" s="649"/>
      <c r="BV151" s="649"/>
      <c r="BW151" s="649"/>
      <c r="BX151" s="649"/>
      <c r="BY151" s="649"/>
      <c r="BZ151" s="649"/>
      <c r="CA151" s="649"/>
      <c r="CB151" s="649"/>
      <c r="CC151" s="649"/>
      <c r="CD151" s="649"/>
      <c r="CE151" s="649"/>
      <c r="CF151" s="649"/>
      <c r="CG151" s="649"/>
      <c r="CH151" s="649"/>
      <c r="CI151" s="649"/>
      <c r="CJ151" s="649"/>
      <c r="CK151" s="649"/>
      <c r="CL151" s="649"/>
      <c r="CM151" s="649"/>
      <c r="CN151" s="649"/>
      <c r="CO151" s="649"/>
      <c r="CP151" s="649"/>
      <c r="CQ151" s="649"/>
      <c r="CR151" s="649"/>
      <c r="CS151" s="649"/>
      <c r="CT151" s="649"/>
      <c r="CU151" s="649"/>
      <c r="CV151" s="649"/>
      <c r="CW151" s="649"/>
      <c r="CX151" s="649"/>
      <c r="CY151" s="649"/>
      <c r="CZ151" s="649"/>
      <c r="DA151" s="235"/>
    </row>
    <row r="152" spans="1:105" s="17" customFormat="1" ht="13.5" hidden="1" customHeight="1" x14ac:dyDescent="0.25">
      <c r="A152" s="659" t="s">
        <v>67</v>
      </c>
      <c r="B152" s="659"/>
      <c r="C152" s="659"/>
      <c r="D152" s="659"/>
      <c r="E152" s="659"/>
      <c r="F152" s="659"/>
      <c r="G152" s="213"/>
      <c r="H152" s="585" t="s">
        <v>369</v>
      </c>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5"/>
      <c r="AL152" s="585"/>
      <c r="AM152" s="585"/>
      <c r="AN152" s="585"/>
      <c r="AO152" s="585"/>
      <c r="AP152" s="585"/>
      <c r="AQ152" s="585"/>
      <c r="AR152" s="585"/>
      <c r="AS152" s="585"/>
      <c r="AT152" s="585"/>
      <c r="AU152" s="585"/>
      <c r="AV152" s="585"/>
      <c r="AW152" s="585"/>
      <c r="AX152" s="585"/>
      <c r="AY152" s="585"/>
      <c r="AZ152" s="585"/>
      <c r="BA152" s="585"/>
      <c r="BB152" s="585"/>
      <c r="BC152" s="585"/>
      <c r="BD152" s="585"/>
      <c r="BE152" s="585"/>
      <c r="BF152" s="585"/>
      <c r="BG152" s="585"/>
      <c r="BH152" s="585"/>
      <c r="BI152" s="585"/>
      <c r="BJ152" s="585"/>
      <c r="BK152" s="585"/>
      <c r="BL152" s="585"/>
      <c r="BM152" s="585"/>
      <c r="BN152" s="585"/>
      <c r="BO152" s="585"/>
      <c r="BP152" s="585"/>
      <c r="BQ152" s="585"/>
      <c r="BR152" s="585"/>
      <c r="BS152" s="585"/>
      <c r="BT152" s="585"/>
      <c r="BU152" s="586"/>
      <c r="BV152" s="582" t="s">
        <v>4</v>
      </c>
      <c r="BW152" s="582"/>
      <c r="BX152" s="582"/>
      <c r="BY152" s="582"/>
      <c r="BZ152" s="582"/>
      <c r="CA152" s="582"/>
      <c r="CB152" s="582"/>
      <c r="CC152" s="582"/>
      <c r="CD152" s="582"/>
      <c r="CE152" s="582"/>
      <c r="CF152" s="582"/>
      <c r="CG152" s="582"/>
      <c r="CH152" s="582"/>
      <c r="CI152" s="582"/>
      <c r="CJ152" s="582"/>
      <c r="CK152" s="582"/>
      <c r="CL152" s="582"/>
      <c r="CM152" s="582"/>
      <c r="CN152" s="582"/>
      <c r="CO152" s="582"/>
      <c r="CP152" s="582"/>
      <c r="CQ152" s="582"/>
      <c r="CR152" s="582"/>
      <c r="CS152" s="582"/>
      <c r="CT152" s="582"/>
      <c r="CU152" s="582"/>
      <c r="CV152" s="582"/>
      <c r="CW152" s="582"/>
      <c r="CX152" s="582"/>
      <c r="CY152" s="582"/>
      <c r="CZ152" s="582"/>
      <c r="DA152" s="235"/>
    </row>
    <row r="153" spans="1:105" s="17" customFormat="1" ht="13.5" hidden="1" customHeight="1" x14ac:dyDescent="0.25">
      <c r="A153" s="709" t="s">
        <v>68</v>
      </c>
      <c r="B153" s="710"/>
      <c r="C153" s="710"/>
      <c r="D153" s="710"/>
      <c r="E153" s="710"/>
      <c r="F153" s="711"/>
      <c r="G153" s="233"/>
      <c r="H153" s="715" t="s">
        <v>3</v>
      </c>
      <c r="I153" s="715"/>
      <c r="J153" s="715"/>
      <c r="K153" s="715"/>
      <c r="L153" s="715"/>
      <c r="M153" s="715"/>
      <c r="N153" s="715"/>
      <c r="O153" s="715"/>
      <c r="P153" s="715"/>
      <c r="Q153" s="715"/>
      <c r="R153" s="715"/>
      <c r="S153" s="715"/>
      <c r="T153" s="715"/>
      <c r="U153" s="715"/>
      <c r="V153" s="715"/>
      <c r="W153" s="715"/>
      <c r="X153" s="715"/>
      <c r="Y153" s="715"/>
      <c r="Z153" s="715"/>
      <c r="AA153" s="715"/>
      <c r="AB153" s="715"/>
      <c r="AC153" s="715"/>
      <c r="AD153" s="715"/>
      <c r="AE153" s="715"/>
      <c r="AF153" s="715"/>
      <c r="AG153" s="715"/>
      <c r="AH153" s="715"/>
      <c r="AI153" s="715"/>
      <c r="AJ153" s="715"/>
      <c r="AK153" s="715"/>
      <c r="AL153" s="715"/>
      <c r="AM153" s="715"/>
      <c r="AN153" s="715"/>
      <c r="AO153" s="715"/>
      <c r="AP153" s="715"/>
      <c r="AQ153" s="715"/>
      <c r="AR153" s="715"/>
      <c r="AS153" s="715"/>
      <c r="AT153" s="715"/>
      <c r="AU153" s="715"/>
      <c r="AV153" s="715"/>
      <c r="AW153" s="715"/>
      <c r="AX153" s="715"/>
      <c r="AY153" s="715"/>
      <c r="AZ153" s="715"/>
      <c r="BA153" s="715"/>
      <c r="BB153" s="715"/>
      <c r="BC153" s="715"/>
      <c r="BD153" s="715"/>
      <c r="BE153" s="715"/>
      <c r="BF153" s="715"/>
      <c r="BG153" s="715"/>
      <c r="BH153" s="715"/>
      <c r="BI153" s="715"/>
      <c r="BJ153" s="715"/>
      <c r="BK153" s="715"/>
      <c r="BL153" s="715"/>
      <c r="BM153" s="715"/>
      <c r="BN153" s="715"/>
      <c r="BO153" s="715"/>
      <c r="BP153" s="715"/>
      <c r="BQ153" s="715"/>
      <c r="BR153" s="715"/>
      <c r="BS153" s="715"/>
      <c r="BT153" s="715"/>
      <c r="BU153" s="716"/>
      <c r="BV153" s="736"/>
      <c r="BW153" s="737"/>
      <c r="BX153" s="737"/>
      <c r="BY153" s="737"/>
      <c r="BZ153" s="737"/>
      <c r="CA153" s="737"/>
      <c r="CB153" s="737"/>
      <c r="CC153" s="737"/>
      <c r="CD153" s="737"/>
      <c r="CE153" s="737"/>
      <c r="CF153" s="737"/>
      <c r="CG153" s="737"/>
      <c r="CH153" s="737"/>
      <c r="CI153" s="737"/>
      <c r="CJ153" s="737"/>
      <c r="CK153" s="738"/>
      <c r="CL153" s="736"/>
      <c r="CM153" s="737"/>
      <c r="CN153" s="737"/>
      <c r="CO153" s="737"/>
      <c r="CP153" s="737"/>
      <c r="CQ153" s="737"/>
      <c r="CR153" s="737"/>
      <c r="CS153" s="737"/>
      <c r="CT153" s="737"/>
      <c r="CU153" s="737"/>
      <c r="CV153" s="737"/>
      <c r="CW153" s="737"/>
      <c r="CX153" s="737"/>
      <c r="CY153" s="737"/>
      <c r="CZ153" s="738"/>
      <c r="DA153" s="235"/>
    </row>
    <row r="154" spans="1:105" s="17" customFormat="1" ht="13.5" hidden="1" customHeight="1" x14ac:dyDescent="0.25">
      <c r="A154" s="712"/>
      <c r="B154" s="713"/>
      <c r="C154" s="713"/>
      <c r="D154" s="713"/>
      <c r="E154" s="713"/>
      <c r="F154" s="714"/>
      <c r="G154" s="234"/>
      <c r="H154" s="707" t="s">
        <v>370</v>
      </c>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7"/>
      <c r="BB154" s="707"/>
      <c r="BC154" s="707"/>
      <c r="BD154" s="707"/>
      <c r="BE154" s="707"/>
      <c r="BF154" s="707"/>
      <c r="BG154" s="707"/>
      <c r="BH154" s="707"/>
      <c r="BI154" s="707"/>
      <c r="BJ154" s="707"/>
      <c r="BK154" s="707"/>
      <c r="BL154" s="707"/>
      <c r="BM154" s="707"/>
      <c r="BN154" s="707"/>
      <c r="BO154" s="707"/>
      <c r="BP154" s="707"/>
      <c r="BQ154" s="707"/>
      <c r="BR154" s="707"/>
      <c r="BS154" s="707"/>
      <c r="BT154" s="707"/>
      <c r="BU154" s="708"/>
      <c r="BV154" s="739"/>
      <c r="BW154" s="740"/>
      <c r="BX154" s="740"/>
      <c r="BY154" s="740"/>
      <c r="BZ154" s="740"/>
      <c r="CA154" s="740"/>
      <c r="CB154" s="740"/>
      <c r="CC154" s="740"/>
      <c r="CD154" s="740"/>
      <c r="CE154" s="740"/>
      <c r="CF154" s="740"/>
      <c r="CG154" s="740"/>
      <c r="CH154" s="740"/>
      <c r="CI154" s="740"/>
      <c r="CJ154" s="740"/>
      <c r="CK154" s="741"/>
      <c r="CL154" s="739"/>
      <c r="CM154" s="740"/>
      <c r="CN154" s="740"/>
      <c r="CO154" s="740"/>
      <c r="CP154" s="740"/>
      <c r="CQ154" s="740"/>
      <c r="CR154" s="740"/>
      <c r="CS154" s="740"/>
      <c r="CT154" s="740"/>
      <c r="CU154" s="740"/>
      <c r="CV154" s="740"/>
      <c r="CW154" s="740"/>
      <c r="CX154" s="740"/>
      <c r="CY154" s="740"/>
      <c r="CZ154" s="741"/>
      <c r="DA154" s="235"/>
    </row>
    <row r="155" spans="1:105" s="17" customFormat="1" ht="13.5" hidden="1" customHeight="1" x14ac:dyDescent="0.25">
      <c r="A155" s="659" t="s">
        <v>69</v>
      </c>
      <c r="B155" s="659"/>
      <c r="C155" s="659"/>
      <c r="D155" s="659"/>
      <c r="E155" s="659"/>
      <c r="F155" s="659"/>
      <c r="G155" s="213"/>
      <c r="H155" s="707" t="s">
        <v>371</v>
      </c>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7"/>
      <c r="AY155" s="707"/>
      <c r="AZ155" s="707"/>
      <c r="BA155" s="707"/>
      <c r="BB155" s="707"/>
      <c r="BC155" s="707"/>
      <c r="BD155" s="707"/>
      <c r="BE155" s="707"/>
      <c r="BF155" s="707"/>
      <c r="BG155" s="707"/>
      <c r="BH155" s="707"/>
      <c r="BI155" s="707"/>
      <c r="BJ155" s="707"/>
      <c r="BK155" s="707"/>
      <c r="BL155" s="707"/>
      <c r="BM155" s="707"/>
      <c r="BN155" s="707"/>
      <c r="BO155" s="707"/>
      <c r="BP155" s="707"/>
      <c r="BQ155" s="707"/>
      <c r="BR155" s="707"/>
      <c r="BS155" s="707"/>
      <c r="BT155" s="707"/>
      <c r="BU155" s="708"/>
      <c r="BV155" s="582"/>
      <c r="BW155" s="582"/>
      <c r="BX155" s="582"/>
      <c r="BY155" s="582"/>
      <c r="BZ155" s="582"/>
      <c r="CA155" s="582"/>
      <c r="CB155" s="582"/>
      <c r="CC155" s="582"/>
      <c r="CD155" s="582"/>
      <c r="CE155" s="582"/>
      <c r="CF155" s="582"/>
      <c r="CG155" s="582"/>
      <c r="CH155" s="582"/>
      <c r="CI155" s="582"/>
      <c r="CJ155" s="582"/>
      <c r="CK155" s="582"/>
      <c r="CL155" s="582"/>
      <c r="CM155" s="582"/>
      <c r="CN155" s="582"/>
      <c r="CO155" s="582"/>
      <c r="CP155" s="582"/>
      <c r="CQ155" s="582"/>
      <c r="CR155" s="582"/>
      <c r="CS155" s="582"/>
      <c r="CT155" s="582"/>
      <c r="CU155" s="582"/>
      <c r="CV155" s="582"/>
      <c r="CW155" s="582"/>
      <c r="CX155" s="582"/>
      <c r="CY155" s="582"/>
      <c r="CZ155" s="582"/>
      <c r="DA155" s="235"/>
    </row>
    <row r="156" spans="1:105" s="17" customFormat="1" ht="13.5" hidden="1" customHeight="1" x14ac:dyDescent="0.25">
      <c r="A156" s="659" t="s">
        <v>70</v>
      </c>
      <c r="B156" s="659"/>
      <c r="C156" s="659"/>
      <c r="D156" s="659"/>
      <c r="E156" s="659"/>
      <c r="F156" s="659"/>
      <c r="G156" s="213"/>
      <c r="H156" s="707" t="s">
        <v>372</v>
      </c>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7"/>
      <c r="AY156" s="707"/>
      <c r="AZ156" s="707"/>
      <c r="BA156" s="707"/>
      <c r="BB156" s="707"/>
      <c r="BC156" s="707"/>
      <c r="BD156" s="707"/>
      <c r="BE156" s="707"/>
      <c r="BF156" s="707"/>
      <c r="BG156" s="707"/>
      <c r="BH156" s="707"/>
      <c r="BI156" s="707"/>
      <c r="BJ156" s="707"/>
      <c r="BK156" s="707"/>
      <c r="BL156" s="707"/>
      <c r="BM156" s="707"/>
      <c r="BN156" s="707"/>
      <c r="BO156" s="707"/>
      <c r="BP156" s="707"/>
      <c r="BQ156" s="707"/>
      <c r="BR156" s="707"/>
      <c r="BS156" s="707"/>
      <c r="BT156" s="707"/>
      <c r="BU156" s="708"/>
      <c r="BV156" s="582"/>
      <c r="BW156" s="582"/>
      <c r="BX156" s="582"/>
      <c r="BY156" s="582"/>
      <c r="BZ156" s="582"/>
      <c r="CA156" s="582"/>
      <c r="CB156" s="582"/>
      <c r="CC156" s="582"/>
      <c r="CD156" s="582"/>
      <c r="CE156" s="582"/>
      <c r="CF156" s="582"/>
      <c r="CG156" s="582"/>
      <c r="CH156" s="582"/>
      <c r="CI156" s="582"/>
      <c r="CJ156" s="582"/>
      <c r="CK156" s="582"/>
      <c r="CL156" s="582"/>
      <c r="CM156" s="582"/>
      <c r="CN156" s="582"/>
      <c r="CO156" s="582"/>
      <c r="CP156" s="582"/>
      <c r="CQ156" s="582"/>
      <c r="CR156" s="582"/>
      <c r="CS156" s="582"/>
      <c r="CT156" s="582"/>
      <c r="CU156" s="582"/>
      <c r="CV156" s="582"/>
      <c r="CW156" s="582"/>
      <c r="CX156" s="582"/>
      <c r="CY156" s="582"/>
      <c r="CZ156" s="582"/>
      <c r="DA156" s="235"/>
    </row>
    <row r="157" spans="1:105" s="17" customFormat="1" ht="13.5" hidden="1" customHeight="1" x14ac:dyDescent="0.25">
      <c r="A157" s="659" t="s">
        <v>71</v>
      </c>
      <c r="B157" s="659"/>
      <c r="C157" s="659"/>
      <c r="D157" s="659"/>
      <c r="E157" s="659"/>
      <c r="F157" s="659"/>
      <c r="G157" s="213"/>
      <c r="H157" s="585" t="s">
        <v>373</v>
      </c>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85"/>
      <c r="AP157" s="585"/>
      <c r="AQ157" s="585"/>
      <c r="AR157" s="585"/>
      <c r="AS157" s="585"/>
      <c r="AT157" s="585"/>
      <c r="AU157" s="585"/>
      <c r="AV157" s="585"/>
      <c r="AW157" s="585"/>
      <c r="AX157" s="585"/>
      <c r="AY157" s="585"/>
      <c r="AZ157" s="585"/>
      <c r="BA157" s="585"/>
      <c r="BB157" s="585"/>
      <c r="BC157" s="585"/>
      <c r="BD157" s="585"/>
      <c r="BE157" s="585"/>
      <c r="BF157" s="585"/>
      <c r="BG157" s="585"/>
      <c r="BH157" s="585"/>
      <c r="BI157" s="585"/>
      <c r="BJ157" s="585"/>
      <c r="BK157" s="585"/>
      <c r="BL157" s="585"/>
      <c r="BM157" s="585"/>
      <c r="BN157" s="585"/>
      <c r="BO157" s="585"/>
      <c r="BP157" s="585"/>
      <c r="BQ157" s="585"/>
      <c r="BR157" s="585"/>
      <c r="BS157" s="585"/>
      <c r="BT157" s="585"/>
      <c r="BU157" s="586"/>
      <c r="BV157" s="582" t="s">
        <v>4</v>
      </c>
      <c r="BW157" s="582"/>
      <c r="BX157" s="582"/>
      <c r="BY157" s="582"/>
      <c r="BZ157" s="582"/>
      <c r="CA157" s="582"/>
      <c r="CB157" s="582"/>
      <c r="CC157" s="582"/>
      <c r="CD157" s="582"/>
      <c r="CE157" s="582"/>
      <c r="CF157" s="582"/>
      <c r="CG157" s="582"/>
      <c r="CH157" s="582"/>
      <c r="CI157" s="582"/>
      <c r="CJ157" s="582"/>
      <c r="CK157" s="582"/>
      <c r="CL157" s="582"/>
      <c r="CM157" s="582"/>
      <c r="CN157" s="582"/>
      <c r="CO157" s="582"/>
      <c r="CP157" s="582"/>
      <c r="CQ157" s="582"/>
      <c r="CR157" s="582"/>
      <c r="CS157" s="582"/>
      <c r="CT157" s="582"/>
      <c r="CU157" s="582"/>
      <c r="CV157" s="582"/>
      <c r="CW157" s="582"/>
      <c r="CX157" s="582"/>
      <c r="CY157" s="582"/>
      <c r="CZ157" s="582"/>
      <c r="DA157" s="235"/>
    </row>
    <row r="158" spans="1:105" s="17" customFormat="1" ht="13.5" hidden="1" customHeight="1" x14ac:dyDescent="0.25">
      <c r="A158" s="709" t="s">
        <v>72</v>
      </c>
      <c r="B158" s="710"/>
      <c r="C158" s="710"/>
      <c r="D158" s="710"/>
      <c r="E158" s="710"/>
      <c r="F158" s="711"/>
      <c r="G158" s="233"/>
      <c r="H158" s="715" t="s">
        <v>3</v>
      </c>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5"/>
      <c r="AY158" s="715"/>
      <c r="AZ158" s="715"/>
      <c r="BA158" s="715"/>
      <c r="BB158" s="715"/>
      <c r="BC158" s="715"/>
      <c r="BD158" s="715"/>
      <c r="BE158" s="715"/>
      <c r="BF158" s="715"/>
      <c r="BG158" s="715"/>
      <c r="BH158" s="715"/>
      <c r="BI158" s="715"/>
      <c r="BJ158" s="715"/>
      <c r="BK158" s="715"/>
      <c r="BL158" s="715"/>
      <c r="BM158" s="715"/>
      <c r="BN158" s="715"/>
      <c r="BO158" s="715"/>
      <c r="BP158" s="715"/>
      <c r="BQ158" s="715"/>
      <c r="BR158" s="715"/>
      <c r="BS158" s="715"/>
      <c r="BT158" s="715"/>
      <c r="BU158" s="716"/>
      <c r="BV158" s="736"/>
      <c r="BW158" s="737"/>
      <c r="BX158" s="737"/>
      <c r="BY158" s="737"/>
      <c r="BZ158" s="737"/>
      <c r="CA158" s="737"/>
      <c r="CB158" s="737"/>
      <c r="CC158" s="737"/>
      <c r="CD158" s="737"/>
      <c r="CE158" s="737"/>
      <c r="CF158" s="737"/>
      <c r="CG158" s="737"/>
      <c r="CH158" s="737"/>
      <c r="CI158" s="737"/>
      <c r="CJ158" s="737"/>
      <c r="CK158" s="738"/>
      <c r="CL158" s="736"/>
      <c r="CM158" s="737"/>
      <c r="CN158" s="737"/>
      <c r="CO158" s="737"/>
      <c r="CP158" s="737"/>
      <c r="CQ158" s="737"/>
      <c r="CR158" s="737"/>
      <c r="CS158" s="737"/>
      <c r="CT158" s="737"/>
      <c r="CU158" s="737"/>
      <c r="CV158" s="737"/>
      <c r="CW158" s="737"/>
      <c r="CX158" s="737"/>
      <c r="CY158" s="737"/>
      <c r="CZ158" s="738"/>
      <c r="DA158" s="235"/>
    </row>
    <row r="159" spans="1:105" s="17" customFormat="1" ht="13.5" hidden="1" customHeight="1" x14ac:dyDescent="0.25">
      <c r="A159" s="712"/>
      <c r="B159" s="713"/>
      <c r="C159" s="713"/>
      <c r="D159" s="713"/>
      <c r="E159" s="713"/>
      <c r="F159" s="714"/>
      <c r="G159" s="234"/>
      <c r="H159" s="707" t="s">
        <v>374</v>
      </c>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c r="BA159" s="707"/>
      <c r="BB159" s="707"/>
      <c r="BC159" s="707"/>
      <c r="BD159" s="707"/>
      <c r="BE159" s="707"/>
      <c r="BF159" s="707"/>
      <c r="BG159" s="707"/>
      <c r="BH159" s="707"/>
      <c r="BI159" s="707"/>
      <c r="BJ159" s="707"/>
      <c r="BK159" s="707"/>
      <c r="BL159" s="707"/>
      <c r="BM159" s="707"/>
      <c r="BN159" s="707"/>
      <c r="BO159" s="707"/>
      <c r="BP159" s="707"/>
      <c r="BQ159" s="707"/>
      <c r="BR159" s="707"/>
      <c r="BS159" s="707"/>
      <c r="BT159" s="707"/>
      <c r="BU159" s="708"/>
      <c r="BV159" s="739"/>
      <c r="BW159" s="740"/>
      <c r="BX159" s="740"/>
      <c r="BY159" s="740"/>
      <c r="BZ159" s="740"/>
      <c r="CA159" s="740"/>
      <c r="CB159" s="740"/>
      <c r="CC159" s="740"/>
      <c r="CD159" s="740"/>
      <c r="CE159" s="740"/>
      <c r="CF159" s="740"/>
      <c r="CG159" s="740"/>
      <c r="CH159" s="740"/>
      <c r="CI159" s="740"/>
      <c r="CJ159" s="740"/>
      <c r="CK159" s="741"/>
      <c r="CL159" s="739"/>
      <c r="CM159" s="740"/>
      <c r="CN159" s="740"/>
      <c r="CO159" s="740"/>
      <c r="CP159" s="740"/>
      <c r="CQ159" s="740"/>
      <c r="CR159" s="740"/>
      <c r="CS159" s="740"/>
      <c r="CT159" s="740"/>
      <c r="CU159" s="740"/>
      <c r="CV159" s="740"/>
      <c r="CW159" s="740"/>
      <c r="CX159" s="740"/>
      <c r="CY159" s="740"/>
      <c r="CZ159" s="741"/>
      <c r="DA159" s="235"/>
    </row>
    <row r="160" spans="1:105" s="17" customFormat="1" ht="13.5" hidden="1" customHeight="1" x14ac:dyDescent="0.25">
      <c r="A160" s="659" t="s">
        <v>73</v>
      </c>
      <c r="B160" s="659"/>
      <c r="C160" s="659"/>
      <c r="D160" s="659"/>
      <c r="E160" s="659"/>
      <c r="F160" s="659"/>
      <c r="G160" s="213"/>
      <c r="H160" s="707" t="s">
        <v>375</v>
      </c>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7"/>
      <c r="AR160" s="707"/>
      <c r="AS160" s="707"/>
      <c r="AT160" s="707"/>
      <c r="AU160" s="707"/>
      <c r="AV160" s="707"/>
      <c r="AW160" s="707"/>
      <c r="AX160" s="707"/>
      <c r="AY160" s="707"/>
      <c r="AZ160" s="707"/>
      <c r="BA160" s="707"/>
      <c r="BB160" s="707"/>
      <c r="BC160" s="707"/>
      <c r="BD160" s="707"/>
      <c r="BE160" s="707"/>
      <c r="BF160" s="707"/>
      <c r="BG160" s="707"/>
      <c r="BH160" s="707"/>
      <c r="BI160" s="707"/>
      <c r="BJ160" s="707"/>
      <c r="BK160" s="707"/>
      <c r="BL160" s="707"/>
      <c r="BM160" s="707"/>
      <c r="BN160" s="707"/>
      <c r="BO160" s="707"/>
      <c r="BP160" s="707"/>
      <c r="BQ160" s="707"/>
      <c r="BR160" s="707"/>
      <c r="BS160" s="707"/>
      <c r="BT160" s="707"/>
      <c r="BU160" s="708"/>
      <c r="BV160" s="582"/>
      <c r="BW160" s="582"/>
      <c r="BX160" s="582"/>
      <c r="BY160" s="582"/>
      <c r="BZ160" s="582"/>
      <c r="CA160" s="582"/>
      <c r="CB160" s="582"/>
      <c r="CC160" s="582"/>
      <c r="CD160" s="582"/>
      <c r="CE160" s="582"/>
      <c r="CF160" s="582"/>
      <c r="CG160" s="582"/>
      <c r="CH160" s="582"/>
      <c r="CI160" s="582"/>
      <c r="CJ160" s="582"/>
      <c r="CK160" s="582"/>
      <c r="CL160" s="582"/>
      <c r="CM160" s="582"/>
      <c r="CN160" s="582"/>
      <c r="CO160" s="582"/>
      <c r="CP160" s="582"/>
      <c r="CQ160" s="582"/>
      <c r="CR160" s="582"/>
      <c r="CS160" s="582"/>
      <c r="CT160" s="582"/>
      <c r="CU160" s="582"/>
      <c r="CV160" s="582"/>
      <c r="CW160" s="582"/>
      <c r="CX160" s="582"/>
      <c r="CY160" s="582"/>
      <c r="CZ160" s="582"/>
      <c r="DA160" s="235"/>
    </row>
    <row r="161" spans="1:105" s="17" customFormat="1" ht="13.5" hidden="1" customHeight="1" x14ac:dyDescent="0.25">
      <c r="A161" s="659" t="s">
        <v>74</v>
      </c>
      <c r="B161" s="659"/>
      <c r="C161" s="659"/>
      <c r="D161" s="659"/>
      <c r="E161" s="659"/>
      <c r="F161" s="659"/>
      <c r="G161" s="213"/>
      <c r="H161" s="707" t="s">
        <v>375</v>
      </c>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c r="BA161" s="707"/>
      <c r="BB161" s="707"/>
      <c r="BC161" s="707"/>
      <c r="BD161" s="707"/>
      <c r="BE161" s="707"/>
      <c r="BF161" s="707"/>
      <c r="BG161" s="707"/>
      <c r="BH161" s="707"/>
      <c r="BI161" s="707"/>
      <c r="BJ161" s="707"/>
      <c r="BK161" s="707"/>
      <c r="BL161" s="707"/>
      <c r="BM161" s="707"/>
      <c r="BN161" s="707"/>
      <c r="BO161" s="707"/>
      <c r="BP161" s="707"/>
      <c r="BQ161" s="707"/>
      <c r="BR161" s="707"/>
      <c r="BS161" s="707"/>
      <c r="BT161" s="707"/>
      <c r="BU161" s="708"/>
      <c r="BV161" s="582"/>
      <c r="BW161" s="582"/>
      <c r="BX161" s="582"/>
      <c r="BY161" s="582"/>
      <c r="BZ161" s="582"/>
      <c r="CA161" s="582"/>
      <c r="CB161" s="582"/>
      <c r="CC161" s="582"/>
      <c r="CD161" s="582"/>
      <c r="CE161" s="582"/>
      <c r="CF161" s="582"/>
      <c r="CG161" s="582"/>
      <c r="CH161" s="582"/>
      <c r="CI161" s="582"/>
      <c r="CJ161" s="582"/>
      <c r="CK161" s="582"/>
      <c r="CL161" s="582"/>
      <c r="CM161" s="582"/>
      <c r="CN161" s="582"/>
      <c r="CO161" s="582"/>
      <c r="CP161" s="582"/>
      <c r="CQ161" s="582"/>
      <c r="CR161" s="582"/>
      <c r="CS161" s="582"/>
      <c r="CT161" s="582"/>
      <c r="CU161" s="582"/>
      <c r="CV161" s="582"/>
      <c r="CW161" s="582"/>
      <c r="CX161" s="582"/>
      <c r="CY161" s="582"/>
      <c r="CZ161" s="582"/>
      <c r="DA161" s="235"/>
    </row>
    <row r="162" spans="1:105" s="17" customFormat="1" ht="13.5" hidden="1" customHeight="1" x14ac:dyDescent="0.25">
      <c r="A162" s="659"/>
      <c r="B162" s="659"/>
      <c r="C162" s="659"/>
      <c r="D162" s="659"/>
      <c r="E162" s="659"/>
      <c r="F162" s="659"/>
      <c r="G162" s="607" t="s">
        <v>292</v>
      </c>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608"/>
      <c r="AY162" s="608"/>
      <c r="AZ162" s="608"/>
      <c r="BA162" s="608"/>
      <c r="BB162" s="608"/>
      <c r="BC162" s="608"/>
      <c r="BD162" s="608"/>
      <c r="BE162" s="608"/>
      <c r="BF162" s="608"/>
      <c r="BG162" s="608"/>
      <c r="BH162" s="608"/>
      <c r="BI162" s="608"/>
      <c r="BJ162" s="608"/>
      <c r="BK162" s="608"/>
      <c r="BL162" s="608"/>
      <c r="BM162" s="608"/>
      <c r="BN162" s="608"/>
      <c r="BO162" s="608"/>
      <c r="BP162" s="608"/>
      <c r="BQ162" s="608"/>
      <c r="BR162" s="608"/>
      <c r="BS162" s="608"/>
      <c r="BT162" s="608"/>
      <c r="BU162" s="609"/>
      <c r="BV162" s="560" t="s">
        <v>4</v>
      </c>
      <c r="BW162" s="560"/>
      <c r="BX162" s="560"/>
      <c r="BY162" s="560"/>
      <c r="BZ162" s="560"/>
      <c r="CA162" s="560"/>
      <c r="CB162" s="560"/>
      <c r="CC162" s="560"/>
      <c r="CD162" s="560"/>
      <c r="CE162" s="560"/>
      <c r="CF162" s="560"/>
      <c r="CG162" s="560"/>
      <c r="CH162" s="560"/>
      <c r="CI162" s="560"/>
      <c r="CJ162" s="560"/>
      <c r="CK162" s="560"/>
      <c r="CL162" s="560">
        <f>CL153+CL158</f>
        <v>0</v>
      </c>
      <c r="CM162" s="560"/>
      <c r="CN162" s="560"/>
      <c r="CO162" s="560"/>
      <c r="CP162" s="560"/>
      <c r="CQ162" s="560"/>
      <c r="CR162" s="560"/>
      <c r="CS162" s="560"/>
      <c r="CT162" s="560"/>
      <c r="CU162" s="560"/>
      <c r="CV162" s="560"/>
      <c r="CW162" s="560"/>
      <c r="CX162" s="560"/>
      <c r="CY162" s="560"/>
      <c r="CZ162" s="560"/>
      <c r="DA162" s="235"/>
    </row>
    <row r="163" spans="1:105" s="17" customFormat="1" ht="13.5" hidden="1" customHeight="1" x14ac:dyDescent="0.25">
      <c r="A163" s="648" t="s">
        <v>258</v>
      </c>
      <c r="B163" s="649"/>
      <c r="C163" s="649"/>
      <c r="D163" s="649"/>
      <c r="E163" s="649"/>
      <c r="F163" s="649"/>
      <c r="G163" s="649"/>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49"/>
      <c r="AY163" s="649"/>
      <c r="AZ163" s="649"/>
      <c r="BA163" s="649"/>
      <c r="BB163" s="649"/>
      <c r="BC163" s="649"/>
      <c r="BD163" s="649"/>
      <c r="BE163" s="649"/>
      <c r="BF163" s="649"/>
      <c r="BG163" s="649"/>
      <c r="BH163" s="649"/>
      <c r="BI163" s="649"/>
      <c r="BJ163" s="649"/>
      <c r="BK163" s="649"/>
      <c r="BL163" s="649"/>
      <c r="BM163" s="649"/>
      <c r="BN163" s="649"/>
      <c r="BO163" s="649"/>
      <c r="BP163" s="649"/>
      <c r="BQ163" s="649"/>
      <c r="BR163" s="649"/>
      <c r="BS163" s="649"/>
      <c r="BT163" s="649"/>
      <c r="BU163" s="649"/>
      <c r="BV163" s="649"/>
      <c r="BW163" s="649"/>
      <c r="BX163" s="649"/>
      <c r="BY163" s="649"/>
      <c r="BZ163" s="649"/>
      <c r="CA163" s="649"/>
      <c r="CB163" s="649"/>
      <c r="CC163" s="649"/>
      <c r="CD163" s="649"/>
      <c r="CE163" s="649"/>
      <c r="CF163" s="649"/>
      <c r="CG163" s="649"/>
      <c r="CH163" s="649"/>
      <c r="CI163" s="649"/>
      <c r="CJ163" s="649"/>
      <c r="CK163" s="649"/>
      <c r="CL163" s="649"/>
      <c r="CM163" s="649"/>
      <c r="CN163" s="649"/>
      <c r="CO163" s="649"/>
      <c r="CP163" s="649"/>
      <c r="CQ163" s="649"/>
      <c r="CR163" s="649"/>
      <c r="CS163" s="649"/>
      <c r="CT163" s="649"/>
      <c r="CU163" s="649"/>
      <c r="CV163" s="649"/>
      <c r="CW163" s="649"/>
      <c r="CX163" s="649"/>
      <c r="CY163" s="649"/>
      <c r="CZ163" s="649"/>
      <c r="DA163" s="235"/>
    </row>
    <row r="164" spans="1:105" s="17" customFormat="1" ht="13.5" hidden="1" customHeight="1" x14ac:dyDescent="0.25">
      <c r="A164" s="659" t="s">
        <v>67</v>
      </c>
      <c r="B164" s="659"/>
      <c r="C164" s="659"/>
      <c r="D164" s="659"/>
      <c r="E164" s="659"/>
      <c r="F164" s="659"/>
      <c r="G164" s="213"/>
      <c r="H164" s="585" t="s">
        <v>369</v>
      </c>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5"/>
      <c r="AL164" s="585"/>
      <c r="AM164" s="585"/>
      <c r="AN164" s="585"/>
      <c r="AO164" s="585"/>
      <c r="AP164" s="585"/>
      <c r="AQ164" s="585"/>
      <c r="AR164" s="585"/>
      <c r="AS164" s="585"/>
      <c r="AT164" s="585"/>
      <c r="AU164" s="585"/>
      <c r="AV164" s="585"/>
      <c r="AW164" s="585"/>
      <c r="AX164" s="585"/>
      <c r="AY164" s="585"/>
      <c r="AZ164" s="585"/>
      <c r="BA164" s="585"/>
      <c r="BB164" s="585"/>
      <c r="BC164" s="585"/>
      <c r="BD164" s="585"/>
      <c r="BE164" s="585"/>
      <c r="BF164" s="585"/>
      <c r="BG164" s="585"/>
      <c r="BH164" s="585"/>
      <c r="BI164" s="585"/>
      <c r="BJ164" s="585"/>
      <c r="BK164" s="585"/>
      <c r="BL164" s="585"/>
      <c r="BM164" s="585"/>
      <c r="BN164" s="585"/>
      <c r="BO164" s="585"/>
      <c r="BP164" s="585"/>
      <c r="BQ164" s="585"/>
      <c r="BR164" s="585"/>
      <c r="BS164" s="585"/>
      <c r="BT164" s="585"/>
      <c r="BU164" s="586"/>
      <c r="BV164" s="582" t="s">
        <v>4</v>
      </c>
      <c r="BW164" s="582"/>
      <c r="BX164" s="582"/>
      <c r="BY164" s="582"/>
      <c r="BZ164" s="582"/>
      <c r="CA164" s="582"/>
      <c r="CB164" s="582"/>
      <c r="CC164" s="582"/>
      <c r="CD164" s="582"/>
      <c r="CE164" s="582"/>
      <c r="CF164" s="582"/>
      <c r="CG164" s="582"/>
      <c r="CH164" s="582"/>
      <c r="CI164" s="582"/>
      <c r="CJ164" s="582"/>
      <c r="CK164" s="582"/>
      <c r="CL164" s="582"/>
      <c r="CM164" s="582"/>
      <c r="CN164" s="582"/>
      <c r="CO164" s="582"/>
      <c r="CP164" s="582"/>
      <c r="CQ164" s="582"/>
      <c r="CR164" s="582"/>
      <c r="CS164" s="582"/>
      <c r="CT164" s="582"/>
      <c r="CU164" s="582"/>
      <c r="CV164" s="582"/>
      <c r="CW164" s="582"/>
      <c r="CX164" s="582"/>
      <c r="CY164" s="582"/>
      <c r="CZ164" s="582"/>
      <c r="DA164" s="235"/>
    </row>
    <row r="165" spans="1:105" s="17" customFormat="1" ht="13.5" hidden="1" customHeight="1" x14ac:dyDescent="0.25">
      <c r="A165" s="709" t="s">
        <v>68</v>
      </c>
      <c r="B165" s="710"/>
      <c r="C165" s="710"/>
      <c r="D165" s="710"/>
      <c r="E165" s="710"/>
      <c r="F165" s="711"/>
      <c r="G165" s="233"/>
      <c r="H165" s="715" t="s">
        <v>3</v>
      </c>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5"/>
      <c r="AY165" s="715"/>
      <c r="AZ165" s="715"/>
      <c r="BA165" s="715"/>
      <c r="BB165" s="715"/>
      <c r="BC165" s="715"/>
      <c r="BD165" s="715"/>
      <c r="BE165" s="715"/>
      <c r="BF165" s="715"/>
      <c r="BG165" s="715"/>
      <c r="BH165" s="715"/>
      <c r="BI165" s="715"/>
      <c r="BJ165" s="715"/>
      <c r="BK165" s="715"/>
      <c r="BL165" s="715"/>
      <c r="BM165" s="715"/>
      <c r="BN165" s="715"/>
      <c r="BO165" s="715"/>
      <c r="BP165" s="715"/>
      <c r="BQ165" s="715"/>
      <c r="BR165" s="715"/>
      <c r="BS165" s="715"/>
      <c r="BT165" s="715"/>
      <c r="BU165" s="716"/>
      <c r="BV165" s="736"/>
      <c r="BW165" s="737"/>
      <c r="BX165" s="737"/>
      <c r="BY165" s="737"/>
      <c r="BZ165" s="737"/>
      <c r="CA165" s="737"/>
      <c r="CB165" s="737"/>
      <c r="CC165" s="737"/>
      <c r="CD165" s="737"/>
      <c r="CE165" s="737"/>
      <c r="CF165" s="737"/>
      <c r="CG165" s="737"/>
      <c r="CH165" s="737"/>
      <c r="CI165" s="737"/>
      <c r="CJ165" s="737"/>
      <c r="CK165" s="738"/>
      <c r="CL165" s="736"/>
      <c r="CM165" s="737"/>
      <c r="CN165" s="737"/>
      <c r="CO165" s="737"/>
      <c r="CP165" s="737"/>
      <c r="CQ165" s="737"/>
      <c r="CR165" s="737"/>
      <c r="CS165" s="737"/>
      <c r="CT165" s="737"/>
      <c r="CU165" s="737"/>
      <c r="CV165" s="737"/>
      <c r="CW165" s="737"/>
      <c r="CX165" s="737"/>
      <c r="CY165" s="737"/>
      <c r="CZ165" s="738"/>
      <c r="DA165" s="235"/>
    </row>
    <row r="166" spans="1:105" s="17" customFormat="1" ht="13.5" hidden="1" customHeight="1" x14ac:dyDescent="0.25">
      <c r="A166" s="712"/>
      <c r="B166" s="713"/>
      <c r="C166" s="713"/>
      <c r="D166" s="713"/>
      <c r="E166" s="713"/>
      <c r="F166" s="714"/>
      <c r="G166" s="234"/>
      <c r="H166" s="707" t="s">
        <v>370</v>
      </c>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c r="BA166" s="707"/>
      <c r="BB166" s="707"/>
      <c r="BC166" s="707"/>
      <c r="BD166" s="707"/>
      <c r="BE166" s="707"/>
      <c r="BF166" s="707"/>
      <c r="BG166" s="707"/>
      <c r="BH166" s="707"/>
      <c r="BI166" s="707"/>
      <c r="BJ166" s="707"/>
      <c r="BK166" s="707"/>
      <c r="BL166" s="707"/>
      <c r="BM166" s="707"/>
      <c r="BN166" s="707"/>
      <c r="BO166" s="707"/>
      <c r="BP166" s="707"/>
      <c r="BQ166" s="707"/>
      <c r="BR166" s="707"/>
      <c r="BS166" s="707"/>
      <c r="BT166" s="707"/>
      <c r="BU166" s="708"/>
      <c r="BV166" s="739"/>
      <c r="BW166" s="740"/>
      <c r="BX166" s="740"/>
      <c r="BY166" s="740"/>
      <c r="BZ166" s="740"/>
      <c r="CA166" s="740"/>
      <c r="CB166" s="740"/>
      <c r="CC166" s="740"/>
      <c r="CD166" s="740"/>
      <c r="CE166" s="740"/>
      <c r="CF166" s="740"/>
      <c r="CG166" s="740"/>
      <c r="CH166" s="740"/>
      <c r="CI166" s="740"/>
      <c r="CJ166" s="740"/>
      <c r="CK166" s="741"/>
      <c r="CL166" s="739"/>
      <c r="CM166" s="740"/>
      <c r="CN166" s="740"/>
      <c r="CO166" s="740"/>
      <c r="CP166" s="740"/>
      <c r="CQ166" s="740"/>
      <c r="CR166" s="740"/>
      <c r="CS166" s="740"/>
      <c r="CT166" s="740"/>
      <c r="CU166" s="740"/>
      <c r="CV166" s="740"/>
      <c r="CW166" s="740"/>
      <c r="CX166" s="740"/>
      <c r="CY166" s="740"/>
      <c r="CZ166" s="741"/>
      <c r="DA166" s="235"/>
    </row>
    <row r="167" spans="1:105" s="17" customFormat="1" ht="13.5" hidden="1" customHeight="1" x14ac:dyDescent="0.25">
      <c r="A167" s="659" t="s">
        <v>69</v>
      </c>
      <c r="B167" s="659"/>
      <c r="C167" s="659"/>
      <c r="D167" s="659"/>
      <c r="E167" s="659"/>
      <c r="F167" s="659"/>
      <c r="G167" s="213"/>
      <c r="H167" s="707" t="s">
        <v>371</v>
      </c>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c r="BA167" s="707"/>
      <c r="BB167" s="707"/>
      <c r="BC167" s="707"/>
      <c r="BD167" s="707"/>
      <c r="BE167" s="707"/>
      <c r="BF167" s="707"/>
      <c r="BG167" s="707"/>
      <c r="BH167" s="707"/>
      <c r="BI167" s="707"/>
      <c r="BJ167" s="707"/>
      <c r="BK167" s="707"/>
      <c r="BL167" s="707"/>
      <c r="BM167" s="707"/>
      <c r="BN167" s="707"/>
      <c r="BO167" s="707"/>
      <c r="BP167" s="707"/>
      <c r="BQ167" s="707"/>
      <c r="BR167" s="707"/>
      <c r="BS167" s="707"/>
      <c r="BT167" s="707"/>
      <c r="BU167" s="708"/>
      <c r="BV167" s="582"/>
      <c r="BW167" s="582"/>
      <c r="BX167" s="582"/>
      <c r="BY167" s="582"/>
      <c r="BZ167" s="582"/>
      <c r="CA167" s="582"/>
      <c r="CB167" s="582"/>
      <c r="CC167" s="582"/>
      <c r="CD167" s="582"/>
      <c r="CE167" s="582"/>
      <c r="CF167" s="582"/>
      <c r="CG167" s="582"/>
      <c r="CH167" s="582"/>
      <c r="CI167" s="582"/>
      <c r="CJ167" s="582"/>
      <c r="CK167" s="582"/>
      <c r="CL167" s="582"/>
      <c r="CM167" s="582"/>
      <c r="CN167" s="582"/>
      <c r="CO167" s="582"/>
      <c r="CP167" s="582"/>
      <c r="CQ167" s="582"/>
      <c r="CR167" s="582"/>
      <c r="CS167" s="582"/>
      <c r="CT167" s="582"/>
      <c r="CU167" s="582"/>
      <c r="CV167" s="582"/>
      <c r="CW167" s="582"/>
      <c r="CX167" s="582"/>
      <c r="CY167" s="582"/>
      <c r="CZ167" s="582"/>
      <c r="DA167" s="235"/>
    </row>
    <row r="168" spans="1:105" s="17" customFormat="1" ht="13.5" hidden="1" customHeight="1" x14ac:dyDescent="0.25">
      <c r="A168" s="659" t="s">
        <v>70</v>
      </c>
      <c r="B168" s="659"/>
      <c r="C168" s="659"/>
      <c r="D168" s="659"/>
      <c r="E168" s="659"/>
      <c r="F168" s="659"/>
      <c r="G168" s="213"/>
      <c r="H168" s="707" t="s">
        <v>372</v>
      </c>
      <c r="I168" s="707"/>
      <c r="J168" s="707"/>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c r="BA168" s="707"/>
      <c r="BB168" s="707"/>
      <c r="BC168" s="707"/>
      <c r="BD168" s="707"/>
      <c r="BE168" s="707"/>
      <c r="BF168" s="707"/>
      <c r="BG168" s="707"/>
      <c r="BH168" s="707"/>
      <c r="BI168" s="707"/>
      <c r="BJ168" s="707"/>
      <c r="BK168" s="707"/>
      <c r="BL168" s="707"/>
      <c r="BM168" s="707"/>
      <c r="BN168" s="707"/>
      <c r="BO168" s="707"/>
      <c r="BP168" s="707"/>
      <c r="BQ168" s="707"/>
      <c r="BR168" s="707"/>
      <c r="BS168" s="707"/>
      <c r="BT168" s="707"/>
      <c r="BU168" s="708"/>
      <c r="BV168" s="582"/>
      <c r="BW168" s="582"/>
      <c r="BX168" s="582"/>
      <c r="BY168" s="582"/>
      <c r="BZ168" s="582"/>
      <c r="CA168" s="582"/>
      <c r="CB168" s="582"/>
      <c r="CC168" s="582"/>
      <c r="CD168" s="582"/>
      <c r="CE168" s="582"/>
      <c r="CF168" s="582"/>
      <c r="CG168" s="582"/>
      <c r="CH168" s="582"/>
      <c r="CI168" s="582"/>
      <c r="CJ168" s="582"/>
      <c r="CK168" s="582"/>
      <c r="CL168" s="582"/>
      <c r="CM168" s="582"/>
      <c r="CN168" s="582"/>
      <c r="CO168" s="582"/>
      <c r="CP168" s="582"/>
      <c r="CQ168" s="582"/>
      <c r="CR168" s="582"/>
      <c r="CS168" s="582"/>
      <c r="CT168" s="582"/>
      <c r="CU168" s="582"/>
      <c r="CV168" s="582"/>
      <c r="CW168" s="582"/>
      <c r="CX168" s="582"/>
      <c r="CY168" s="582"/>
      <c r="CZ168" s="582"/>
      <c r="DA168" s="235"/>
    </row>
    <row r="169" spans="1:105" s="17" customFormat="1" ht="13.5" hidden="1" customHeight="1" x14ac:dyDescent="0.25">
      <c r="A169" s="659" t="s">
        <v>71</v>
      </c>
      <c r="B169" s="659"/>
      <c r="C169" s="659"/>
      <c r="D169" s="659"/>
      <c r="E169" s="659"/>
      <c r="F169" s="659"/>
      <c r="G169" s="213"/>
      <c r="H169" s="585" t="s">
        <v>373</v>
      </c>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c r="AV169" s="585"/>
      <c r="AW169" s="585"/>
      <c r="AX169" s="585"/>
      <c r="AY169" s="585"/>
      <c r="AZ169" s="585"/>
      <c r="BA169" s="585"/>
      <c r="BB169" s="585"/>
      <c r="BC169" s="585"/>
      <c r="BD169" s="585"/>
      <c r="BE169" s="585"/>
      <c r="BF169" s="585"/>
      <c r="BG169" s="585"/>
      <c r="BH169" s="585"/>
      <c r="BI169" s="585"/>
      <c r="BJ169" s="585"/>
      <c r="BK169" s="585"/>
      <c r="BL169" s="585"/>
      <c r="BM169" s="585"/>
      <c r="BN169" s="585"/>
      <c r="BO169" s="585"/>
      <c r="BP169" s="585"/>
      <c r="BQ169" s="585"/>
      <c r="BR169" s="585"/>
      <c r="BS169" s="585"/>
      <c r="BT169" s="585"/>
      <c r="BU169" s="586"/>
      <c r="BV169" s="582" t="s">
        <v>4</v>
      </c>
      <c r="BW169" s="582"/>
      <c r="BX169" s="582"/>
      <c r="BY169" s="582"/>
      <c r="BZ169" s="582"/>
      <c r="CA169" s="582"/>
      <c r="CB169" s="582"/>
      <c r="CC169" s="582"/>
      <c r="CD169" s="582"/>
      <c r="CE169" s="582"/>
      <c r="CF169" s="582"/>
      <c r="CG169" s="582"/>
      <c r="CH169" s="582"/>
      <c r="CI169" s="582"/>
      <c r="CJ169" s="582"/>
      <c r="CK169" s="582"/>
      <c r="CL169" s="582"/>
      <c r="CM169" s="582"/>
      <c r="CN169" s="582"/>
      <c r="CO169" s="582"/>
      <c r="CP169" s="582"/>
      <c r="CQ169" s="582"/>
      <c r="CR169" s="582"/>
      <c r="CS169" s="582"/>
      <c r="CT169" s="582"/>
      <c r="CU169" s="582"/>
      <c r="CV169" s="582"/>
      <c r="CW169" s="582"/>
      <c r="CX169" s="582"/>
      <c r="CY169" s="582"/>
      <c r="CZ169" s="582"/>
      <c r="DA169" s="235"/>
    </row>
    <row r="170" spans="1:105" s="17" customFormat="1" ht="13.5" hidden="1" customHeight="1" x14ac:dyDescent="0.25">
      <c r="A170" s="709" t="s">
        <v>72</v>
      </c>
      <c r="B170" s="710"/>
      <c r="C170" s="710"/>
      <c r="D170" s="710"/>
      <c r="E170" s="710"/>
      <c r="F170" s="711"/>
      <c r="G170" s="233"/>
      <c r="H170" s="715" t="s">
        <v>3</v>
      </c>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5"/>
      <c r="AK170" s="715"/>
      <c r="AL170" s="715"/>
      <c r="AM170" s="715"/>
      <c r="AN170" s="715"/>
      <c r="AO170" s="715"/>
      <c r="AP170" s="715"/>
      <c r="AQ170" s="715"/>
      <c r="AR170" s="715"/>
      <c r="AS170" s="715"/>
      <c r="AT170" s="715"/>
      <c r="AU170" s="715"/>
      <c r="AV170" s="715"/>
      <c r="AW170" s="715"/>
      <c r="AX170" s="715"/>
      <c r="AY170" s="715"/>
      <c r="AZ170" s="715"/>
      <c r="BA170" s="715"/>
      <c r="BB170" s="715"/>
      <c r="BC170" s="715"/>
      <c r="BD170" s="715"/>
      <c r="BE170" s="715"/>
      <c r="BF170" s="715"/>
      <c r="BG170" s="715"/>
      <c r="BH170" s="715"/>
      <c r="BI170" s="715"/>
      <c r="BJ170" s="715"/>
      <c r="BK170" s="715"/>
      <c r="BL170" s="715"/>
      <c r="BM170" s="715"/>
      <c r="BN170" s="715"/>
      <c r="BO170" s="715"/>
      <c r="BP170" s="715"/>
      <c r="BQ170" s="715"/>
      <c r="BR170" s="715"/>
      <c r="BS170" s="715"/>
      <c r="BT170" s="715"/>
      <c r="BU170" s="716"/>
      <c r="BV170" s="736"/>
      <c r="BW170" s="737"/>
      <c r="BX170" s="737"/>
      <c r="BY170" s="737"/>
      <c r="BZ170" s="737"/>
      <c r="CA170" s="737"/>
      <c r="CB170" s="737"/>
      <c r="CC170" s="737"/>
      <c r="CD170" s="737"/>
      <c r="CE170" s="737"/>
      <c r="CF170" s="737"/>
      <c r="CG170" s="737"/>
      <c r="CH170" s="737"/>
      <c r="CI170" s="737"/>
      <c r="CJ170" s="737"/>
      <c r="CK170" s="738"/>
      <c r="CL170" s="736"/>
      <c r="CM170" s="737"/>
      <c r="CN170" s="737"/>
      <c r="CO170" s="737"/>
      <c r="CP170" s="737"/>
      <c r="CQ170" s="737"/>
      <c r="CR170" s="737"/>
      <c r="CS170" s="737"/>
      <c r="CT170" s="737"/>
      <c r="CU170" s="737"/>
      <c r="CV170" s="737"/>
      <c r="CW170" s="737"/>
      <c r="CX170" s="737"/>
      <c r="CY170" s="737"/>
      <c r="CZ170" s="738"/>
      <c r="DA170" s="235"/>
    </row>
    <row r="171" spans="1:105" s="17" customFormat="1" ht="13.5" hidden="1" customHeight="1" x14ac:dyDescent="0.25">
      <c r="A171" s="712"/>
      <c r="B171" s="713"/>
      <c r="C171" s="713"/>
      <c r="D171" s="713"/>
      <c r="E171" s="713"/>
      <c r="F171" s="714"/>
      <c r="G171" s="234"/>
      <c r="H171" s="707" t="s">
        <v>374</v>
      </c>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c r="BA171" s="707"/>
      <c r="BB171" s="707"/>
      <c r="BC171" s="707"/>
      <c r="BD171" s="707"/>
      <c r="BE171" s="707"/>
      <c r="BF171" s="707"/>
      <c r="BG171" s="707"/>
      <c r="BH171" s="707"/>
      <c r="BI171" s="707"/>
      <c r="BJ171" s="707"/>
      <c r="BK171" s="707"/>
      <c r="BL171" s="707"/>
      <c r="BM171" s="707"/>
      <c r="BN171" s="707"/>
      <c r="BO171" s="707"/>
      <c r="BP171" s="707"/>
      <c r="BQ171" s="707"/>
      <c r="BR171" s="707"/>
      <c r="BS171" s="707"/>
      <c r="BT171" s="707"/>
      <c r="BU171" s="708"/>
      <c r="BV171" s="739"/>
      <c r="BW171" s="740"/>
      <c r="BX171" s="740"/>
      <c r="BY171" s="740"/>
      <c r="BZ171" s="740"/>
      <c r="CA171" s="740"/>
      <c r="CB171" s="740"/>
      <c r="CC171" s="740"/>
      <c r="CD171" s="740"/>
      <c r="CE171" s="740"/>
      <c r="CF171" s="740"/>
      <c r="CG171" s="740"/>
      <c r="CH171" s="740"/>
      <c r="CI171" s="740"/>
      <c r="CJ171" s="740"/>
      <c r="CK171" s="741"/>
      <c r="CL171" s="739"/>
      <c r="CM171" s="740"/>
      <c r="CN171" s="740"/>
      <c r="CO171" s="740"/>
      <c r="CP171" s="740"/>
      <c r="CQ171" s="740"/>
      <c r="CR171" s="740"/>
      <c r="CS171" s="740"/>
      <c r="CT171" s="740"/>
      <c r="CU171" s="740"/>
      <c r="CV171" s="740"/>
      <c r="CW171" s="740"/>
      <c r="CX171" s="740"/>
      <c r="CY171" s="740"/>
      <c r="CZ171" s="741"/>
      <c r="DA171" s="235"/>
    </row>
    <row r="172" spans="1:105" s="17" customFormat="1" ht="13.5" hidden="1" customHeight="1" x14ac:dyDescent="0.25">
      <c r="A172" s="659" t="s">
        <v>73</v>
      </c>
      <c r="B172" s="659"/>
      <c r="C172" s="659"/>
      <c r="D172" s="659"/>
      <c r="E172" s="659"/>
      <c r="F172" s="659"/>
      <c r="G172" s="213"/>
      <c r="H172" s="707" t="s">
        <v>375</v>
      </c>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c r="BA172" s="707"/>
      <c r="BB172" s="707"/>
      <c r="BC172" s="707"/>
      <c r="BD172" s="707"/>
      <c r="BE172" s="707"/>
      <c r="BF172" s="707"/>
      <c r="BG172" s="707"/>
      <c r="BH172" s="707"/>
      <c r="BI172" s="707"/>
      <c r="BJ172" s="707"/>
      <c r="BK172" s="707"/>
      <c r="BL172" s="707"/>
      <c r="BM172" s="707"/>
      <c r="BN172" s="707"/>
      <c r="BO172" s="707"/>
      <c r="BP172" s="707"/>
      <c r="BQ172" s="707"/>
      <c r="BR172" s="707"/>
      <c r="BS172" s="707"/>
      <c r="BT172" s="707"/>
      <c r="BU172" s="708"/>
      <c r="BV172" s="582"/>
      <c r="BW172" s="582"/>
      <c r="BX172" s="582"/>
      <c r="BY172" s="582"/>
      <c r="BZ172" s="582"/>
      <c r="CA172" s="582"/>
      <c r="CB172" s="582"/>
      <c r="CC172" s="582"/>
      <c r="CD172" s="582"/>
      <c r="CE172" s="582"/>
      <c r="CF172" s="582"/>
      <c r="CG172" s="582"/>
      <c r="CH172" s="582"/>
      <c r="CI172" s="582"/>
      <c r="CJ172" s="582"/>
      <c r="CK172" s="582"/>
      <c r="CL172" s="582"/>
      <c r="CM172" s="582"/>
      <c r="CN172" s="582"/>
      <c r="CO172" s="582"/>
      <c r="CP172" s="582"/>
      <c r="CQ172" s="582"/>
      <c r="CR172" s="582"/>
      <c r="CS172" s="582"/>
      <c r="CT172" s="582"/>
      <c r="CU172" s="582"/>
      <c r="CV172" s="582"/>
      <c r="CW172" s="582"/>
      <c r="CX172" s="582"/>
      <c r="CY172" s="582"/>
      <c r="CZ172" s="582"/>
      <c r="DA172" s="235"/>
    </row>
    <row r="173" spans="1:105" s="17" customFormat="1" ht="13.5" hidden="1" customHeight="1" x14ac:dyDescent="0.25">
      <c r="A173" s="659" t="s">
        <v>74</v>
      </c>
      <c r="B173" s="659"/>
      <c r="C173" s="659"/>
      <c r="D173" s="659"/>
      <c r="E173" s="659"/>
      <c r="F173" s="659"/>
      <c r="G173" s="213"/>
      <c r="H173" s="707" t="s">
        <v>375</v>
      </c>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c r="BA173" s="707"/>
      <c r="BB173" s="707"/>
      <c r="BC173" s="707"/>
      <c r="BD173" s="707"/>
      <c r="BE173" s="707"/>
      <c r="BF173" s="707"/>
      <c r="BG173" s="707"/>
      <c r="BH173" s="707"/>
      <c r="BI173" s="707"/>
      <c r="BJ173" s="707"/>
      <c r="BK173" s="707"/>
      <c r="BL173" s="707"/>
      <c r="BM173" s="707"/>
      <c r="BN173" s="707"/>
      <c r="BO173" s="707"/>
      <c r="BP173" s="707"/>
      <c r="BQ173" s="707"/>
      <c r="BR173" s="707"/>
      <c r="BS173" s="707"/>
      <c r="BT173" s="707"/>
      <c r="BU173" s="708"/>
      <c r="BV173" s="582"/>
      <c r="BW173" s="582"/>
      <c r="BX173" s="582"/>
      <c r="BY173" s="582"/>
      <c r="BZ173" s="582"/>
      <c r="CA173" s="582"/>
      <c r="CB173" s="582"/>
      <c r="CC173" s="582"/>
      <c r="CD173" s="582"/>
      <c r="CE173" s="582"/>
      <c r="CF173" s="582"/>
      <c r="CG173" s="582"/>
      <c r="CH173" s="582"/>
      <c r="CI173" s="582"/>
      <c r="CJ173" s="582"/>
      <c r="CK173" s="582"/>
      <c r="CL173" s="582"/>
      <c r="CM173" s="582"/>
      <c r="CN173" s="582"/>
      <c r="CO173" s="582"/>
      <c r="CP173" s="582"/>
      <c r="CQ173" s="582"/>
      <c r="CR173" s="582"/>
      <c r="CS173" s="582"/>
      <c r="CT173" s="582"/>
      <c r="CU173" s="582"/>
      <c r="CV173" s="582"/>
      <c r="CW173" s="582"/>
      <c r="CX173" s="582"/>
      <c r="CY173" s="582"/>
      <c r="CZ173" s="582"/>
      <c r="DA173" s="235"/>
    </row>
    <row r="174" spans="1:105" s="17" customFormat="1" ht="13.5" hidden="1" customHeight="1" x14ac:dyDescent="0.25">
      <c r="A174" s="659"/>
      <c r="B174" s="659"/>
      <c r="C174" s="659"/>
      <c r="D174" s="659"/>
      <c r="E174" s="659"/>
      <c r="F174" s="659"/>
      <c r="G174" s="607" t="s">
        <v>292</v>
      </c>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08"/>
      <c r="AY174" s="608"/>
      <c r="AZ174" s="608"/>
      <c r="BA174" s="608"/>
      <c r="BB174" s="608"/>
      <c r="BC174" s="608"/>
      <c r="BD174" s="608"/>
      <c r="BE174" s="608"/>
      <c r="BF174" s="608"/>
      <c r="BG174" s="608"/>
      <c r="BH174" s="608"/>
      <c r="BI174" s="608"/>
      <c r="BJ174" s="608"/>
      <c r="BK174" s="608"/>
      <c r="BL174" s="608"/>
      <c r="BM174" s="608"/>
      <c r="BN174" s="608"/>
      <c r="BO174" s="608"/>
      <c r="BP174" s="608"/>
      <c r="BQ174" s="608"/>
      <c r="BR174" s="608"/>
      <c r="BS174" s="608"/>
      <c r="BT174" s="608"/>
      <c r="BU174" s="609"/>
      <c r="BV174" s="560" t="s">
        <v>4</v>
      </c>
      <c r="BW174" s="560"/>
      <c r="BX174" s="560"/>
      <c r="BY174" s="560"/>
      <c r="BZ174" s="560"/>
      <c r="CA174" s="560"/>
      <c r="CB174" s="560"/>
      <c r="CC174" s="560"/>
      <c r="CD174" s="560"/>
      <c r="CE174" s="560"/>
      <c r="CF174" s="560"/>
      <c r="CG174" s="560"/>
      <c r="CH174" s="560"/>
      <c r="CI174" s="560"/>
      <c r="CJ174" s="560"/>
      <c r="CK174" s="560"/>
      <c r="CL174" s="560"/>
      <c r="CM174" s="560"/>
      <c r="CN174" s="560"/>
      <c r="CO174" s="560"/>
      <c r="CP174" s="560"/>
      <c r="CQ174" s="560"/>
      <c r="CR174" s="560"/>
      <c r="CS174" s="560"/>
      <c r="CT174" s="560"/>
      <c r="CU174" s="560"/>
      <c r="CV174" s="560"/>
      <c r="CW174" s="560"/>
      <c r="CX174" s="560"/>
      <c r="CY174" s="560"/>
      <c r="CZ174" s="560"/>
      <c r="DA174" s="235"/>
    </row>
    <row r="175" spans="1:105" s="17" customFormat="1" ht="13.5" hidden="1" customHeight="1" x14ac:dyDescent="0.25">
      <c r="A175" s="659"/>
      <c r="B175" s="659"/>
      <c r="C175" s="659"/>
      <c r="D175" s="659"/>
      <c r="E175" s="659"/>
      <c r="F175" s="659"/>
      <c r="G175" s="607" t="s">
        <v>56</v>
      </c>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c r="AN175" s="608"/>
      <c r="AO175" s="608"/>
      <c r="AP175" s="608"/>
      <c r="AQ175" s="608"/>
      <c r="AR175" s="608"/>
      <c r="AS175" s="608"/>
      <c r="AT175" s="608"/>
      <c r="AU175" s="608"/>
      <c r="AV175" s="608"/>
      <c r="AW175" s="608"/>
      <c r="AX175" s="608"/>
      <c r="AY175" s="608"/>
      <c r="AZ175" s="608"/>
      <c r="BA175" s="608"/>
      <c r="BB175" s="608"/>
      <c r="BC175" s="608"/>
      <c r="BD175" s="608"/>
      <c r="BE175" s="608"/>
      <c r="BF175" s="608"/>
      <c r="BG175" s="608"/>
      <c r="BH175" s="608"/>
      <c r="BI175" s="608"/>
      <c r="BJ175" s="608"/>
      <c r="BK175" s="608"/>
      <c r="BL175" s="608"/>
      <c r="BM175" s="608"/>
      <c r="BN175" s="608"/>
      <c r="BO175" s="608"/>
      <c r="BP175" s="608"/>
      <c r="BQ175" s="608"/>
      <c r="BR175" s="608"/>
      <c r="BS175" s="608"/>
      <c r="BT175" s="608"/>
      <c r="BU175" s="609"/>
      <c r="BV175" s="560" t="s">
        <v>4</v>
      </c>
      <c r="BW175" s="560"/>
      <c r="BX175" s="560"/>
      <c r="BY175" s="560"/>
      <c r="BZ175" s="560"/>
      <c r="CA175" s="560"/>
      <c r="CB175" s="560"/>
      <c r="CC175" s="560"/>
      <c r="CD175" s="560"/>
      <c r="CE175" s="560"/>
      <c r="CF175" s="560"/>
      <c r="CG175" s="560"/>
      <c r="CH175" s="560"/>
      <c r="CI175" s="560"/>
      <c r="CJ175" s="560"/>
      <c r="CK175" s="560"/>
      <c r="CL175" s="560"/>
      <c r="CM175" s="560"/>
      <c r="CN175" s="560"/>
      <c r="CO175" s="560"/>
      <c r="CP175" s="560"/>
      <c r="CQ175" s="560"/>
      <c r="CR175" s="560"/>
      <c r="CS175" s="560"/>
      <c r="CT175" s="560"/>
      <c r="CU175" s="560"/>
      <c r="CV175" s="560"/>
      <c r="CW175" s="560"/>
      <c r="CX175" s="560"/>
      <c r="CY175" s="560"/>
      <c r="CZ175" s="560"/>
      <c r="DA175" s="235"/>
    </row>
    <row r="176" spans="1:105" s="17" customFormat="1" ht="13.5" hidden="1" customHeight="1" x14ac:dyDescent="0.25">
      <c r="A176" s="221"/>
      <c r="B176" s="221"/>
      <c r="C176" s="221"/>
      <c r="D176" s="221"/>
      <c r="E176" s="221"/>
      <c r="F176" s="22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9"/>
      <c r="CM176" s="45"/>
      <c r="CN176" s="45"/>
      <c r="CO176" s="45"/>
      <c r="CP176" s="45"/>
      <c r="CQ176" s="45"/>
      <c r="CR176" s="45"/>
      <c r="CS176" s="45"/>
      <c r="CT176" s="45"/>
      <c r="CU176" s="45"/>
      <c r="CV176" s="45"/>
      <c r="CW176" s="45"/>
      <c r="CX176" s="45"/>
      <c r="CY176" s="45"/>
      <c r="CZ176" s="45"/>
      <c r="DA176" s="235"/>
    </row>
    <row r="177" spans="1:105" s="20" customFormat="1" ht="33.75" hidden="1" customHeight="1" x14ac:dyDescent="0.25">
      <c r="A177" s="742" t="s">
        <v>568</v>
      </c>
      <c r="B177" s="742"/>
      <c r="C177" s="742"/>
      <c r="D177" s="742"/>
      <c r="E177" s="742"/>
      <c r="F177" s="742"/>
      <c r="G177" s="742"/>
      <c r="H177" s="742"/>
      <c r="I177" s="742"/>
      <c r="J177" s="742"/>
      <c r="K177" s="742"/>
      <c r="L177" s="742"/>
      <c r="M177" s="742"/>
      <c r="N177" s="742"/>
      <c r="O177" s="742"/>
      <c r="P177" s="742"/>
      <c r="Q177" s="742"/>
      <c r="R177" s="742"/>
      <c r="S177" s="742"/>
      <c r="T177" s="742"/>
      <c r="U177" s="742"/>
      <c r="V177" s="742"/>
      <c r="W177" s="742"/>
      <c r="X177" s="742"/>
      <c r="Y177" s="742"/>
      <c r="Z177" s="742"/>
      <c r="AA177" s="742"/>
      <c r="AB177" s="742"/>
      <c r="AC177" s="742"/>
      <c r="AD177" s="742"/>
      <c r="AE177" s="742"/>
      <c r="AF177" s="742"/>
      <c r="AG177" s="742"/>
      <c r="AH177" s="742"/>
      <c r="AI177" s="742"/>
      <c r="AJ177" s="742"/>
      <c r="AK177" s="742"/>
      <c r="AL177" s="742"/>
      <c r="AM177" s="742"/>
      <c r="AN177" s="742"/>
      <c r="AO177" s="742"/>
      <c r="AP177" s="742"/>
      <c r="AQ177" s="742"/>
      <c r="AR177" s="742"/>
      <c r="AS177" s="742"/>
      <c r="AT177" s="742"/>
      <c r="AU177" s="742"/>
      <c r="AV177" s="742"/>
      <c r="AW177" s="742"/>
      <c r="AX177" s="742"/>
      <c r="AY177" s="742"/>
      <c r="AZ177" s="742"/>
      <c r="BA177" s="742"/>
      <c r="BB177" s="742"/>
      <c r="BC177" s="742"/>
      <c r="BD177" s="742"/>
      <c r="BE177" s="742"/>
      <c r="BF177" s="742"/>
      <c r="BG177" s="742"/>
      <c r="BH177" s="742"/>
      <c r="BI177" s="742"/>
      <c r="BJ177" s="742"/>
      <c r="BK177" s="742"/>
      <c r="BL177" s="742"/>
      <c r="BM177" s="742"/>
      <c r="BN177" s="742"/>
      <c r="BO177" s="742"/>
      <c r="BP177" s="742"/>
      <c r="BQ177" s="742"/>
      <c r="BR177" s="742"/>
      <c r="BS177" s="742"/>
      <c r="BT177" s="742"/>
      <c r="BU177" s="742"/>
      <c r="BV177" s="742"/>
      <c r="BW177" s="742"/>
      <c r="BX177" s="742"/>
      <c r="BY177" s="742"/>
      <c r="BZ177" s="742"/>
      <c r="CA177" s="742"/>
      <c r="CB177" s="742"/>
      <c r="CC177" s="742"/>
      <c r="CD177" s="742"/>
      <c r="CE177" s="742"/>
      <c r="CF177" s="742"/>
      <c r="CG177" s="742"/>
      <c r="CH177" s="742"/>
      <c r="CI177" s="742"/>
      <c r="CJ177" s="742"/>
      <c r="CK177" s="742"/>
      <c r="CL177" s="742"/>
      <c r="CM177" s="742"/>
      <c r="CN177" s="742"/>
      <c r="CO177" s="742"/>
      <c r="CP177" s="742"/>
      <c r="CQ177" s="742"/>
      <c r="CR177" s="742"/>
      <c r="CS177" s="742"/>
      <c r="CT177" s="742"/>
      <c r="CU177" s="742"/>
      <c r="CV177" s="742"/>
      <c r="CW177" s="742"/>
      <c r="CX177" s="742"/>
      <c r="CY177" s="742"/>
      <c r="CZ177" s="742"/>
    </row>
    <row r="178" spans="1:105" ht="11.25" hidden="1" customHeight="1" x14ac:dyDescent="0.25"/>
    <row r="179" spans="1:105" s="20" customFormat="1" hidden="1" x14ac:dyDescent="0.25">
      <c r="A179" s="20" t="s">
        <v>47</v>
      </c>
      <c r="W179" s="595" t="s">
        <v>466</v>
      </c>
      <c r="X179" s="595"/>
      <c r="Y179" s="595"/>
      <c r="Z179" s="595"/>
      <c r="AA179" s="595"/>
      <c r="AB179" s="595"/>
      <c r="AC179" s="595"/>
      <c r="AD179" s="595"/>
      <c r="AE179" s="595"/>
      <c r="AF179" s="595"/>
      <c r="AG179" s="595"/>
      <c r="AH179" s="595"/>
      <c r="AI179" s="595"/>
      <c r="AJ179" s="595"/>
      <c r="AK179" s="595"/>
      <c r="AL179" s="595"/>
      <c r="AM179" s="595"/>
      <c r="AN179" s="595"/>
      <c r="AO179" s="595"/>
      <c r="AP179" s="595"/>
      <c r="AQ179" s="595"/>
      <c r="AR179" s="595"/>
      <c r="AS179" s="595"/>
      <c r="AT179" s="595"/>
      <c r="AU179" s="595"/>
      <c r="AV179" s="595"/>
      <c r="AW179" s="595"/>
      <c r="AX179" s="595"/>
      <c r="AY179" s="595"/>
      <c r="AZ179" s="595"/>
      <c r="BA179" s="595"/>
      <c r="BB179" s="595"/>
      <c r="BC179" s="595"/>
      <c r="BD179" s="595"/>
      <c r="BE179" s="595"/>
      <c r="BF179" s="595"/>
      <c r="BG179" s="595"/>
      <c r="BH179" s="595"/>
      <c r="BI179" s="595"/>
      <c r="BJ179" s="595"/>
      <c r="BK179" s="595"/>
      <c r="BL179" s="595"/>
      <c r="BM179" s="595"/>
      <c r="BN179" s="595"/>
      <c r="BO179" s="595"/>
      <c r="BP179" s="595"/>
      <c r="BQ179" s="595"/>
      <c r="BR179" s="595"/>
      <c r="BS179" s="595"/>
      <c r="BT179" s="595"/>
      <c r="BU179" s="595"/>
      <c r="BV179" s="595"/>
      <c r="BW179" s="595"/>
      <c r="BX179" s="595"/>
      <c r="BY179" s="595"/>
      <c r="BZ179" s="595"/>
      <c r="CA179" s="595"/>
      <c r="CB179" s="595"/>
      <c r="CC179" s="595"/>
      <c r="CD179" s="595"/>
      <c r="CE179" s="595"/>
      <c r="CF179" s="595"/>
      <c r="CG179" s="595"/>
      <c r="CH179" s="595"/>
      <c r="CI179" s="595"/>
      <c r="CJ179" s="595"/>
      <c r="CK179" s="595"/>
      <c r="CL179" s="595"/>
      <c r="CM179" s="595"/>
      <c r="CN179" s="595"/>
      <c r="CO179" s="595"/>
      <c r="CP179" s="595"/>
      <c r="CQ179" s="595"/>
      <c r="CR179" s="595"/>
      <c r="CS179" s="595"/>
      <c r="CT179" s="595"/>
      <c r="CU179" s="595"/>
      <c r="CV179" s="595"/>
      <c r="CW179" s="595"/>
      <c r="CX179" s="595"/>
      <c r="CY179" s="595"/>
      <c r="CZ179" s="595"/>
    </row>
    <row r="180" spans="1:105" ht="10.5" hidden="1" customHeight="1" x14ac:dyDescent="0.25"/>
    <row r="181" spans="1:105" s="18" customFormat="1" ht="45" hidden="1" customHeight="1" x14ac:dyDescent="0.3">
      <c r="A181" s="475" t="s">
        <v>49</v>
      </c>
      <c r="B181" s="476"/>
      <c r="C181" s="476"/>
      <c r="D181" s="476"/>
      <c r="E181" s="476"/>
      <c r="F181" s="476"/>
      <c r="G181" s="477"/>
      <c r="H181" s="475" t="s">
        <v>0</v>
      </c>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76"/>
      <c r="AP181" s="476"/>
      <c r="AQ181" s="476"/>
      <c r="AR181" s="476"/>
      <c r="AS181" s="476"/>
      <c r="AT181" s="476"/>
      <c r="AU181" s="476"/>
      <c r="AV181" s="476"/>
      <c r="AW181" s="476"/>
      <c r="AX181" s="476"/>
      <c r="AY181" s="476"/>
      <c r="AZ181" s="476"/>
      <c r="BA181" s="476"/>
      <c r="BB181" s="477"/>
      <c r="BC181" s="606" t="s">
        <v>75</v>
      </c>
      <c r="BD181" s="606"/>
      <c r="BE181" s="606"/>
      <c r="BF181" s="606"/>
      <c r="BG181" s="606"/>
      <c r="BH181" s="606"/>
      <c r="BI181" s="606"/>
      <c r="BJ181" s="606"/>
      <c r="BK181" s="606"/>
      <c r="BL181" s="606"/>
      <c r="BM181" s="606"/>
      <c r="BN181" s="606"/>
      <c r="BO181" s="606"/>
      <c r="BP181" s="606"/>
      <c r="BQ181" s="606"/>
      <c r="BR181" s="606"/>
      <c r="BS181" s="606" t="s">
        <v>76</v>
      </c>
      <c r="BT181" s="606"/>
      <c r="BU181" s="606"/>
      <c r="BV181" s="606"/>
      <c r="BW181" s="606"/>
      <c r="BX181" s="606"/>
      <c r="BY181" s="606"/>
      <c r="BZ181" s="606"/>
      <c r="CA181" s="606"/>
      <c r="CB181" s="606"/>
      <c r="CC181" s="606"/>
      <c r="CD181" s="606"/>
      <c r="CE181" s="606"/>
      <c r="CF181" s="606"/>
      <c r="CG181" s="606"/>
      <c r="CH181" s="606"/>
      <c r="CI181" s="606" t="s">
        <v>77</v>
      </c>
      <c r="CJ181" s="606"/>
      <c r="CK181" s="606"/>
      <c r="CL181" s="606"/>
      <c r="CM181" s="606"/>
      <c r="CN181" s="606"/>
      <c r="CO181" s="606"/>
      <c r="CP181" s="606"/>
      <c r="CQ181" s="606"/>
      <c r="CR181" s="606"/>
      <c r="CS181" s="606"/>
      <c r="CT181" s="606"/>
      <c r="CU181" s="606"/>
      <c r="CV181" s="606"/>
      <c r="CW181" s="606"/>
      <c r="CX181" s="606"/>
      <c r="CY181" s="606"/>
      <c r="CZ181" s="606"/>
      <c r="DA181" s="218"/>
    </row>
    <row r="182" spans="1:105" s="15" customFormat="1" ht="13.2" hidden="1" x14ac:dyDescent="0.3">
      <c r="A182" s="591">
        <v>1</v>
      </c>
      <c r="B182" s="591"/>
      <c r="C182" s="591"/>
      <c r="D182" s="591"/>
      <c r="E182" s="591"/>
      <c r="F182" s="591"/>
      <c r="G182" s="591"/>
      <c r="H182" s="591">
        <v>2</v>
      </c>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1"/>
      <c r="AL182" s="591"/>
      <c r="AM182" s="591"/>
      <c r="AN182" s="591"/>
      <c r="AO182" s="591"/>
      <c r="AP182" s="591"/>
      <c r="AQ182" s="591"/>
      <c r="AR182" s="591"/>
      <c r="AS182" s="591"/>
      <c r="AT182" s="591"/>
      <c r="AU182" s="591"/>
      <c r="AV182" s="591"/>
      <c r="AW182" s="591"/>
      <c r="AX182" s="591"/>
      <c r="AY182" s="591"/>
      <c r="AZ182" s="591"/>
      <c r="BA182" s="591"/>
      <c r="BB182" s="591"/>
      <c r="BC182" s="591">
        <v>3</v>
      </c>
      <c r="BD182" s="591"/>
      <c r="BE182" s="591"/>
      <c r="BF182" s="591"/>
      <c r="BG182" s="591"/>
      <c r="BH182" s="591"/>
      <c r="BI182" s="591"/>
      <c r="BJ182" s="591"/>
      <c r="BK182" s="591"/>
      <c r="BL182" s="591"/>
      <c r="BM182" s="591"/>
      <c r="BN182" s="591"/>
      <c r="BO182" s="591"/>
      <c r="BP182" s="591"/>
      <c r="BQ182" s="591"/>
      <c r="BR182" s="591"/>
      <c r="BS182" s="591">
        <v>4</v>
      </c>
      <c r="BT182" s="591"/>
      <c r="BU182" s="591"/>
      <c r="BV182" s="591"/>
      <c r="BW182" s="591"/>
      <c r="BX182" s="591"/>
      <c r="BY182" s="591"/>
      <c r="BZ182" s="591"/>
      <c r="CA182" s="591"/>
      <c r="CB182" s="591"/>
      <c r="CC182" s="591"/>
      <c r="CD182" s="591"/>
      <c r="CE182" s="591"/>
      <c r="CF182" s="591"/>
      <c r="CG182" s="591"/>
      <c r="CH182" s="591"/>
      <c r="CI182" s="591">
        <v>5</v>
      </c>
      <c r="CJ182" s="591"/>
      <c r="CK182" s="591"/>
      <c r="CL182" s="591"/>
      <c r="CM182" s="591"/>
      <c r="CN182" s="591"/>
      <c r="CO182" s="591"/>
      <c r="CP182" s="591"/>
      <c r="CQ182" s="591"/>
      <c r="CR182" s="591"/>
      <c r="CS182" s="591"/>
      <c r="CT182" s="591"/>
      <c r="CU182" s="591"/>
      <c r="CV182" s="591"/>
      <c r="CW182" s="591"/>
      <c r="CX182" s="591"/>
      <c r="CY182" s="591"/>
      <c r="CZ182" s="591"/>
      <c r="DA182" s="219"/>
    </row>
    <row r="183" spans="1:105" s="16" customFormat="1" ht="15" hidden="1" customHeight="1" x14ac:dyDescent="0.3">
      <c r="A183" s="648" t="s">
        <v>569</v>
      </c>
      <c r="B183" s="649"/>
      <c r="C183" s="649"/>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9"/>
      <c r="AL183" s="649"/>
      <c r="AM183" s="649"/>
      <c r="AN183" s="649"/>
      <c r="AO183" s="649"/>
      <c r="AP183" s="649"/>
      <c r="AQ183" s="649"/>
      <c r="AR183" s="649"/>
      <c r="AS183" s="649"/>
      <c r="AT183" s="649"/>
      <c r="AU183" s="649"/>
      <c r="AV183" s="649"/>
      <c r="AW183" s="649"/>
      <c r="AX183" s="649"/>
      <c r="AY183" s="649"/>
      <c r="AZ183" s="649"/>
      <c r="BA183" s="649"/>
      <c r="BB183" s="649"/>
      <c r="BC183" s="649"/>
      <c r="BD183" s="649"/>
      <c r="BE183" s="649"/>
      <c r="BF183" s="649"/>
      <c r="BG183" s="649"/>
      <c r="BH183" s="649"/>
      <c r="BI183" s="649"/>
      <c r="BJ183" s="649"/>
      <c r="BK183" s="649"/>
      <c r="BL183" s="649"/>
      <c r="BM183" s="649"/>
      <c r="BN183" s="649"/>
      <c r="BO183" s="649"/>
      <c r="BP183" s="649"/>
      <c r="BQ183" s="649"/>
      <c r="BR183" s="649"/>
      <c r="BS183" s="649"/>
      <c r="BT183" s="649"/>
      <c r="BU183" s="649"/>
      <c r="BV183" s="649"/>
      <c r="BW183" s="649"/>
      <c r="BX183" s="649"/>
      <c r="BY183" s="649"/>
      <c r="BZ183" s="649"/>
      <c r="CA183" s="649"/>
      <c r="CB183" s="649"/>
      <c r="CC183" s="649"/>
      <c r="CD183" s="649"/>
      <c r="CE183" s="649"/>
      <c r="CF183" s="649"/>
      <c r="CG183" s="649"/>
      <c r="CH183" s="649"/>
      <c r="CI183" s="649"/>
      <c r="CJ183" s="649"/>
      <c r="CK183" s="649"/>
      <c r="CL183" s="649"/>
      <c r="CM183" s="649"/>
      <c r="CN183" s="649"/>
      <c r="CO183" s="649"/>
      <c r="CP183" s="649"/>
      <c r="CQ183" s="649"/>
      <c r="CR183" s="649"/>
      <c r="CS183" s="649"/>
      <c r="CT183" s="649"/>
      <c r="CU183" s="649"/>
      <c r="CV183" s="649"/>
      <c r="CW183" s="649"/>
      <c r="CX183" s="649"/>
      <c r="CY183" s="649"/>
      <c r="CZ183" s="649"/>
      <c r="DA183" s="214"/>
    </row>
    <row r="184" spans="1:105" s="16" customFormat="1" ht="22.5" hidden="1" customHeight="1" x14ac:dyDescent="0.3">
      <c r="A184" s="630" t="s">
        <v>441</v>
      </c>
      <c r="B184" s="631"/>
      <c r="C184" s="631"/>
      <c r="D184" s="631"/>
      <c r="E184" s="631"/>
      <c r="F184" s="631"/>
      <c r="G184" s="632"/>
      <c r="H184" s="584" t="s">
        <v>570</v>
      </c>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585"/>
      <c r="BB184" s="586"/>
      <c r="BC184" s="627">
        <f>CI184/BS184</f>
        <v>0</v>
      </c>
      <c r="BD184" s="628"/>
      <c r="BE184" s="628"/>
      <c r="BF184" s="628"/>
      <c r="BG184" s="628"/>
      <c r="BH184" s="628"/>
      <c r="BI184" s="628"/>
      <c r="BJ184" s="628"/>
      <c r="BK184" s="628"/>
      <c r="BL184" s="628"/>
      <c r="BM184" s="628"/>
      <c r="BN184" s="628"/>
      <c r="BO184" s="628"/>
      <c r="BP184" s="628"/>
      <c r="BQ184" s="628"/>
      <c r="BR184" s="629"/>
      <c r="BS184" s="544">
        <v>50</v>
      </c>
      <c r="BT184" s="545"/>
      <c r="BU184" s="545"/>
      <c r="BV184" s="545"/>
      <c r="BW184" s="545"/>
      <c r="BX184" s="545"/>
      <c r="BY184" s="545"/>
      <c r="BZ184" s="545"/>
      <c r="CA184" s="545"/>
      <c r="CB184" s="545"/>
      <c r="CC184" s="545"/>
      <c r="CD184" s="545"/>
      <c r="CE184" s="545"/>
      <c r="CF184" s="545"/>
      <c r="CG184" s="545"/>
      <c r="CH184" s="546"/>
      <c r="CI184" s="627"/>
      <c r="CJ184" s="628"/>
      <c r="CK184" s="628"/>
      <c r="CL184" s="628"/>
      <c r="CM184" s="628"/>
      <c r="CN184" s="628"/>
      <c r="CO184" s="628"/>
      <c r="CP184" s="628"/>
      <c r="CQ184" s="628"/>
      <c r="CR184" s="628"/>
      <c r="CS184" s="628"/>
      <c r="CT184" s="628"/>
      <c r="CU184" s="628"/>
      <c r="CV184" s="628"/>
      <c r="CW184" s="628"/>
      <c r="CX184" s="628"/>
      <c r="CY184" s="628"/>
      <c r="CZ184" s="629"/>
      <c r="DA184" s="214"/>
    </row>
    <row r="185" spans="1:105" s="16" customFormat="1" ht="24" hidden="1" customHeight="1" x14ac:dyDescent="0.3">
      <c r="A185" s="630" t="s">
        <v>444</v>
      </c>
      <c r="B185" s="631"/>
      <c r="C185" s="631"/>
      <c r="D185" s="631"/>
      <c r="E185" s="631"/>
      <c r="F185" s="631"/>
      <c r="G185" s="632"/>
      <c r="H185" s="584" t="s">
        <v>571</v>
      </c>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585"/>
      <c r="BB185" s="586"/>
      <c r="BC185" s="627"/>
      <c r="BD185" s="628"/>
      <c r="BE185" s="628"/>
      <c r="BF185" s="628"/>
      <c r="BG185" s="628"/>
      <c r="BH185" s="628"/>
      <c r="BI185" s="628"/>
      <c r="BJ185" s="628"/>
      <c r="BK185" s="628"/>
      <c r="BL185" s="628"/>
      <c r="BM185" s="628"/>
      <c r="BN185" s="628"/>
      <c r="BO185" s="628"/>
      <c r="BP185" s="628"/>
      <c r="BQ185" s="628"/>
      <c r="BR185" s="629"/>
      <c r="BS185" s="544"/>
      <c r="BT185" s="545"/>
      <c r="BU185" s="545"/>
      <c r="BV185" s="545"/>
      <c r="BW185" s="545"/>
      <c r="BX185" s="545"/>
      <c r="BY185" s="545"/>
      <c r="BZ185" s="545"/>
      <c r="CA185" s="545"/>
      <c r="CB185" s="545"/>
      <c r="CC185" s="545"/>
      <c r="CD185" s="545"/>
      <c r="CE185" s="545"/>
      <c r="CF185" s="545"/>
      <c r="CG185" s="545"/>
      <c r="CH185" s="546"/>
      <c r="CI185" s="627"/>
      <c r="CJ185" s="628"/>
      <c r="CK185" s="628"/>
      <c r="CL185" s="628"/>
      <c r="CM185" s="628"/>
      <c r="CN185" s="628"/>
      <c r="CO185" s="628"/>
      <c r="CP185" s="628"/>
      <c r="CQ185" s="628"/>
      <c r="CR185" s="628"/>
      <c r="CS185" s="628"/>
      <c r="CT185" s="628"/>
      <c r="CU185" s="628"/>
      <c r="CV185" s="628"/>
      <c r="CW185" s="628"/>
      <c r="CX185" s="628"/>
      <c r="CY185" s="628"/>
      <c r="CZ185" s="629"/>
      <c r="DA185" s="237">
        <f>180000-CI185</f>
        <v>180000</v>
      </c>
    </row>
    <row r="186" spans="1:105" s="16" customFormat="1" ht="15" hidden="1" customHeight="1" x14ac:dyDescent="0.3">
      <c r="A186" s="633" t="s">
        <v>292</v>
      </c>
      <c r="B186" s="634"/>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c r="AA186" s="634"/>
      <c r="AB186" s="634"/>
      <c r="AC186" s="634"/>
      <c r="AD186" s="634"/>
      <c r="AE186" s="634"/>
      <c r="AF186" s="634"/>
      <c r="AG186" s="634"/>
      <c r="AH186" s="634"/>
      <c r="AI186" s="634"/>
      <c r="AJ186" s="634"/>
      <c r="AK186" s="634"/>
      <c r="AL186" s="634"/>
      <c r="AM186" s="634"/>
      <c r="AN186" s="634"/>
      <c r="AO186" s="634"/>
      <c r="AP186" s="634"/>
      <c r="AQ186" s="634"/>
      <c r="AR186" s="634"/>
      <c r="AS186" s="634"/>
      <c r="AT186" s="634"/>
      <c r="AU186" s="634"/>
      <c r="AV186" s="634"/>
      <c r="AW186" s="634"/>
      <c r="AX186" s="634"/>
      <c r="AY186" s="634"/>
      <c r="AZ186" s="634"/>
      <c r="BA186" s="634"/>
      <c r="BB186" s="635"/>
      <c r="BC186" s="544" t="s">
        <v>4</v>
      </c>
      <c r="BD186" s="545"/>
      <c r="BE186" s="545"/>
      <c r="BF186" s="545"/>
      <c r="BG186" s="545"/>
      <c r="BH186" s="545"/>
      <c r="BI186" s="545"/>
      <c r="BJ186" s="545"/>
      <c r="BK186" s="545"/>
      <c r="BL186" s="545"/>
      <c r="BM186" s="545"/>
      <c r="BN186" s="545"/>
      <c r="BO186" s="545"/>
      <c r="BP186" s="545"/>
      <c r="BQ186" s="545"/>
      <c r="BR186" s="546"/>
      <c r="BS186" s="544" t="s">
        <v>4</v>
      </c>
      <c r="BT186" s="545"/>
      <c r="BU186" s="545"/>
      <c r="BV186" s="545"/>
      <c r="BW186" s="545"/>
      <c r="BX186" s="545"/>
      <c r="BY186" s="545"/>
      <c r="BZ186" s="545"/>
      <c r="CA186" s="545"/>
      <c r="CB186" s="545"/>
      <c r="CC186" s="545"/>
      <c r="CD186" s="545"/>
      <c r="CE186" s="545"/>
      <c r="CF186" s="545"/>
      <c r="CG186" s="545"/>
      <c r="CH186" s="546"/>
      <c r="CI186" s="636">
        <f>CI184+CI185</f>
        <v>0</v>
      </c>
      <c r="CJ186" s="654"/>
      <c r="CK186" s="654"/>
      <c r="CL186" s="654"/>
      <c r="CM186" s="654"/>
      <c r="CN186" s="654"/>
      <c r="CO186" s="654"/>
      <c r="CP186" s="654"/>
      <c r="CQ186" s="654"/>
      <c r="CR186" s="654"/>
      <c r="CS186" s="654"/>
      <c r="CT186" s="654"/>
      <c r="CU186" s="654"/>
      <c r="CV186" s="654"/>
      <c r="CW186" s="654"/>
      <c r="CX186" s="654"/>
      <c r="CY186" s="654"/>
      <c r="CZ186" s="655"/>
      <c r="DA186" s="214"/>
    </row>
    <row r="187" spans="1:105" s="16" customFormat="1" ht="33.75" hidden="1" customHeight="1" x14ac:dyDescent="0.3">
      <c r="A187" s="648" t="s">
        <v>258</v>
      </c>
      <c r="B187" s="649"/>
      <c r="C187" s="649"/>
      <c r="D187" s="649"/>
      <c r="E187" s="649"/>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49"/>
      <c r="AY187" s="649"/>
      <c r="AZ187" s="649"/>
      <c r="BA187" s="649"/>
      <c r="BB187" s="649"/>
      <c r="BC187" s="649"/>
      <c r="BD187" s="649"/>
      <c r="BE187" s="649"/>
      <c r="BF187" s="649"/>
      <c r="BG187" s="649"/>
      <c r="BH187" s="649"/>
      <c r="BI187" s="649"/>
      <c r="BJ187" s="649"/>
      <c r="BK187" s="649"/>
      <c r="BL187" s="649"/>
      <c r="BM187" s="649"/>
      <c r="BN187" s="649"/>
      <c r="BO187" s="649"/>
      <c r="BP187" s="649"/>
      <c r="BQ187" s="649"/>
      <c r="BR187" s="649"/>
      <c r="BS187" s="649"/>
      <c r="BT187" s="649"/>
      <c r="BU187" s="649"/>
      <c r="BV187" s="649"/>
      <c r="BW187" s="649"/>
      <c r="BX187" s="649"/>
      <c r="BY187" s="649"/>
      <c r="BZ187" s="649"/>
      <c r="CA187" s="649"/>
      <c r="CB187" s="649"/>
      <c r="CC187" s="649"/>
      <c r="CD187" s="649"/>
      <c r="CE187" s="649"/>
      <c r="CF187" s="649"/>
      <c r="CG187" s="649"/>
      <c r="CH187" s="649"/>
      <c r="CI187" s="649"/>
      <c r="CJ187" s="649"/>
      <c r="CK187" s="649"/>
      <c r="CL187" s="649"/>
      <c r="CM187" s="649"/>
      <c r="CN187" s="649"/>
      <c r="CO187" s="649"/>
      <c r="CP187" s="649"/>
      <c r="CQ187" s="649"/>
      <c r="CR187" s="649"/>
      <c r="CS187" s="649"/>
      <c r="CT187" s="649"/>
      <c r="CU187" s="649"/>
      <c r="CV187" s="649"/>
      <c r="CW187" s="649"/>
      <c r="CX187" s="649"/>
      <c r="CY187" s="649"/>
      <c r="CZ187" s="649"/>
      <c r="DA187" s="214"/>
    </row>
    <row r="188" spans="1:105" s="16" customFormat="1" ht="33" hidden="1" customHeight="1" x14ac:dyDescent="0.3">
      <c r="A188" s="630"/>
      <c r="B188" s="631"/>
      <c r="C188" s="631"/>
      <c r="D188" s="631"/>
      <c r="E188" s="631"/>
      <c r="F188" s="631"/>
      <c r="G188" s="632"/>
      <c r="H188" s="584"/>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c r="AV188" s="585"/>
      <c r="AW188" s="585"/>
      <c r="AX188" s="585"/>
      <c r="AY188" s="585"/>
      <c r="AZ188" s="585"/>
      <c r="BA188" s="585"/>
      <c r="BB188" s="586"/>
      <c r="BC188" s="544"/>
      <c r="BD188" s="545"/>
      <c r="BE188" s="545"/>
      <c r="BF188" s="545"/>
      <c r="BG188" s="545"/>
      <c r="BH188" s="545"/>
      <c r="BI188" s="545"/>
      <c r="BJ188" s="545"/>
      <c r="BK188" s="545"/>
      <c r="BL188" s="545"/>
      <c r="BM188" s="545"/>
      <c r="BN188" s="545"/>
      <c r="BO188" s="545"/>
      <c r="BP188" s="545"/>
      <c r="BQ188" s="545"/>
      <c r="BR188" s="546"/>
      <c r="BS188" s="544"/>
      <c r="BT188" s="545"/>
      <c r="BU188" s="545"/>
      <c r="BV188" s="545"/>
      <c r="BW188" s="545"/>
      <c r="BX188" s="545"/>
      <c r="BY188" s="545"/>
      <c r="BZ188" s="545"/>
      <c r="CA188" s="545"/>
      <c r="CB188" s="545"/>
      <c r="CC188" s="545"/>
      <c r="CD188" s="545"/>
      <c r="CE188" s="545"/>
      <c r="CF188" s="545"/>
      <c r="CG188" s="545"/>
      <c r="CH188" s="546"/>
      <c r="CI188" s="544"/>
      <c r="CJ188" s="545"/>
      <c r="CK188" s="545"/>
      <c r="CL188" s="545"/>
      <c r="CM188" s="545"/>
      <c r="CN188" s="545"/>
      <c r="CO188" s="545"/>
      <c r="CP188" s="545"/>
      <c r="CQ188" s="545"/>
      <c r="CR188" s="545"/>
      <c r="CS188" s="545"/>
      <c r="CT188" s="545"/>
      <c r="CU188" s="545"/>
      <c r="CV188" s="545"/>
      <c r="CW188" s="545"/>
      <c r="CX188" s="545"/>
      <c r="CY188" s="545"/>
      <c r="CZ188" s="546"/>
      <c r="DA188" s="214"/>
    </row>
    <row r="189" spans="1:105" s="16" customFormat="1" ht="24" hidden="1" customHeight="1" x14ac:dyDescent="0.3">
      <c r="A189" s="633" t="s">
        <v>292</v>
      </c>
      <c r="B189" s="634"/>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34"/>
      <c r="AL189" s="634"/>
      <c r="AM189" s="634"/>
      <c r="AN189" s="634"/>
      <c r="AO189" s="634"/>
      <c r="AP189" s="634"/>
      <c r="AQ189" s="634"/>
      <c r="AR189" s="634"/>
      <c r="AS189" s="634"/>
      <c r="AT189" s="634"/>
      <c r="AU189" s="634"/>
      <c r="AV189" s="634"/>
      <c r="AW189" s="634"/>
      <c r="AX189" s="634"/>
      <c r="AY189" s="634"/>
      <c r="AZ189" s="634"/>
      <c r="BA189" s="634"/>
      <c r="BB189" s="635"/>
      <c r="BC189" s="544" t="s">
        <v>4</v>
      </c>
      <c r="BD189" s="545"/>
      <c r="BE189" s="545"/>
      <c r="BF189" s="545"/>
      <c r="BG189" s="545"/>
      <c r="BH189" s="545"/>
      <c r="BI189" s="545"/>
      <c r="BJ189" s="545"/>
      <c r="BK189" s="545"/>
      <c r="BL189" s="545"/>
      <c r="BM189" s="545"/>
      <c r="BN189" s="545"/>
      <c r="BO189" s="545"/>
      <c r="BP189" s="545"/>
      <c r="BQ189" s="545"/>
      <c r="BR189" s="546"/>
      <c r="BS189" s="544" t="s">
        <v>4</v>
      </c>
      <c r="BT189" s="545"/>
      <c r="BU189" s="545"/>
      <c r="BV189" s="545"/>
      <c r="BW189" s="545"/>
      <c r="BX189" s="545"/>
      <c r="BY189" s="545"/>
      <c r="BZ189" s="545"/>
      <c r="CA189" s="545"/>
      <c r="CB189" s="545"/>
      <c r="CC189" s="545"/>
      <c r="CD189" s="545"/>
      <c r="CE189" s="545"/>
      <c r="CF189" s="545"/>
      <c r="CG189" s="545"/>
      <c r="CH189" s="546"/>
      <c r="CI189" s="544"/>
      <c r="CJ189" s="545"/>
      <c r="CK189" s="545"/>
      <c r="CL189" s="545"/>
      <c r="CM189" s="545"/>
      <c r="CN189" s="545"/>
      <c r="CO189" s="545"/>
      <c r="CP189" s="545"/>
      <c r="CQ189" s="545"/>
      <c r="CR189" s="545"/>
      <c r="CS189" s="545"/>
      <c r="CT189" s="545"/>
      <c r="CU189" s="545"/>
      <c r="CV189" s="545"/>
      <c r="CW189" s="545"/>
      <c r="CX189" s="545"/>
      <c r="CY189" s="545"/>
      <c r="CZ189" s="546"/>
      <c r="DA189" s="214"/>
    </row>
    <row r="190" spans="1:105" s="16" customFormat="1" ht="15" hidden="1" customHeight="1" x14ac:dyDescent="0.3">
      <c r="A190" s="633" t="s">
        <v>56</v>
      </c>
      <c r="B190" s="634"/>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4"/>
      <c r="AY190" s="634"/>
      <c r="AZ190" s="634"/>
      <c r="BA190" s="634"/>
      <c r="BB190" s="635"/>
      <c r="BC190" s="544" t="s">
        <v>4</v>
      </c>
      <c r="BD190" s="545"/>
      <c r="BE190" s="545"/>
      <c r="BF190" s="545"/>
      <c r="BG190" s="545"/>
      <c r="BH190" s="545"/>
      <c r="BI190" s="545"/>
      <c r="BJ190" s="545"/>
      <c r="BK190" s="545"/>
      <c r="BL190" s="545"/>
      <c r="BM190" s="545"/>
      <c r="BN190" s="545"/>
      <c r="BO190" s="545"/>
      <c r="BP190" s="545"/>
      <c r="BQ190" s="545"/>
      <c r="BR190" s="546"/>
      <c r="BS190" s="544" t="s">
        <v>4</v>
      </c>
      <c r="BT190" s="545"/>
      <c r="BU190" s="545"/>
      <c r="BV190" s="545"/>
      <c r="BW190" s="545"/>
      <c r="BX190" s="545"/>
      <c r="BY190" s="545"/>
      <c r="BZ190" s="545"/>
      <c r="CA190" s="545"/>
      <c r="CB190" s="545"/>
      <c r="CC190" s="545"/>
      <c r="CD190" s="545"/>
      <c r="CE190" s="545"/>
      <c r="CF190" s="545"/>
      <c r="CG190" s="545"/>
      <c r="CH190" s="546"/>
      <c r="CI190" s="636">
        <f>CI186</f>
        <v>0</v>
      </c>
      <c r="CJ190" s="637"/>
      <c r="CK190" s="637"/>
      <c r="CL190" s="637"/>
      <c r="CM190" s="637"/>
      <c r="CN190" s="637"/>
      <c r="CO190" s="637"/>
      <c r="CP190" s="637"/>
      <c r="CQ190" s="637"/>
      <c r="CR190" s="637"/>
      <c r="CS190" s="637"/>
      <c r="CT190" s="637"/>
      <c r="CU190" s="637"/>
      <c r="CV190" s="637"/>
      <c r="CW190" s="637"/>
      <c r="CX190" s="637"/>
      <c r="CY190" s="637"/>
      <c r="CZ190" s="638"/>
      <c r="DA190" s="238"/>
    </row>
    <row r="191" spans="1:105" s="17" customFormat="1" ht="13.5" hidden="1" customHeight="1" x14ac:dyDescent="0.25">
      <c r="A191" s="221"/>
      <c r="B191" s="221"/>
      <c r="C191" s="221"/>
      <c r="D191" s="221"/>
      <c r="E191" s="221"/>
      <c r="F191" s="22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9"/>
      <c r="CM191" s="45"/>
      <c r="CN191" s="45"/>
      <c r="CO191" s="45"/>
      <c r="CP191" s="45"/>
      <c r="CQ191" s="45"/>
      <c r="CR191" s="45"/>
      <c r="CS191" s="45"/>
      <c r="CT191" s="45"/>
      <c r="CU191" s="45"/>
      <c r="CV191" s="45"/>
      <c r="CW191" s="45"/>
      <c r="CX191" s="45"/>
      <c r="CY191" s="45"/>
      <c r="CZ191" s="45"/>
      <c r="DA191" s="232"/>
    </row>
    <row r="192" spans="1:105" s="17" customFormat="1" ht="13.5" hidden="1" customHeight="1" x14ac:dyDescent="0.25">
      <c r="A192" s="594" t="s">
        <v>277</v>
      </c>
      <c r="B192" s="594"/>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4"/>
      <c r="AP192" s="594"/>
      <c r="AQ192" s="594"/>
      <c r="AR192" s="594"/>
      <c r="AS192" s="594"/>
      <c r="AT192" s="594"/>
      <c r="AU192" s="594"/>
      <c r="AV192" s="594"/>
      <c r="AW192" s="594"/>
      <c r="AX192" s="594"/>
      <c r="AY192" s="594"/>
      <c r="AZ192" s="594"/>
      <c r="BA192" s="594"/>
      <c r="BB192" s="594"/>
      <c r="BC192" s="594"/>
      <c r="BD192" s="594"/>
      <c r="BE192" s="59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232"/>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32"/>
    </row>
    <row r="194" spans="1:105" s="17" customFormat="1" ht="27" customHeight="1" x14ac:dyDescent="0.25">
      <c r="A194" s="524" t="s">
        <v>288</v>
      </c>
      <c r="B194" s="524"/>
      <c r="C194" s="524"/>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4"/>
      <c r="AL194" s="524"/>
      <c r="AM194" s="524"/>
      <c r="AN194" s="524"/>
      <c r="AO194" s="524"/>
      <c r="AP194" s="524"/>
      <c r="AQ194" s="524"/>
      <c r="AR194" s="524"/>
      <c r="AS194" s="524"/>
      <c r="AT194" s="524"/>
      <c r="AU194" s="524"/>
      <c r="AV194" s="524"/>
      <c r="AW194" s="524"/>
      <c r="AX194" s="524"/>
      <c r="AY194" s="524"/>
      <c r="AZ194" s="524"/>
      <c r="BA194" s="524"/>
      <c r="BB194" s="524"/>
      <c r="BC194" s="524"/>
      <c r="BD194" s="524"/>
      <c r="BE194" s="524"/>
      <c r="BF194" s="524"/>
      <c r="BG194" s="524"/>
      <c r="BH194" s="524"/>
      <c r="BI194" s="524"/>
      <c r="BJ194" s="524"/>
      <c r="BK194" s="524"/>
      <c r="BL194" s="524"/>
      <c r="BM194" s="524"/>
      <c r="BN194" s="524"/>
      <c r="BO194" s="524"/>
      <c r="BP194" s="524"/>
      <c r="BQ194" s="524"/>
      <c r="BR194" s="524"/>
      <c r="BS194" s="524"/>
      <c r="BT194" s="524"/>
      <c r="BU194" s="524"/>
      <c r="BV194" s="524"/>
      <c r="BW194" s="524"/>
      <c r="BX194" s="524"/>
      <c r="BY194" s="524"/>
      <c r="BZ194" s="524"/>
      <c r="CA194" s="524"/>
      <c r="CB194" s="524"/>
      <c r="CC194" s="524"/>
      <c r="CD194" s="524"/>
      <c r="CE194" s="524"/>
      <c r="CF194" s="524"/>
      <c r="CG194" s="524"/>
      <c r="CH194" s="524"/>
      <c r="CI194" s="524"/>
      <c r="CJ194" s="524"/>
      <c r="CK194" s="524"/>
      <c r="CL194" s="524"/>
      <c r="CM194" s="524"/>
      <c r="CN194" s="524"/>
      <c r="CO194" s="524"/>
      <c r="CP194" s="524"/>
      <c r="CQ194" s="524"/>
      <c r="CR194" s="524"/>
      <c r="CS194" s="524"/>
      <c r="CT194" s="524"/>
      <c r="CU194" s="524"/>
      <c r="CV194" s="524"/>
      <c r="CW194" s="524"/>
      <c r="CX194" s="524"/>
      <c r="CY194" s="524"/>
      <c r="CZ194" s="524"/>
      <c r="DA194" s="235"/>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32"/>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95" t="s">
        <v>466</v>
      </c>
      <c r="X196" s="595"/>
      <c r="Y196" s="595"/>
      <c r="Z196" s="595"/>
      <c r="AA196" s="595"/>
      <c r="AB196" s="595"/>
      <c r="AC196" s="595"/>
      <c r="AD196" s="595"/>
      <c r="AE196" s="595"/>
      <c r="AF196" s="595"/>
      <c r="AG196" s="595"/>
      <c r="AH196" s="595"/>
      <c r="AI196" s="595"/>
      <c r="AJ196" s="595"/>
      <c r="AK196" s="595"/>
      <c r="AL196" s="595"/>
      <c r="AM196" s="595"/>
      <c r="AN196" s="595"/>
      <c r="AO196" s="595"/>
      <c r="AP196" s="595"/>
      <c r="AQ196" s="595"/>
      <c r="AR196" s="595"/>
      <c r="AS196" s="595"/>
      <c r="AT196" s="595"/>
      <c r="AU196" s="595"/>
      <c r="AV196" s="595"/>
      <c r="AW196" s="595"/>
      <c r="AX196" s="595"/>
      <c r="AY196" s="595"/>
      <c r="AZ196" s="595"/>
      <c r="BA196" s="595"/>
      <c r="BB196" s="595"/>
      <c r="BC196" s="595"/>
      <c r="BD196" s="595"/>
      <c r="BE196" s="595"/>
      <c r="BF196" s="595"/>
      <c r="BG196" s="595"/>
      <c r="BH196" s="595"/>
      <c r="BI196" s="595"/>
      <c r="BJ196" s="595"/>
      <c r="BK196" s="595"/>
      <c r="BL196" s="595"/>
      <c r="BM196" s="595"/>
      <c r="BN196" s="595"/>
      <c r="BO196" s="595"/>
      <c r="BP196" s="595"/>
      <c r="BQ196" s="595"/>
      <c r="BR196" s="595"/>
      <c r="BS196" s="595"/>
      <c r="BT196" s="595"/>
      <c r="BU196" s="595"/>
      <c r="BV196" s="595"/>
      <c r="BW196" s="595"/>
      <c r="BX196" s="595"/>
      <c r="BY196" s="595"/>
      <c r="BZ196" s="595"/>
      <c r="CA196" s="595"/>
      <c r="CB196" s="595"/>
      <c r="CC196" s="595"/>
      <c r="CD196" s="595"/>
      <c r="CE196" s="595"/>
      <c r="CF196" s="595"/>
      <c r="CG196" s="595"/>
      <c r="CH196" s="595"/>
      <c r="CI196" s="595"/>
      <c r="CJ196" s="595"/>
      <c r="CK196" s="595"/>
      <c r="CL196" s="595"/>
      <c r="CM196" s="595"/>
      <c r="CN196" s="595"/>
      <c r="CO196" s="595"/>
      <c r="CP196" s="595"/>
      <c r="CQ196" s="595"/>
      <c r="CR196" s="595"/>
      <c r="CS196" s="595"/>
      <c r="CT196" s="595"/>
      <c r="CU196" s="595"/>
      <c r="CV196" s="595"/>
      <c r="CW196" s="595"/>
      <c r="CX196" s="595"/>
      <c r="CY196" s="595"/>
      <c r="CZ196" s="595"/>
      <c r="DA196" s="239">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32"/>
    </row>
    <row r="198" spans="1:105" s="17" customFormat="1" ht="13.5" customHeight="1" x14ac:dyDescent="0.25">
      <c r="A198" s="475" t="s">
        <v>49</v>
      </c>
      <c r="B198" s="476"/>
      <c r="C198" s="476"/>
      <c r="D198" s="476"/>
      <c r="E198" s="476"/>
      <c r="F198" s="476"/>
      <c r="G198" s="477"/>
      <c r="H198" s="475" t="s">
        <v>0</v>
      </c>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6"/>
      <c r="AY198" s="476"/>
      <c r="AZ198" s="476"/>
      <c r="BA198" s="476"/>
      <c r="BB198" s="477"/>
      <c r="BC198" s="606" t="s">
        <v>75</v>
      </c>
      <c r="BD198" s="606"/>
      <c r="BE198" s="606"/>
      <c r="BF198" s="606"/>
      <c r="BG198" s="606"/>
      <c r="BH198" s="606"/>
      <c r="BI198" s="606"/>
      <c r="BJ198" s="606"/>
      <c r="BK198" s="606"/>
      <c r="BL198" s="606"/>
      <c r="BM198" s="606"/>
      <c r="BN198" s="606"/>
      <c r="BO198" s="606"/>
      <c r="BP198" s="606"/>
      <c r="BQ198" s="606"/>
      <c r="BR198" s="606"/>
      <c r="BS198" s="606" t="s">
        <v>76</v>
      </c>
      <c r="BT198" s="606"/>
      <c r="BU198" s="606"/>
      <c r="BV198" s="606"/>
      <c r="BW198" s="606"/>
      <c r="BX198" s="606"/>
      <c r="BY198" s="606"/>
      <c r="BZ198" s="606"/>
      <c r="CA198" s="606"/>
      <c r="CB198" s="606"/>
      <c r="CC198" s="606"/>
      <c r="CD198" s="606"/>
      <c r="CE198" s="606"/>
      <c r="CF198" s="606"/>
      <c r="CG198" s="606"/>
      <c r="CH198" s="606"/>
      <c r="CI198" s="606" t="s">
        <v>77</v>
      </c>
      <c r="CJ198" s="606"/>
      <c r="CK198" s="606"/>
      <c r="CL198" s="606"/>
      <c r="CM198" s="606"/>
      <c r="CN198" s="606"/>
      <c r="CO198" s="606"/>
      <c r="CP198" s="606"/>
      <c r="CQ198" s="606"/>
      <c r="CR198" s="606"/>
      <c r="CS198" s="606"/>
      <c r="CT198" s="606"/>
      <c r="CU198" s="606"/>
      <c r="CV198" s="606"/>
      <c r="CW198" s="606"/>
      <c r="CX198" s="606"/>
      <c r="CY198" s="606"/>
      <c r="CZ198" s="606"/>
      <c r="DA198" s="232"/>
    </row>
    <row r="199" spans="1:105" s="17" customFormat="1" ht="13.5" customHeight="1" x14ac:dyDescent="0.25">
      <c r="A199" s="591">
        <v>1</v>
      </c>
      <c r="B199" s="591"/>
      <c r="C199" s="591"/>
      <c r="D199" s="591"/>
      <c r="E199" s="591"/>
      <c r="F199" s="591"/>
      <c r="G199" s="591"/>
      <c r="H199" s="591">
        <v>2</v>
      </c>
      <c r="I199" s="591"/>
      <c r="J199" s="591"/>
      <c r="K199" s="591"/>
      <c r="L199" s="591"/>
      <c r="M199" s="591"/>
      <c r="N199" s="591"/>
      <c r="O199" s="591"/>
      <c r="P199" s="591"/>
      <c r="Q199" s="591"/>
      <c r="R199" s="591"/>
      <c r="S199" s="591"/>
      <c r="T199" s="591"/>
      <c r="U199" s="591"/>
      <c r="V199" s="591"/>
      <c r="W199" s="591"/>
      <c r="X199" s="591"/>
      <c r="Y199" s="591"/>
      <c r="Z199" s="591"/>
      <c r="AA199" s="591"/>
      <c r="AB199" s="591"/>
      <c r="AC199" s="591"/>
      <c r="AD199" s="591"/>
      <c r="AE199" s="591"/>
      <c r="AF199" s="591"/>
      <c r="AG199" s="591"/>
      <c r="AH199" s="591"/>
      <c r="AI199" s="591"/>
      <c r="AJ199" s="591"/>
      <c r="AK199" s="591"/>
      <c r="AL199" s="591"/>
      <c r="AM199" s="591"/>
      <c r="AN199" s="591"/>
      <c r="AO199" s="591"/>
      <c r="AP199" s="591"/>
      <c r="AQ199" s="591"/>
      <c r="AR199" s="591"/>
      <c r="AS199" s="591"/>
      <c r="AT199" s="591"/>
      <c r="AU199" s="591"/>
      <c r="AV199" s="591"/>
      <c r="AW199" s="591"/>
      <c r="AX199" s="591"/>
      <c r="AY199" s="591"/>
      <c r="AZ199" s="591"/>
      <c r="BA199" s="591"/>
      <c r="BB199" s="591"/>
      <c r="BC199" s="591">
        <v>3</v>
      </c>
      <c r="BD199" s="591"/>
      <c r="BE199" s="591"/>
      <c r="BF199" s="591"/>
      <c r="BG199" s="591"/>
      <c r="BH199" s="591"/>
      <c r="BI199" s="591"/>
      <c r="BJ199" s="591"/>
      <c r="BK199" s="591"/>
      <c r="BL199" s="591"/>
      <c r="BM199" s="591"/>
      <c r="BN199" s="591"/>
      <c r="BO199" s="591"/>
      <c r="BP199" s="591"/>
      <c r="BQ199" s="591"/>
      <c r="BR199" s="591"/>
      <c r="BS199" s="591">
        <v>4</v>
      </c>
      <c r="BT199" s="591"/>
      <c r="BU199" s="591"/>
      <c r="BV199" s="591"/>
      <c r="BW199" s="591"/>
      <c r="BX199" s="591"/>
      <c r="BY199" s="591"/>
      <c r="BZ199" s="591"/>
      <c r="CA199" s="591"/>
      <c r="CB199" s="591"/>
      <c r="CC199" s="591"/>
      <c r="CD199" s="591"/>
      <c r="CE199" s="591"/>
      <c r="CF199" s="591"/>
      <c r="CG199" s="591"/>
      <c r="CH199" s="591"/>
      <c r="CI199" s="591">
        <v>5</v>
      </c>
      <c r="CJ199" s="591"/>
      <c r="CK199" s="591"/>
      <c r="CL199" s="591"/>
      <c r="CM199" s="591"/>
      <c r="CN199" s="591"/>
      <c r="CO199" s="591"/>
      <c r="CP199" s="591"/>
      <c r="CQ199" s="591"/>
      <c r="CR199" s="591"/>
      <c r="CS199" s="591"/>
      <c r="CT199" s="591"/>
      <c r="CU199" s="591"/>
      <c r="CV199" s="591"/>
      <c r="CW199" s="591"/>
      <c r="CX199" s="591"/>
      <c r="CY199" s="591"/>
      <c r="CZ199" s="591"/>
      <c r="DA199" s="232"/>
    </row>
    <row r="200" spans="1:105" s="17" customFormat="1" ht="13.5" customHeight="1" x14ac:dyDescent="0.25">
      <c r="A200" s="648" t="s">
        <v>569</v>
      </c>
      <c r="B200" s="649"/>
      <c r="C200" s="649"/>
      <c r="D200" s="649"/>
      <c r="E200" s="649"/>
      <c r="F200" s="649"/>
      <c r="G200" s="649"/>
      <c r="H200" s="649"/>
      <c r="I200" s="649"/>
      <c r="J200" s="649"/>
      <c r="K200" s="649"/>
      <c r="L200" s="649"/>
      <c r="M200" s="649"/>
      <c r="N200" s="649"/>
      <c r="O200" s="649"/>
      <c r="P200" s="649"/>
      <c r="Q200" s="649"/>
      <c r="R200" s="649"/>
      <c r="S200" s="649"/>
      <c r="T200" s="649"/>
      <c r="U200" s="649"/>
      <c r="V200" s="649"/>
      <c r="W200" s="649"/>
      <c r="X200" s="649"/>
      <c r="Y200" s="649"/>
      <c r="Z200" s="649"/>
      <c r="AA200" s="649"/>
      <c r="AB200" s="649"/>
      <c r="AC200" s="649"/>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649"/>
      <c r="AY200" s="649"/>
      <c r="AZ200" s="649"/>
      <c r="BA200" s="649"/>
      <c r="BB200" s="649"/>
      <c r="BC200" s="649"/>
      <c r="BD200" s="649"/>
      <c r="BE200" s="649"/>
      <c r="BF200" s="649"/>
      <c r="BG200" s="649"/>
      <c r="BH200" s="649"/>
      <c r="BI200" s="649"/>
      <c r="BJ200" s="649"/>
      <c r="BK200" s="649"/>
      <c r="BL200" s="649"/>
      <c r="BM200" s="649"/>
      <c r="BN200" s="649"/>
      <c r="BO200" s="649"/>
      <c r="BP200" s="649"/>
      <c r="BQ200" s="649"/>
      <c r="BR200" s="649"/>
      <c r="BS200" s="649"/>
      <c r="BT200" s="649"/>
      <c r="BU200" s="649"/>
      <c r="BV200" s="649"/>
      <c r="BW200" s="649"/>
      <c r="BX200" s="649"/>
      <c r="BY200" s="649"/>
      <c r="BZ200" s="649"/>
      <c r="CA200" s="649"/>
      <c r="CB200" s="649"/>
      <c r="CC200" s="649"/>
      <c r="CD200" s="649"/>
      <c r="CE200" s="649"/>
      <c r="CF200" s="649"/>
      <c r="CG200" s="649"/>
      <c r="CH200" s="649"/>
      <c r="CI200" s="649"/>
      <c r="CJ200" s="649"/>
      <c r="CK200" s="649"/>
      <c r="CL200" s="649"/>
      <c r="CM200" s="649"/>
      <c r="CN200" s="649"/>
      <c r="CO200" s="649"/>
      <c r="CP200" s="649"/>
      <c r="CQ200" s="649"/>
      <c r="CR200" s="649"/>
      <c r="CS200" s="649"/>
      <c r="CT200" s="649"/>
      <c r="CU200" s="649"/>
      <c r="CV200" s="649"/>
      <c r="CW200" s="649"/>
      <c r="CX200" s="649"/>
      <c r="CY200" s="649"/>
      <c r="CZ200" s="649"/>
      <c r="DA200" s="232"/>
    </row>
    <row r="201" spans="1:105" s="17" customFormat="1" ht="13.5" customHeight="1" x14ac:dyDescent="0.25">
      <c r="A201" s="630" t="s">
        <v>441</v>
      </c>
      <c r="B201" s="631"/>
      <c r="C201" s="631"/>
      <c r="D201" s="631"/>
      <c r="E201" s="631"/>
      <c r="F201" s="631"/>
      <c r="G201" s="632"/>
      <c r="H201" s="584" t="s">
        <v>570</v>
      </c>
      <c r="I201" s="585"/>
      <c r="J201" s="585"/>
      <c r="K201" s="585"/>
      <c r="L201" s="585"/>
      <c r="M201" s="585"/>
      <c r="N201" s="585"/>
      <c r="O201" s="585"/>
      <c r="P201" s="585"/>
      <c r="Q201" s="585"/>
      <c r="R201" s="585"/>
      <c r="S201" s="585"/>
      <c r="T201" s="585"/>
      <c r="U201" s="585"/>
      <c r="V201" s="585"/>
      <c r="W201" s="585"/>
      <c r="X201" s="585"/>
      <c r="Y201" s="585"/>
      <c r="Z201" s="585"/>
      <c r="AA201" s="585"/>
      <c r="AB201" s="585"/>
      <c r="AC201" s="585"/>
      <c r="AD201" s="585"/>
      <c r="AE201" s="585"/>
      <c r="AF201" s="585"/>
      <c r="AG201" s="585"/>
      <c r="AH201" s="585"/>
      <c r="AI201" s="585"/>
      <c r="AJ201" s="585"/>
      <c r="AK201" s="585"/>
      <c r="AL201" s="585"/>
      <c r="AM201" s="585"/>
      <c r="AN201" s="585"/>
      <c r="AO201" s="585"/>
      <c r="AP201" s="585"/>
      <c r="AQ201" s="585"/>
      <c r="AR201" s="585"/>
      <c r="AS201" s="585"/>
      <c r="AT201" s="585"/>
      <c r="AU201" s="585"/>
      <c r="AV201" s="585"/>
      <c r="AW201" s="585"/>
      <c r="AX201" s="585"/>
      <c r="AY201" s="585"/>
      <c r="AZ201" s="585"/>
      <c r="BA201" s="585"/>
      <c r="BB201" s="586"/>
      <c r="BC201" s="627">
        <v>4000</v>
      </c>
      <c r="BD201" s="628"/>
      <c r="BE201" s="628"/>
      <c r="BF201" s="628"/>
      <c r="BG201" s="628"/>
      <c r="BH201" s="628"/>
      <c r="BI201" s="628"/>
      <c r="BJ201" s="628"/>
      <c r="BK201" s="628"/>
      <c r="BL201" s="628"/>
      <c r="BM201" s="628"/>
      <c r="BN201" s="628"/>
      <c r="BO201" s="628"/>
      <c r="BP201" s="628"/>
      <c r="BQ201" s="628"/>
      <c r="BR201" s="629"/>
      <c r="BS201" s="544">
        <v>100</v>
      </c>
      <c r="BT201" s="545"/>
      <c r="BU201" s="545"/>
      <c r="BV201" s="545"/>
      <c r="BW201" s="545"/>
      <c r="BX201" s="545"/>
      <c r="BY201" s="545"/>
      <c r="BZ201" s="545"/>
      <c r="CA201" s="545"/>
      <c r="CB201" s="545"/>
      <c r="CC201" s="545"/>
      <c r="CD201" s="545"/>
      <c r="CE201" s="545"/>
      <c r="CF201" s="545"/>
      <c r="CG201" s="545"/>
      <c r="CH201" s="546"/>
      <c r="CI201" s="627">
        <f>BC201*BS201</f>
        <v>400000</v>
      </c>
      <c r="CJ201" s="628"/>
      <c r="CK201" s="628"/>
      <c r="CL201" s="628"/>
      <c r="CM201" s="628"/>
      <c r="CN201" s="628"/>
      <c r="CO201" s="628"/>
      <c r="CP201" s="628"/>
      <c r="CQ201" s="628"/>
      <c r="CR201" s="628"/>
      <c r="CS201" s="628"/>
      <c r="CT201" s="628"/>
      <c r="CU201" s="628"/>
      <c r="CV201" s="628"/>
      <c r="CW201" s="628"/>
      <c r="CX201" s="628"/>
      <c r="CY201" s="628"/>
      <c r="CZ201" s="629"/>
      <c r="DA201" s="232"/>
    </row>
    <row r="202" spans="1:105" s="17" customFormat="1" ht="13.5" customHeight="1" x14ac:dyDescent="0.25">
      <c r="A202" s="633" t="s">
        <v>292</v>
      </c>
      <c r="B202" s="634"/>
      <c r="C202" s="634"/>
      <c r="D202" s="63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34"/>
      <c r="AL202" s="634"/>
      <c r="AM202" s="634"/>
      <c r="AN202" s="634"/>
      <c r="AO202" s="634"/>
      <c r="AP202" s="634"/>
      <c r="AQ202" s="634"/>
      <c r="AR202" s="634"/>
      <c r="AS202" s="634"/>
      <c r="AT202" s="634"/>
      <c r="AU202" s="634"/>
      <c r="AV202" s="634"/>
      <c r="AW202" s="634"/>
      <c r="AX202" s="634"/>
      <c r="AY202" s="634"/>
      <c r="AZ202" s="634"/>
      <c r="BA202" s="634"/>
      <c r="BB202" s="635"/>
      <c r="BC202" s="544" t="s">
        <v>4</v>
      </c>
      <c r="BD202" s="545"/>
      <c r="BE202" s="545"/>
      <c r="BF202" s="545"/>
      <c r="BG202" s="545"/>
      <c r="BH202" s="545"/>
      <c r="BI202" s="545"/>
      <c r="BJ202" s="545"/>
      <c r="BK202" s="545"/>
      <c r="BL202" s="545"/>
      <c r="BM202" s="545"/>
      <c r="BN202" s="545"/>
      <c r="BO202" s="545"/>
      <c r="BP202" s="545"/>
      <c r="BQ202" s="545"/>
      <c r="BR202" s="546"/>
      <c r="BS202" s="544" t="s">
        <v>4</v>
      </c>
      <c r="BT202" s="545"/>
      <c r="BU202" s="545"/>
      <c r="BV202" s="545"/>
      <c r="BW202" s="545"/>
      <c r="BX202" s="545"/>
      <c r="BY202" s="545"/>
      <c r="BZ202" s="545"/>
      <c r="CA202" s="545"/>
      <c r="CB202" s="545"/>
      <c r="CC202" s="545"/>
      <c r="CD202" s="545"/>
      <c r="CE202" s="545"/>
      <c r="CF202" s="545"/>
      <c r="CG202" s="545"/>
      <c r="CH202" s="546"/>
      <c r="CI202" s="636">
        <f>CI201</f>
        <v>400000</v>
      </c>
      <c r="CJ202" s="654"/>
      <c r="CK202" s="654"/>
      <c r="CL202" s="654"/>
      <c r="CM202" s="654"/>
      <c r="CN202" s="654"/>
      <c r="CO202" s="654"/>
      <c r="CP202" s="654"/>
      <c r="CQ202" s="654"/>
      <c r="CR202" s="654"/>
      <c r="CS202" s="654"/>
      <c r="CT202" s="654"/>
      <c r="CU202" s="654"/>
      <c r="CV202" s="654"/>
      <c r="CW202" s="654"/>
      <c r="CX202" s="654"/>
      <c r="CY202" s="654"/>
      <c r="CZ202" s="655"/>
      <c r="DA202" s="232"/>
    </row>
    <row r="203" spans="1:105" s="17" customFormat="1" ht="13.5" customHeight="1" x14ac:dyDescent="0.25">
      <c r="A203" s="633" t="s">
        <v>56</v>
      </c>
      <c r="B203" s="634"/>
      <c r="C203" s="634"/>
      <c r="D203" s="63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4"/>
      <c r="AY203" s="634"/>
      <c r="AZ203" s="634"/>
      <c r="BA203" s="634"/>
      <c r="BB203" s="635"/>
      <c r="BC203" s="544" t="s">
        <v>4</v>
      </c>
      <c r="BD203" s="545"/>
      <c r="BE203" s="545"/>
      <c r="BF203" s="545"/>
      <c r="BG203" s="545"/>
      <c r="BH203" s="545"/>
      <c r="BI203" s="545"/>
      <c r="BJ203" s="545"/>
      <c r="BK203" s="545"/>
      <c r="BL203" s="545"/>
      <c r="BM203" s="545"/>
      <c r="BN203" s="545"/>
      <c r="BO203" s="545"/>
      <c r="BP203" s="545"/>
      <c r="BQ203" s="545"/>
      <c r="BR203" s="546"/>
      <c r="BS203" s="544" t="s">
        <v>4</v>
      </c>
      <c r="BT203" s="545"/>
      <c r="BU203" s="545"/>
      <c r="BV203" s="545"/>
      <c r="BW203" s="545"/>
      <c r="BX203" s="545"/>
      <c r="BY203" s="545"/>
      <c r="BZ203" s="545"/>
      <c r="CA203" s="545"/>
      <c r="CB203" s="545"/>
      <c r="CC203" s="545"/>
      <c r="CD203" s="545"/>
      <c r="CE203" s="545"/>
      <c r="CF203" s="545"/>
      <c r="CG203" s="545"/>
      <c r="CH203" s="546"/>
      <c r="CI203" s="636">
        <f>CI202</f>
        <v>400000</v>
      </c>
      <c r="CJ203" s="637"/>
      <c r="CK203" s="637"/>
      <c r="CL203" s="637"/>
      <c r="CM203" s="637"/>
      <c r="CN203" s="637"/>
      <c r="CO203" s="637"/>
      <c r="CP203" s="637"/>
      <c r="CQ203" s="637"/>
      <c r="CR203" s="637"/>
      <c r="CS203" s="637"/>
      <c r="CT203" s="637"/>
      <c r="CU203" s="637"/>
      <c r="CV203" s="637"/>
      <c r="CW203" s="637"/>
      <c r="CX203" s="637"/>
      <c r="CY203" s="637"/>
      <c r="CZ203" s="638"/>
      <c r="DA203" s="232"/>
    </row>
    <row r="204" spans="1:105" s="17" customFormat="1" ht="13.5" customHeight="1" x14ac:dyDescent="0.25">
      <c r="A204" s="221"/>
      <c r="B204" s="221"/>
      <c r="C204" s="221"/>
      <c r="D204" s="221"/>
      <c r="E204" s="221"/>
      <c r="F204" s="221"/>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9"/>
      <c r="CM204" s="45"/>
      <c r="CN204" s="45"/>
      <c r="CO204" s="45"/>
      <c r="CP204" s="45"/>
      <c r="CQ204" s="45"/>
      <c r="CR204" s="45"/>
      <c r="CS204" s="45"/>
      <c r="CT204" s="45"/>
      <c r="CU204" s="45"/>
      <c r="CV204" s="45"/>
      <c r="CW204" s="45"/>
      <c r="CX204" s="45"/>
      <c r="CY204" s="45"/>
      <c r="CZ204" s="45"/>
      <c r="DA204" s="232"/>
    </row>
    <row r="205" spans="1:105" s="20" customFormat="1" ht="29.25" hidden="1" customHeight="1" x14ac:dyDescent="0.25">
      <c r="A205" s="524" t="s">
        <v>289</v>
      </c>
      <c r="B205" s="524"/>
      <c r="C205" s="524"/>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c r="AP205" s="524"/>
      <c r="AQ205" s="524"/>
      <c r="AR205" s="524"/>
      <c r="AS205" s="524"/>
      <c r="AT205" s="524"/>
      <c r="AU205" s="524"/>
      <c r="AV205" s="524"/>
      <c r="AW205" s="524"/>
      <c r="AX205" s="524"/>
      <c r="AY205" s="524"/>
      <c r="AZ205" s="524"/>
      <c r="BA205" s="524"/>
      <c r="BB205" s="524"/>
      <c r="BC205" s="524"/>
      <c r="BD205" s="524"/>
      <c r="BE205" s="524"/>
      <c r="BF205" s="524"/>
      <c r="BG205" s="524"/>
      <c r="BH205" s="524"/>
      <c r="BI205" s="524"/>
      <c r="BJ205" s="524"/>
      <c r="BK205" s="524"/>
      <c r="BL205" s="524"/>
      <c r="BM205" s="524"/>
      <c r="BN205" s="524"/>
      <c r="BO205" s="524"/>
      <c r="BP205" s="524"/>
      <c r="BQ205" s="524"/>
      <c r="BR205" s="524"/>
      <c r="BS205" s="524"/>
      <c r="BT205" s="524"/>
      <c r="BU205" s="524"/>
      <c r="BV205" s="524"/>
      <c r="BW205" s="524"/>
      <c r="BX205" s="524"/>
      <c r="BY205" s="524"/>
      <c r="BZ205" s="524"/>
      <c r="CA205" s="524"/>
      <c r="CB205" s="524"/>
      <c r="CC205" s="524"/>
      <c r="CD205" s="524"/>
      <c r="CE205" s="524"/>
      <c r="CF205" s="524"/>
      <c r="CG205" s="524"/>
      <c r="CH205" s="524"/>
      <c r="CI205" s="524"/>
      <c r="CJ205" s="524"/>
      <c r="CK205" s="524"/>
      <c r="CL205" s="524"/>
      <c r="CM205" s="524"/>
      <c r="CN205" s="524"/>
      <c r="CO205" s="524"/>
      <c r="CP205" s="524"/>
      <c r="CQ205" s="524"/>
      <c r="CR205" s="524"/>
      <c r="CS205" s="524"/>
      <c r="CT205" s="524"/>
      <c r="CU205" s="524"/>
      <c r="CV205" s="524"/>
      <c r="CW205" s="524"/>
      <c r="CX205" s="524"/>
      <c r="CY205" s="524"/>
      <c r="CZ205" s="524"/>
    </row>
    <row r="206" spans="1:105" ht="11.25" hidden="1" customHeight="1" x14ac:dyDescent="0.25"/>
    <row r="207" spans="1:105" s="20" customFormat="1" hidden="1" x14ac:dyDescent="0.25">
      <c r="A207" s="20" t="s">
        <v>47</v>
      </c>
      <c r="W207" s="595" t="s">
        <v>572</v>
      </c>
      <c r="X207" s="595"/>
      <c r="Y207" s="595"/>
      <c r="Z207" s="595"/>
      <c r="AA207" s="595"/>
      <c r="AB207" s="595"/>
      <c r="AC207" s="595"/>
      <c r="AD207" s="595"/>
      <c r="AE207" s="595"/>
      <c r="AF207" s="595"/>
      <c r="AG207" s="595"/>
      <c r="AH207" s="595"/>
      <c r="AI207" s="595"/>
      <c r="AJ207" s="595"/>
      <c r="AK207" s="595"/>
      <c r="AL207" s="595"/>
      <c r="AM207" s="595"/>
      <c r="AN207" s="595"/>
      <c r="AO207" s="595"/>
      <c r="AP207" s="595"/>
      <c r="AQ207" s="595"/>
      <c r="AR207" s="595"/>
      <c r="AS207" s="595"/>
      <c r="AT207" s="595"/>
      <c r="AU207" s="595"/>
      <c r="AV207" s="595"/>
      <c r="AW207" s="595"/>
      <c r="AX207" s="595"/>
      <c r="AY207" s="595"/>
      <c r="AZ207" s="595"/>
      <c r="BA207" s="595"/>
      <c r="BB207" s="595"/>
      <c r="BC207" s="595"/>
      <c r="BD207" s="595"/>
      <c r="BE207" s="595"/>
      <c r="BF207" s="595"/>
      <c r="BG207" s="595"/>
      <c r="BH207" s="595"/>
      <c r="BI207" s="595"/>
      <c r="BJ207" s="595"/>
      <c r="BK207" s="595"/>
      <c r="BL207" s="595"/>
      <c r="BM207" s="595"/>
      <c r="BN207" s="595"/>
      <c r="BO207" s="595"/>
      <c r="BP207" s="595"/>
      <c r="BQ207" s="595"/>
      <c r="BR207" s="595"/>
      <c r="BS207" s="595"/>
      <c r="BT207" s="595"/>
      <c r="BU207" s="595"/>
      <c r="BV207" s="595"/>
      <c r="BW207" s="595"/>
      <c r="BX207" s="595"/>
      <c r="BY207" s="595"/>
      <c r="BZ207" s="595"/>
      <c r="CA207" s="595"/>
      <c r="CB207" s="595"/>
      <c r="CC207" s="595"/>
      <c r="CD207" s="595"/>
      <c r="CE207" s="595"/>
      <c r="CF207" s="595"/>
      <c r="CG207" s="595"/>
      <c r="CH207" s="595"/>
      <c r="CI207" s="595"/>
      <c r="CJ207" s="595"/>
      <c r="CK207" s="595"/>
      <c r="CL207" s="595"/>
      <c r="CM207" s="595"/>
      <c r="CN207" s="595"/>
      <c r="CO207" s="595"/>
      <c r="CP207" s="595"/>
      <c r="CQ207" s="595"/>
      <c r="CR207" s="595"/>
      <c r="CS207" s="595"/>
      <c r="CT207" s="595"/>
      <c r="CU207" s="595"/>
      <c r="CV207" s="595"/>
      <c r="CW207" s="595"/>
      <c r="CX207" s="595"/>
      <c r="CY207" s="595"/>
      <c r="CZ207" s="595"/>
    </row>
    <row r="208" spans="1:105" ht="10.5" hidden="1" customHeight="1" x14ac:dyDescent="0.25"/>
    <row r="209" spans="1:105" s="18" customFormat="1" ht="45" hidden="1" customHeight="1" x14ac:dyDescent="0.3">
      <c r="A209" s="475" t="s">
        <v>49</v>
      </c>
      <c r="B209" s="476"/>
      <c r="C209" s="476"/>
      <c r="D209" s="476"/>
      <c r="E209" s="476"/>
      <c r="F209" s="476"/>
      <c r="G209" s="477"/>
      <c r="H209" s="475" t="s">
        <v>0</v>
      </c>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7"/>
      <c r="BC209" s="606" t="s">
        <v>290</v>
      </c>
      <c r="BD209" s="606"/>
      <c r="BE209" s="606"/>
      <c r="BF209" s="606"/>
      <c r="BG209" s="606"/>
      <c r="BH209" s="606"/>
      <c r="BI209" s="606"/>
      <c r="BJ209" s="606"/>
      <c r="BK209" s="606"/>
      <c r="BL209" s="606"/>
      <c r="BM209" s="606"/>
      <c r="BN209" s="606"/>
      <c r="BO209" s="606"/>
      <c r="BP209" s="606"/>
      <c r="BQ209" s="606"/>
      <c r="BR209" s="606"/>
      <c r="BS209" s="606" t="s">
        <v>96</v>
      </c>
      <c r="BT209" s="606"/>
      <c r="BU209" s="606"/>
      <c r="BV209" s="606"/>
      <c r="BW209" s="606"/>
      <c r="BX209" s="606"/>
      <c r="BY209" s="606"/>
      <c r="BZ209" s="606"/>
      <c r="CA209" s="606"/>
      <c r="CB209" s="606"/>
      <c r="CC209" s="606"/>
      <c r="CD209" s="606"/>
      <c r="CE209" s="606"/>
      <c r="CF209" s="606"/>
      <c r="CG209" s="606"/>
      <c r="CH209" s="606"/>
      <c r="CI209" s="606" t="s">
        <v>77</v>
      </c>
      <c r="CJ209" s="606"/>
      <c r="CK209" s="606"/>
      <c r="CL209" s="606"/>
      <c r="CM209" s="606"/>
      <c r="CN209" s="606"/>
      <c r="CO209" s="606"/>
      <c r="CP209" s="606"/>
      <c r="CQ209" s="606"/>
      <c r="CR209" s="606"/>
      <c r="CS209" s="606"/>
      <c r="CT209" s="606"/>
      <c r="CU209" s="606"/>
      <c r="CV209" s="606"/>
      <c r="CW209" s="606"/>
      <c r="CX209" s="606"/>
      <c r="CY209" s="606"/>
      <c r="CZ209" s="606"/>
      <c r="DA209" s="218"/>
    </row>
    <row r="210" spans="1:105" s="15" customFormat="1" ht="13.2" hidden="1" x14ac:dyDescent="0.3">
      <c r="A210" s="591">
        <v>1</v>
      </c>
      <c r="B210" s="591"/>
      <c r="C210" s="591"/>
      <c r="D210" s="591"/>
      <c r="E210" s="591"/>
      <c r="F210" s="591"/>
      <c r="G210" s="591"/>
      <c r="H210" s="591">
        <v>2</v>
      </c>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1"/>
      <c r="AL210" s="591"/>
      <c r="AM210" s="591"/>
      <c r="AN210" s="591"/>
      <c r="AO210" s="591"/>
      <c r="AP210" s="591"/>
      <c r="AQ210" s="591"/>
      <c r="AR210" s="591"/>
      <c r="AS210" s="591"/>
      <c r="AT210" s="591"/>
      <c r="AU210" s="591"/>
      <c r="AV210" s="591"/>
      <c r="AW210" s="591"/>
      <c r="AX210" s="591"/>
      <c r="AY210" s="591"/>
      <c r="AZ210" s="591"/>
      <c r="BA210" s="591"/>
      <c r="BB210" s="591"/>
      <c r="BC210" s="591">
        <v>3</v>
      </c>
      <c r="BD210" s="591"/>
      <c r="BE210" s="591"/>
      <c r="BF210" s="591"/>
      <c r="BG210" s="591"/>
      <c r="BH210" s="591"/>
      <c r="BI210" s="591"/>
      <c r="BJ210" s="591"/>
      <c r="BK210" s="591"/>
      <c r="BL210" s="591"/>
      <c r="BM210" s="591"/>
      <c r="BN210" s="591"/>
      <c r="BO210" s="591"/>
      <c r="BP210" s="591"/>
      <c r="BQ210" s="591"/>
      <c r="BR210" s="591"/>
      <c r="BS210" s="591">
        <v>4</v>
      </c>
      <c r="BT210" s="591"/>
      <c r="BU210" s="591"/>
      <c r="BV210" s="591"/>
      <c r="BW210" s="591"/>
      <c r="BX210" s="591"/>
      <c r="BY210" s="591"/>
      <c r="BZ210" s="591"/>
      <c r="CA210" s="591"/>
      <c r="CB210" s="591"/>
      <c r="CC210" s="591"/>
      <c r="CD210" s="591"/>
      <c r="CE210" s="591"/>
      <c r="CF210" s="591"/>
      <c r="CG210" s="591"/>
      <c r="CH210" s="591"/>
      <c r="CI210" s="591">
        <v>5</v>
      </c>
      <c r="CJ210" s="591"/>
      <c r="CK210" s="591"/>
      <c r="CL210" s="591"/>
      <c r="CM210" s="591"/>
      <c r="CN210" s="591"/>
      <c r="CO210" s="591"/>
      <c r="CP210" s="591"/>
      <c r="CQ210" s="591"/>
      <c r="CR210" s="591"/>
      <c r="CS210" s="591"/>
      <c r="CT210" s="591"/>
      <c r="CU210" s="591"/>
      <c r="CV210" s="591"/>
      <c r="CW210" s="591"/>
      <c r="CX210" s="591"/>
      <c r="CY210" s="591"/>
      <c r="CZ210" s="591"/>
      <c r="DA210" s="219"/>
    </row>
    <row r="211" spans="1:105" s="16" customFormat="1" ht="15" hidden="1" customHeight="1" x14ac:dyDescent="0.3">
      <c r="A211" s="648" t="s">
        <v>573</v>
      </c>
      <c r="B211" s="649"/>
      <c r="C211" s="649"/>
      <c r="D211" s="649"/>
      <c r="E211" s="649"/>
      <c r="F211" s="649"/>
      <c r="G211" s="649"/>
      <c r="H211" s="649"/>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49"/>
      <c r="AT211" s="649"/>
      <c r="AU211" s="649"/>
      <c r="AV211" s="649"/>
      <c r="AW211" s="649"/>
      <c r="AX211" s="649"/>
      <c r="AY211" s="649"/>
      <c r="AZ211" s="649"/>
      <c r="BA211" s="649"/>
      <c r="BB211" s="649"/>
      <c r="BC211" s="649"/>
      <c r="BD211" s="649"/>
      <c r="BE211" s="649"/>
      <c r="BF211" s="649"/>
      <c r="BG211" s="649"/>
      <c r="BH211" s="649"/>
      <c r="BI211" s="649"/>
      <c r="BJ211" s="649"/>
      <c r="BK211" s="649"/>
      <c r="BL211" s="649"/>
      <c r="BM211" s="649"/>
      <c r="BN211" s="649"/>
      <c r="BO211" s="649"/>
      <c r="BP211" s="649"/>
      <c r="BQ211" s="649"/>
      <c r="BR211" s="649"/>
      <c r="BS211" s="649"/>
      <c r="BT211" s="649"/>
      <c r="BU211" s="649"/>
      <c r="BV211" s="649"/>
      <c r="BW211" s="649"/>
      <c r="BX211" s="649"/>
      <c r="BY211" s="649"/>
      <c r="BZ211" s="649"/>
      <c r="CA211" s="649"/>
      <c r="CB211" s="649"/>
      <c r="CC211" s="649"/>
      <c r="CD211" s="649"/>
      <c r="CE211" s="649"/>
      <c r="CF211" s="649"/>
      <c r="CG211" s="649"/>
      <c r="CH211" s="649"/>
      <c r="CI211" s="649"/>
      <c r="CJ211" s="649"/>
      <c r="CK211" s="649"/>
      <c r="CL211" s="649"/>
      <c r="CM211" s="649"/>
      <c r="CN211" s="649"/>
      <c r="CO211" s="649"/>
      <c r="CP211" s="649"/>
      <c r="CQ211" s="649"/>
      <c r="CR211" s="649"/>
      <c r="CS211" s="649"/>
      <c r="CT211" s="649"/>
      <c r="CU211" s="649"/>
      <c r="CV211" s="649"/>
      <c r="CW211" s="649"/>
      <c r="CX211" s="649"/>
      <c r="CY211" s="649"/>
      <c r="CZ211" s="649"/>
      <c r="DA211" s="214"/>
    </row>
    <row r="212" spans="1:105" s="16" customFormat="1" ht="56.4" hidden="1" customHeight="1" x14ac:dyDescent="0.3">
      <c r="A212" s="630" t="s">
        <v>441</v>
      </c>
      <c r="B212" s="631"/>
      <c r="C212" s="631"/>
      <c r="D212" s="631"/>
      <c r="E212" s="631"/>
      <c r="F212" s="631"/>
      <c r="G212" s="632"/>
      <c r="H212" s="584" t="s">
        <v>820</v>
      </c>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5"/>
      <c r="AL212" s="585"/>
      <c r="AM212" s="585"/>
      <c r="AN212" s="585"/>
      <c r="AO212" s="585"/>
      <c r="AP212" s="585"/>
      <c r="AQ212" s="585"/>
      <c r="AR212" s="585"/>
      <c r="AS212" s="585"/>
      <c r="AT212" s="585"/>
      <c r="AU212" s="585"/>
      <c r="AV212" s="585"/>
      <c r="AW212" s="585"/>
      <c r="AX212" s="585"/>
      <c r="AY212" s="585"/>
      <c r="AZ212" s="585"/>
      <c r="BA212" s="585"/>
      <c r="BB212" s="586"/>
      <c r="BC212" s="544"/>
      <c r="BD212" s="545"/>
      <c r="BE212" s="545"/>
      <c r="BF212" s="545"/>
      <c r="BG212" s="545"/>
      <c r="BH212" s="545"/>
      <c r="BI212" s="545"/>
      <c r="BJ212" s="545"/>
      <c r="BK212" s="545"/>
      <c r="BL212" s="545"/>
      <c r="BM212" s="545"/>
      <c r="BN212" s="545"/>
      <c r="BO212" s="545"/>
      <c r="BP212" s="545"/>
      <c r="BQ212" s="545"/>
      <c r="BR212" s="546"/>
      <c r="BS212" s="627"/>
      <c r="BT212" s="628"/>
      <c r="BU212" s="628"/>
      <c r="BV212" s="628"/>
      <c r="BW212" s="628"/>
      <c r="BX212" s="628"/>
      <c r="BY212" s="628"/>
      <c r="BZ212" s="628"/>
      <c r="CA212" s="628"/>
      <c r="CB212" s="628"/>
      <c r="CC212" s="628"/>
      <c r="CD212" s="628"/>
      <c r="CE212" s="628"/>
      <c r="CF212" s="628"/>
      <c r="CG212" s="628"/>
      <c r="CH212" s="629"/>
      <c r="CI212" s="627">
        <f>BC212*BS212</f>
        <v>0</v>
      </c>
      <c r="CJ212" s="628"/>
      <c r="CK212" s="628"/>
      <c r="CL212" s="628"/>
      <c r="CM212" s="628"/>
      <c r="CN212" s="628"/>
      <c r="CO212" s="628"/>
      <c r="CP212" s="628"/>
      <c r="CQ212" s="628"/>
      <c r="CR212" s="628"/>
      <c r="CS212" s="628"/>
      <c r="CT212" s="628"/>
      <c r="CU212" s="628"/>
      <c r="CV212" s="628"/>
      <c r="CW212" s="628"/>
      <c r="CX212" s="628"/>
      <c r="CY212" s="628"/>
      <c r="CZ212" s="629"/>
      <c r="DA212" s="214"/>
    </row>
    <row r="213" spans="1:105" s="16" customFormat="1" ht="15" hidden="1" customHeight="1" x14ac:dyDescent="0.3">
      <c r="A213" s="633" t="s">
        <v>292</v>
      </c>
      <c r="B213" s="634"/>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4"/>
      <c r="AY213" s="634"/>
      <c r="AZ213" s="634"/>
      <c r="BA213" s="634"/>
      <c r="BB213" s="635"/>
      <c r="BC213" s="544" t="s">
        <v>4</v>
      </c>
      <c r="BD213" s="545"/>
      <c r="BE213" s="545"/>
      <c r="BF213" s="545"/>
      <c r="BG213" s="545"/>
      <c r="BH213" s="545"/>
      <c r="BI213" s="545"/>
      <c r="BJ213" s="545"/>
      <c r="BK213" s="545"/>
      <c r="BL213" s="545"/>
      <c r="BM213" s="545"/>
      <c r="BN213" s="545"/>
      <c r="BO213" s="545"/>
      <c r="BP213" s="545"/>
      <c r="BQ213" s="545"/>
      <c r="BR213" s="546"/>
      <c r="BS213" s="544" t="s">
        <v>4</v>
      </c>
      <c r="BT213" s="545"/>
      <c r="BU213" s="545"/>
      <c r="BV213" s="545"/>
      <c r="BW213" s="545"/>
      <c r="BX213" s="545"/>
      <c r="BY213" s="545"/>
      <c r="BZ213" s="545"/>
      <c r="CA213" s="545"/>
      <c r="CB213" s="545"/>
      <c r="CC213" s="545"/>
      <c r="CD213" s="545"/>
      <c r="CE213" s="545"/>
      <c r="CF213" s="545"/>
      <c r="CG213" s="545"/>
      <c r="CH213" s="546"/>
      <c r="CI213" s="636">
        <f>CI212</f>
        <v>0</v>
      </c>
      <c r="CJ213" s="637"/>
      <c r="CK213" s="637"/>
      <c r="CL213" s="637"/>
      <c r="CM213" s="637"/>
      <c r="CN213" s="637"/>
      <c r="CO213" s="637"/>
      <c r="CP213" s="637"/>
      <c r="CQ213" s="637"/>
      <c r="CR213" s="637"/>
      <c r="CS213" s="637"/>
      <c r="CT213" s="637"/>
      <c r="CU213" s="637"/>
      <c r="CV213" s="637"/>
      <c r="CW213" s="637"/>
      <c r="CX213" s="637"/>
      <c r="CY213" s="637"/>
      <c r="CZ213" s="638"/>
      <c r="DA213" s="214"/>
    </row>
    <row r="214" spans="1:105" s="16" customFormat="1" ht="15" hidden="1" customHeight="1" x14ac:dyDescent="0.3">
      <c r="A214" s="648" t="s">
        <v>258</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649"/>
      <c r="AY214" s="649"/>
      <c r="AZ214" s="649"/>
      <c r="BA214" s="649"/>
      <c r="BB214" s="649"/>
      <c r="BC214" s="649"/>
      <c r="BD214" s="649"/>
      <c r="BE214" s="649"/>
      <c r="BF214" s="649"/>
      <c r="BG214" s="649"/>
      <c r="BH214" s="649"/>
      <c r="BI214" s="649"/>
      <c r="BJ214" s="649"/>
      <c r="BK214" s="649"/>
      <c r="BL214" s="649"/>
      <c r="BM214" s="649"/>
      <c r="BN214" s="649"/>
      <c r="BO214" s="649"/>
      <c r="BP214" s="649"/>
      <c r="BQ214" s="649"/>
      <c r="BR214" s="649"/>
      <c r="BS214" s="649"/>
      <c r="BT214" s="649"/>
      <c r="BU214" s="649"/>
      <c r="BV214" s="649"/>
      <c r="BW214" s="649"/>
      <c r="BX214" s="649"/>
      <c r="BY214" s="649"/>
      <c r="BZ214" s="649"/>
      <c r="CA214" s="649"/>
      <c r="CB214" s="649"/>
      <c r="CC214" s="649"/>
      <c r="CD214" s="649"/>
      <c r="CE214" s="649"/>
      <c r="CF214" s="649"/>
      <c r="CG214" s="649"/>
      <c r="CH214" s="649"/>
      <c r="CI214" s="649"/>
      <c r="CJ214" s="649"/>
      <c r="CK214" s="649"/>
      <c r="CL214" s="649"/>
      <c r="CM214" s="649"/>
      <c r="CN214" s="649"/>
      <c r="CO214" s="649"/>
      <c r="CP214" s="649"/>
      <c r="CQ214" s="649"/>
      <c r="CR214" s="649"/>
      <c r="CS214" s="649"/>
      <c r="CT214" s="649"/>
      <c r="CU214" s="649"/>
      <c r="CV214" s="649"/>
      <c r="CW214" s="649"/>
      <c r="CX214" s="649"/>
      <c r="CY214" s="649"/>
      <c r="CZ214" s="649"/>
      <c r="DA214" s="214"/>
    </row>
    <row r="215" spans="1:105" s="16" customFormat="1" ht="15" hidden="1" customHeight="1" x14ac:dyDescent="0.3">
      <c r="A215" s="630"/>
      <c r="B215" s="631"/>
      <c r="C215" s="631"/>
      <c r="D215" s="631"/>
      <c r="E215" s="631"/>
      <c r="F215" s="631"/>
      <c r="G215" s="632"/>
      <c r="H215" s="584"/>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5"/>
      <c r="AP215" s="585"/>
      <c r="AQ215" s="585"/>
      <c r="AR215" s="585"/>
      <c r="AS215" s="585"/>
      <c r="AT215" s="585"/>
      <c r="AU215" s="585"/>
      <c r="AV215" s="585"/>
      <c r="AW215" s="585"/>
      <c r="AX215" s="585"/>
      <c r="AY215" s="585"/>
      <c r="AZ215" s="585"/>
      <c r="BA215" s="585"/>
      <c r="BB215" s="586"/>
      <c r="BC215" s="544"/>
      <c r="BD215" s="545"/>
      <c r="BE215" s="545"/>
      <c r="BF215" s="545"/>
      <c r="BG215" s="545"/>
      <c r="BH215" s="545"/>
      <c r="BI215" s="545"/>
      <c r="BJ215" s="545"/>
      <c r="BK215" s="545"/>
      <c r="BL215" s="545"/>
      <c r="BM215" s="545"/>
      <c r="BN215" s="545"/>
      <c r="BO215" s="545"/>
      <c r="BP215" s="545"/>
      <c r="BQ215" s="545"/>
      <c r="BR215" s="546"/>
      <c r="BS215" s="544"/>
      <c r="BT215" s="545"/>
      <c r="BU215" s="545"/>
      <c r="BV215" s="545"/>
      <c r="BW215" s="545"/>
      <c r="BX215" s="545"/>
      <c r="BY215" s="545"/>
      <c r="BZ215" s="545"/>
      <c r="CA215" s="545"/>
      <c r="CB215" s="545"/>
      <c r="CC215" s="545"/>
      <c r="CD215" s="545"/>
      <c r="CE215" s="545"/>
      <c r="CF215" s="545"/>
      <c r="CG215" s="545"/>
      <c r="CH215" s="546"/>
      <c r="CI215" s="544"/>
      <c r="CJ215" s="545"/>
      <c r="CK215" s="545"/>
      <c r="CL215" s="545"/>
      <c r="CM215" s="545"/>
      <c r="CN215" s="545"/>
      <c r="CO215" s="545"/>
      <c r="CP215" s="545"/>
      <c r="CQ215" s="545"/>
      <c r="CR215" s="545"/>
      <c r="CS215" s="545"/>
      <c r="CT215" s="545"/>
      <c r="CU215" s="545"/>
      <c r="CV215" s="545"/>
      <c r="CW215" s="545"/>
      <c r="CX215" s="545"/>
      <c r="CY215" s="545"/>
      <c r="CZ215" s="546"/>
      <c r="DA215" s="214"/>
    </row>
    <row r="216" spans="1:105" s="16" customFormat="1" ht="15" hidden="1" customHeight="1" x14ac:dyDescent="0.3">
      <c r="A216" s="633" t="s">
        <v>292</v>
      </c>
      <c r="B216" s="634"/>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4"/>
      <c r="AY216" s="634"/>
      <c r="AZ216" s="634"/>
      <c r="BA216" s="634"/>
      <c r="BB216" s="635"/>
      <c r="BC216" s="544" t="s">
        <v>4</v>
      </c>
      <c r="BD216" s="545"/>
      <c r="BE216" s="545"/>
      <c r="BF216" s="545"/>
      <c r="BG216" s="545"/>
      <c r="BH216" s="545"/>
      <c r="BI216" s="545"/>
      <c r="BJ216" s="545"/>
      <c r="BK216" s="545"/>
      <c r="BL216" s="545"/>
      <c r="BM216" s="545"/>
      <c r="BN216" s="545"/>
      <c r="BO216" s="545"/>
      <c r="BP216" s="545"/>
      <c r="BQ216" s="545"/>
      <c r="BR216" s="546"/>
      <c r="BS216" s="544" t="s">
        <v>4</v>
      </c>
      <c r="BT216" s="545"/>
      <c r="BU216" s="545"/>
      <c r="BV216" s="545"/>
      <c r="BW216" s="545"/>
      <c r="BX216" s="545"/>
      <c r="BY216" s="545"/>
      <c r="BZ216" s="545"/>
      <c r="CA216" s="545"/>
      <c r="CB216" s="545"/>
      <c r="CC216" s="545"/>
      <c r="CD216" s="545"/>
      <c r="CE216" s="545"/>
      <c r="CF216" s="545"/>
      <c r="CG216" s="545"/>
      <c r="CH216" s="546"/>
      <c r="CI216" s="544"/>
      <c r="CJ216" s="545"/>
      <c r="CK216" s="545"/>
      <c r="CL216" s="545"/>
      <c r="CM216" s="545"/>
      <c r="CN216" s="545"/>
      <c r="CO216" s="545"/>
      <c r="CP216" s="545"/>
      <c r="CQ216" s="545"/>
      <c r="CR216" s="545"/>
      <c r="CS216" s="545"/>
      <c r="CT216" s="545"/>
      <c r="CU216" s="545"/>
      <c r="CV216" s="545"/>
      <c r="CW216" s="545"/>
      <c r="CX216" s="545"/>
      <c r="CY216" s="545"/>
      <c r="CZ216" s="546"/>
      <c r="DA216" s="214"/>
    </row>
    <row r="217" spans="1:105" s="16" customFormat="1" ht="15" hidden="1" customHeight="1" x14ac:dyDescent="0.3">
      <c r="A217" s="633" t="s">
        <v>56</v>
      </c>
      <c r="B217" s="634"/>
      <c r="C217" s="634"/>
      <c r="D217" s="63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4"/>
      <c r="AY217" s="634"/>
      <c r="AZ217" s="634"/>
      <c r="BA217" s="634"/>
      <c r="BB217" s="635"/>
      <c r="BC217" s="544" t="s">
        <v>4</v>
      </c>
      <c r="BD217" s="545"/>
      <c r="BE217" s="545"/>
      <c r="BF217" s="545"/>
      <c r="BG217" s="545"/>
      <c r="BH217" s="545"/>
      <c r="BI217" s="545"/>
      <c r="BJ217" s="545"/>
      <c r="BK217" s="545"/>
      <c r="BL217" s="545"/>
      <c r="BM217" s="545"/>
      <c r="BN217" s="545"/>
      <c r="BO217" s="545"/>
      <c r="BP217" s="545"/>
      <c r="BQ217" s="545"/>
      <c r="BR217" s="546"/>
      <c r="BS217" s="544" t="s">
        <v>4</v>
      </c>
      <c r="BT217" s="545"/>
      <c r="BU217" s="545"/>
      <c r="BV217" s="545"/>
      <c r="BW217" s="545"/>
      <c r="BX217" s="545"/>
      <c r="BY217" s="545"/>
      <c r="BZ217" s="545"/>
      <c r="CA217" s="545"/>
      <c r="CB217" s="545"/>
      <c r="CC217" s="545"/>
      <c r="CD217" s="545"/>
      <c r="CE217" s="545"/>
      <c r="CF217" s="545"/>
      <c r="CG217" s="545"/>
      <c r="CH217" s="546"/>
      <c r="CI217" s="636">
        <f>CI213</f>
        <v>0</v>
      </c>
      <c r="CJ217" s="637"/>
      <c r="CK217" s="637"/>
      <c r="CL217" s="637"/>
      <c r="CM217" s="637"/>
      <c r="CN217" s="637"/>
      <c r="CO217" s="637"/>
      <c r="CP217" s="637"/>
      <c r="CQ217" s="637"/>
      <c r="CR217" s="637"/>
      <c r="CS217" s="637"/>
      <c r="CT217" s="637"/>
      <c r="CU217" s="637"/>
      <c r="CV217" s="637"/>
      <c r="CW217" s="637"/>
      <c r="CX217" s="637"/>
      <c r="CY217" s="637"/>
      <c r="CZ217" s="638"/>
      <c r="DA217" s="214"/>
    </row>
    <row r="218" spans="1:105" s="16" customFormat="1" ht="15" hidden="1" customHeight="1" x14ac:dyDescent="0.3">
      <c r="A218" s="221"/>
      <c r="B218" s="221"/>
      <c r="C218" s="221"/>
      <c r="D218" s="221"/>
      <c r="E218" s="221"/>
      <c r="F218" s="221"/>
      <c r="G218" s="221"/>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14"/>
    </row>
    <row r="219" spans="1:105" s="20" customFormat="1" x14ac:dyDescent="0.25">
      <c r="A219" s="594" t="s">
        <v>278</v>
      </c>
      <c r="B219" s="594"/>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594"/>
      <c r="AY219" s="594"/>
      <c r="AZ219" s="594"/>
      <c r="BA219" s="594"/>
      <c r="BB219" s="594"/>
      <c r="BC219" s="594"/>
      <c r="BD219" s="594"/>
      <c r="BE219" s="594"/>
      <c r="BF219" s="594"/>
      <c r="BG219" s="594"/>
      <c r="BH219" s="594"/>
      <c r="BI219" s="594"/>
      <c r="BJ219" s="594"/>
      <c r="BK219" s="594"/>
      <c r="BL219" s="594"/>
      <c r="BM219" s="594"/>
      <c r="BN219" s="594"/>
      <c r="BO219" s="594"/>
      <c r="BP219" s="594"/>
      <c r="BQ219" s="594"/>
      <c r="BR219" s="594"/>
      <c r="BS219" s="594"/>
      <c r="BT219" s="594"/>
      <c r="BU219" s="594"/>
      <c r="BV219" s="594"/>
      <c r="BW219" s="594"/>
      <c r="BX219" s="594"/>
      <c r="BY219" s="594"/>
      <c r="BZ219" s="594"/>
      <c r="CA219" s="594"/>
      <c r="CB219" s="594"/>
      <c r="CC219" s="594"/>
      <c r="CD219" s="594"/>
      <c r="CE219" s="594"/>
      <c r="CF219" s="594"/>
      <c r="CG219" s="594"/>
      <c r="CH219" s="594"/>
      <c r="CI219" s="594"/>
      <c r="CJ219" s="594"/>
      <c r="CK219" s="594"/>
      <c r="CL219" s="594"/>
      <c r="CM219" s="594"/>
      <c r="CN219" s="594"/>
      <c r="CO219" s="594"/>
      <c r="CP219" s="594"/>
      <c r="CQ219" s="594"/>
      <c r="CR219" s="594"/>
      <c r="CS219" s="594"/>
      <c r="CT219" s="594"/>
      <c r="CU219" s="594"/>
      <c r="CV219" s="594"/>
      <c r="CW219" s="594"/>
      <c r="CX219" s="594"/>
      <c r="CY219" s="594"/>
      <c r="CZ219" s="594"/>
    </row>
    <row r="220" spans="1:105" ht="12" customHeight="1" x14ac:dyDescent="0.25"/>
    <row r="221" spans="1:105" s="20" customFormat="1" ht="12.75" customHeight="1" x14ac:dyDescent="0.25">
      <c r="A221" s="594" t="s">
        <v>279</v>
      </c>
      <c r="B221" s="594"/>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594"/>
      <c r="CB221" s="594"/>
      <c r="CC221" s="594"/>
      <c r="CD221" s="594"/>
      <c r="CE221" s="594"/>
      <c r="CF221" s="594"/>
      <c r="CG221" s="594"/>
      <c r="CH221" s="594"/>
      <c r="CI221" s="594"/>
      <c r="CJ221" s="594"/>
      <c r="CK221" s="594"/>
      <c r="CL221" s="594"/>
      <c r="CM221" s="594"/>
      <c r="CN221" s="594"/>
      <c r="CO221" s="594"/>
      <c r="CP221" s="594"/>
      <c r="CQ221" s="594"/>
      <c r="CR221" s="594"/>
      <c r="CS221" s="594"/>
      <c r="CT221" s="594"/>
      <c r="CU221" s="594"/>
      <c r="CV221" s="594"/>
      <c r="CW221" s="594"/>
      <c r="CX221" s="594"/>
      <c r="CY221" s="594"/>
      <c r="CZ221" s="594"/>
    </row>
    <row r="222" spans="1:105" ht="9" customHeight="1" x14ac:dyDescent="0.25"/>
    <row r="223" spans="1:105" s="20" customFormat="1" x14ac:dyDescent="0.25">
      <c r="A223" s="20" t="s">
        <v>47</v>
      </c>
      <c r="W223" s="595" t="s">
        <v>574</v>
      </c>
      <c r="X223" s="595"/>
      <c r="Y223" s="595"/>
      <c r="Z223" s="595"/>
      <c r="AA223" s="595"/>
      <c r="AB223" s="595"/>
      <c r="AC223" s="595"/>
      <c r="AD223" s="595"/>
      <c r="AE223" s="595"/>
      <c r="AF223" s="595"/>
      <c r="AG223" s="595"/>
      <c r="AH223" s="595"/>
      <c r="AI223" s="595"/>
      <c r="AJ223" s="595"/>
      <c r="AK223" s="595"/>
      <c r="AL223" s="595"/>
      <c r="AM223" s="595"/>
      <c r="AN223" s="595"/>
      <c r="AO223" s="595"/>
      <c r="AP223" s="595"/>
      <c r="AQ223" s="595"/>
      <c r="AR223" s="595"/>
      <c r="AS223" s="595"/>
      <c r="AT223" s="595"/>
      <c r="AU223" s="595"/>
      <c r="AV223" s="595"/>
      <c r="AW223" s="595"/>
      <c r="AX223" s="595"/>
      <c r="AY223" s="595"/>
      <c r="AZ223" s="595"/>
      <c r="BA223" s="595"/>
      <c r="BB223" s="595"/>
      <c r="BC223" s="595"/>
      <c r="BD223" s="595"/>
      <c r="BE223" s="595"/>
      <c r="BF223" s="595"/>
      <c r="BG223" s="595"/>
      <c r="BH223" s="595"/>
      <c r="BI223" s="595"/>
      <c r="BJ223" s="595"/>
      <c r="BK223" s="595"/>
      <c r="BL223" s="595"/>
      <c r="BM223" s="595"/>
      <c r="BN223" s="595"/>
      <c r="BO223" s="595"/>
      <c r="BP223" s="595"/>
      <c r="BQ223" s="595"/>
      <c r="BR223" s="595"/>
      <c r="BS223" s="595"/>
      <c r="BT223" s="595"/>
      <c r="BU223" s="595"/>
      <c r="BV223" s="595"/>
      <c r="BW223" s="595"/>
      <c r="BX223" s="595"/>
      <c r="BY223" s="595"/>
      <c r="BZ223" s="595"/>
      <c r="CA223" s="595"/>
      <c r="CB223" s="595"/>
      <c r="CC223" s="595"/>
      <c r="CD223" s="595"/>
      <c r="CE223" s="595"/>
      <c r="CF223" s="595"/>
      <c r="CG223" s="595"/>
      <c r="CH223" s="595"/>
      <c r="CI223" s="595"/>
      <c r="CJ223" s="595"/>
      <c r="CK223" s="595"/>
      <c r="CL223" s="595"/>
      <c r="CM223" s="595"/>
      <c r="CN223" s="595"/>
      <c r="CO223" s="595"/>
      <c r="CP223" s="595"/>
      <c r="CQ223" s="595"/>
      <c r="CR223" s="595"/>
      <c r="CS223" s="595"/>
      <c r="CT223" s="595"/>
      <c r="CU223" s="595"/>
      <c r="CV223" s="595"/>
      <c r="CW223" s="595"/>
      <c r="CX223" s="595"/>
      <c r="CY223" s="595"/>
      <c r="CZ223" s="595"/>
      <c r="DA223" s="230">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75" t="s">
        <v>49</v>
      </c>
      <c r="B225" s="476"/>
      <c r="C225" s="476"/>
      <c r="D225" s="476"/>
      <c r="E225" s="476"/>
      <c r="F225" s="476"/>
      <c r="G225" s="477"/>
      <c r="H225" s="475" t="s">
        <v>0</v>
      </c>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c r="AK225" s="476"/>
      <c r="AL225" s="476"/>
      <c r="AM225" s="476"/>
      <c r="AN225" s="476"/>
      <c r="AO225" s="476"/>
      <c r="AP225" s="476"/>
      <c r="AQ225" s="476"/>
      <c r="AR225" s="476"/>
      <c r="AS225" s="476"/>
      <c r="AT225" s="476"/>
      <c r="AU225" s="476"/>
      <c r="AV225" s="476"/>
      <c r="AW225" s="476"/>
      <c r="AX225" s="476"/>
      <c r="AY225" s="476"/>
      <c r="AZ225" s="476"/>
      <c r="BA225" s="476"/>
      <c r="BB225" s="477"/>
      <c r="BC225" s="597" t="s">
        <v>79</v>
      </c>
      <c r="BD225" s="598"/>
      <c r="BE225" s="598"/>
      <c r="BF225" s="598"/>
      <c r="BG225" s="598"/>
      <c r="BH225" s="598"/>
      <c r="BI225" s="598"/>
      <c r="BJ225" s="598"/>
      <c r="BK225" s="598"/>
      <c r="BL225" s="598"/>
      <c r="BM225" s="598"/>
      <c r="BN225" s="598"/>
      <c r="BO225" s="598"/>
      <c r="BP225" s="598"/>
      <c r="BQ225" s="598"/>
      <c r="BR225" s="599"/>
      <c r="BS225" s="606" t="s">
        <v>80</v>
      </c>
      <c r="BT225" s="606"/>
      <c r="BU225" s="606"/>
      <c r="BV225" s="606"/>
      <c r="BW225" s="606"/>
      <c r="BX225" s="606"/>
      <c r="BY225" s="606"/>
      <c r="BZ225" s="606"/>
      <c r="CA225" s="606"/>
      <c r="CB225" s="606"/>
      <c r="CC225" s="606"/>
      <c r="CD225" s="606"/>
      <c r="CE225" s="606"/>
      <c r="CF225" s="606"/>
      <c r="CG225" s="606"/>
      <c r="CH225" s="606"/>
      <c r="CI225" s="606" t="s">
        <v>81</v>
      </c>
      <c r="CJ225" s="606"/>
      <c r="CK225" s="606"/>
      <c r="CL225" s="606"/>
      <c r="CM225" s="606"/>
      <c r="CN225" s="606"/>
      <c r="CO225" s="606"/>
      <c r="CP225" s="606"/>
      <c r="CQ225" s="606"/>
      <c r="CR225" s="606"/>
      <c r="CS225" s="606"/>
      <c r="CT225" s="606"/>
      <c r="CU225" s="606"/>
      <c r="CV225" s="606"/>
      <c r="CW225" s="606"/>
      <c r="CX225" s="606"/>
      <c r="CY225" s="606"/>
      <c r="CZ225" s="606"/>
      <c r="DA225" s="218"/>
    </row>
    <row r="226" spans="1:105" s="15" customFormat="1" ht="13.2" x14ac:dyDescent="0.3">
      <c r="A226" s="591">
        <v>1</v>
      </c>
      <c r="B226" s="591"/>
      <c r="C226" s="591"/>
      <c r="D226" s="591"/>
      <c r="E226" s="591"/>
      <c r="F226" s="591"/>
      <c r="G226" s="591"/>
      <c r="H226" s="591">
        <v>2</v>
      </c>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1"/>
      <c r="AL226" s="591"/>
      <c r="AM226" s="591"/>
      <c r="AN226" s="591"/>
      <c r="AO226" s="591"/>
      <c r="AP226" s="591"/>
      <c r="AQ226" s="591"/>
      <c r="AR226" s="591"/>
      <c r="AS226" s="591"/>
      <c r="AT226" s="591"/>
      <c r="AU226" s="591"/>
      <c r="AV226" s="591"/>
      <c r="AW226" s="591"/>
      <c r="AX226" s="591"/>
      <c r="AY226" s="591"/>
      <c r="AZ226" s="591"/>
      <c r="BA226" s="591"/>
      <c r="BB226" s="591"/>
      <c r="BC226" s="591">
        <v>3</v>
      </c>
      <c r="BD226" s="591"/>
      <c r="BE226" s="591"/>
      <c r="BF226" s="591"/>
      <c r="BG226" s="591"/>
      <c r="BH226" s="591"/>
      <c r="BI226" s="591"/>
      <c r="BJ226" s="591"/>
      <c r="BK226" s="591"/>
      <c r="BL226" s="591"/>
      <c r="BM226" s="591"/>
      <c r="BN226" s="591"/>
      <c r="BO226" s="591"/>
      <c r="BP226" s="591"/>
      <c r="BQ226" s="591"/>
      <c r="BR226" s="591"/>
      <c r="BS226" s="591">
        <v>4</v>
      </c>
      <c r="BT226" s="591"/>
      <c r="BU226" s="591"/>
      <c r="BV226" s="591"/>
      <c r="BW226" s="591"/>
      <c r="BX226" s="591"/>
      <c r="BY226" s="591"/>
      <c r="BZ226" s="591"/>
      <c r="CA226" s="591"/>
      <c r="CB226" s="591"/>
      <c r="CC226" s="591"/>
      <c r="CD226" s="591"/>
      <c r="CE226" s="591"/>
      <c r="CF226" s="591"/>
      <c r="CG226" s="591"/>
      <c r="CH226" s="591"/>
      <c r="CI226" s="591">
        <v>5</v>
      </c>
      <c r="CJ226" s="591"/>
      <c r="CK226" s="591"/>
      <c r="CL226" s="591"/>
      <c r="CM226" s="591"/>
      <c r="CN226" s="591"/>
      <c r="CO226" s="591"/>
      <c r="CP226" s="591"/>
      <c r="CQ226" s="591"/>
      <c r="CR226" s="591"/>
      <c r="CS226" s="591"/>
      <c r="CT226" s="591"/>
      <c r="CU226" s="591"/>
      <c r="CV226" s="591"/>
      <c r="CW226" s="591"/>
      <c r="CX226" s="591"/>
      <c r="CY226" s="591"/>
      <c r="CZ226" s="591"/>
      <c r="DA226" s="219"/>
    </row>
    <row r="227" spans="1:105" s="16" customFormat="1" ht="15" customHeight="1" x14ac:dyDescent="0.3">
      <c r="A227" s="648" t="s">
        <v>569</v>
      </c>
      <c r="B227" s="649"/>
      <c r="C227" s="649"/>
      <c r="D227" s="649"/>
      <c r="E227" s="649"/>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649"/>
      <c r="AY227" s="649"/>
      <c r="AZ227" s="649"/>
      <c r="BA227" s="649"/>
      <c r="BB227" s="649"/>
      <c r="BC227" s="649"/>
      <c r="BD227" s="649"/>
      <c r="BE227" s="649"/>
      <c r="BF227" s="649"/>
      <c r="BG227" s="649"/>
      <c r="BH227" s="649"/>
      <c r="BI227" s="649"/>
      <c r="BJ227" s="649"/>
      <c r="BK227" s="649"/>
      <c r="BL227" s="649"/>
      <c r="BM227" s="649"/>
      <c r="BN227" s="649"/>
      <c r="BO227" s="649"/>
      <c r="BP227" s="649"/>
      <c r="BQ227" s="649"/>
      <c r="BR227" s="649"/>
      <c r="BS227" s="649"/>
      <c r="BT227" s="649"/>
      <c r="BU227" s="649"/>
      <c r="BV227" s="649"/>
      <c r="BW227" s="649"/>
      <c r="BX227" s="649"/>
      <c r="BY227" s="649"/>
      <c r="BZ227" s="649"/>
      <c r="CA227" s="649"/>
      <c r="CB227" s="649"/>
      <c r="CC227" s="649"/>
      <c r="CD227" s="649"/>
      <c r="CE227" s="649"/>
      <c r="CF227" s="649"/>
      <c r="CG227" s="649"/>
      <c r="CH227" s="649"/>
      <c r="CI227" s="649"/>
      <c r="CJ227" s="649"/>
      <c r="CK227" s="649"/>
      <c r="CL227" s="649"/>
      <c r="CM227" s="649"/>
      <c r="CN227" s="649"/>
      <c r="CO227" s="649"/>
      <c r="CP227" s="649"/>
      <c r="CQ227" s="649"/>
      <c r="CR227" s="649"/>
      <c r="CS227" s="649"/>
      <c r="CT227" s="649"/>
      <c r="CU227" s="649"/>
      <c r="CV227" s="649"/>
      <c r="CW227" s="649"/>
      <c r="CX227" s="649"/>
      <c r="CY227" s="649"/>
      <c r="CZ227" s="649"/>
      <c r="DA227" s="214"/>
    </row>
    <row r="228" spans="1:105" s="16" customFormat="1" ht="15" customHeight="1" x14ac:dyDescent="0.3">
      <c r="A228" s="630" t="s">
        <v>441</v>
      </c>
      <c r="B228" s="631"/>
      <c r="C228" s="631"/>
      <c r="D228" s="631"/>
      <c r="E228" s="631"/>
      <c r="F228" s="631"/>
      <c r="G228" s="632"/>
      <c r="H228" s="584" t="s">
        <v>575</v>
      </c>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585"/>
      <c r="AP228" s="585"/>
      <c r="AQ228" s="585"/>
      <c r="AR228" s="585"/>
      <c r="AS228" s="585"/>
      <c r="AT228" s="585"/>
      <c r="AU228" s="585"/>
      <c r="AV228" s="585"/>
      <c r="AW228" s="585"/>
      <c r="AX228" s="585"/>
      <c r="AY228" s="585"/>
      <c r="AZ228" s="585"/>
      <c r="BA228" s="585"/>
      <c r="BB228" s="586"/>
      <c r="BC228" s="627">
        <v>9808000</v>
      </c>
      <c r="BD228" s="628"/>
      <c r="BE228" s="628"/>
      <c r="BF228" s="628"/>
      <c r="BG228" s="628"/>
      <c r="BH228" s="628"/>
      <c r="BI228" s="628"/>
      <c r="BJ228" s="628"/>
      <c r="BK228" s="628"/>
      <c r="BL228" s="628"/>
      <c r="BM228" s="628"/>
      <c r="BN228" s="628"/>
      <c r="BO228" s="628"/>
      <c r="BP228" s="628"/>
      <c r="BQ228" s="628"/>
      <c r="BR228" s="629"/>
      <c r="BS228" s="627">
        <v>2.2000000000000002</v>
      </c>
      <c r="BT228" s="628"/>
      <c r="BU228" s="628"/>
      <c r="BV228" s="628"/>
      <c r="BW228" s="628"/>
      <c r="BX228" s="628"/>
      <c r="BY228" s="628"/>
      <c r="BZ228" s="628"/>
      <c r="CA228" s="628"/>
      <c r="CB228" s="628"/>
      <c r="CC228" s="628"/>
      <c r="CD228" s="628"/>
      <c r="CE228" s="628"/>
      <c r="CF228" s="628"/>
      <c r="CG228" s="628"/>
      <c r="CH228" s="629"/>
      <c r="CI228" s="627">
        <f>BC228*BS228/100</f>
        <v>215776</v>
      </c>
      <c r="CJ228" s="628"/>
      <c r="CK228" s="628"/>
      <c r="CL228" s="628"/>
      <c r="CM228" s="628"/>
      <c r="CN228" s="628"/>
      <c r="CO228" s="628"/>
      <c r="CP228" s="628"/>
      <c r="CQ228" s="628"/>
      <c r="CR228" s="628"/>
      <c r="CS228" s="628"/>
      <c r="CT228" s="628"/>
      <c r="CU228" s="628"/>
      <c r="CV228" s="628"/>
      <c r="CW228" s="628"/>
      <c r="CX228" s="628"/>
      <c r="CY228" s="628"/>
      <c r="CZ228" s="629"/>
      <c r="DA228" s="214"/>
    </row>
    <row r="229" spans="1:105" s="16" customFormat="1" ht="15" customHeight="1" x14ac:dyDescent="0.3">
      <c r="A229" s="630" t="s">
        <v>444</v>
      </c>
      <c r="B229" s="631"/>
      <c r="C229" s="631"/>
      <c r="D229" s="631"/>
      <c r="E229" s="631"/>
      <c r="F229" s="631"/>
      <c r="G229" s="632"/>
      <c r="H229" s="584" t="s">
        <v>576</v>
      </c>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5"/>
      <c r="AL229" s="585"/>
      <c r="AM229" s="585"/>
      <c r="AN229" s="585"/>
      <c r="AO229" s="585"/>
      <c r="AP229" s="585"/>
      <c r="AQ229" s="585"/>
      <c r="AR229" s="585"/>
      <c r="AS229" s="585"/>
      <c r="AT229" s="585"/>
      <c r="AU229" s="585"/>
      <c r="AV229" s="585"/>
      <c r="AW229" s="585"/>
      <c r="AX229" s="585"/>
      <c r="AY229" s="585"/>
      <c r="AZ229" s="585"/>
      <c r="BA229" s="585"/>
      <c r="BB229" s="586"/>
      <c r="BC229" s="627">
        <v>6089000</v>
      </c>
      <c r="BD229" s="628"/>
      <c r="BE229" s="628"/>
      <c r="BF229" s="628"/>
      <c r="BG229" s="628"/>
      <c r="BH229" s="628"/>
      <c r="BI229" s="628"/>
      <c r="BJ229" s="628"/>
      <c r="BK229" s="628"/>
      <c r="BL229" s="628"/>
      <c r="BM229" s="628"/>
      <c r="BN229" s="628"/>
      <c r="BO229" s="628"/>
      <c r="BP229" s="628"/>
      <c r="BQ229" s="628"/>
      <c r="BR229" s="629"/>
      <c r="BS229" s="627">
        <v>1.5</v>
      </c>
      <c r="BT229" s="628"/>
      <c r="BU229" s="628"/>
      <c r="BV229" s="628"/>
      <c r="BW229" s="628"/>
      <c r="BX229" s="628"/>
      <c r="BY229" s="628"/>
      <c r="BZ229" s="628"/>
      <c r="CA229" s="628"/>
      <c r="CB229" s="628"/>
      <c r="CC229" s="628"/>
      <c r="CD229" s="628"/>
      <c r="CE229" s="628"/>
      <c r="CF229" s="628"/>
      <c r="CG229" s="628"/>
      <c r="CH229" s="629"/>
      <c r="CI229" s="627">
        <f>ROUNDUP(BC229*BS229/100,0)</f>
        <v>91335</v>
      </c>
      <c r="CJ229" s="628"/>
      <c r="CK229" s="628"/>
      <c r="CL229" s="628"/>
      <c r="CM229" s="628"/>
      <c r="CN229" s="628"/>
      <c r="CO229" s="628"/>
      <c r="CP229" s="628"/>
      <c r="CQ229" s="628"/>
      <c r="CR229" s="628"/>
      <c r="CS229" s="628"/>
      <c r="CT229" s="628"/>
      <c r="CU229" s="628"/>
      <c r="CV229" s="628"/>
      <c r="CW229" s="628"/>
      <c r="CX229" s="628"/>
      <c r="CY229" s="628"/>
      <c r="CZ229" s="629"/>
      <c r="DA229" s="214"/>
    </row>
    <row r="230" spans="1:105" s="16" customFormat="1" ht="15" customHeight="1" x14ac:dyDescent="0.3">
      <c r="A230" s="633" t="s">
        <v>292</v>
      </c>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4"/>
      <c r="AY230" s="634"/>
      <c r="AZ230" s="634"/>
      <c r="BA230" s="634"/>
      <c r="BB230" s="635"/>
      <c r="BC230" s="544" t="s">
        <v>4</v>
      </c>
      <c r="BD230" s="545"/>
      <c r="BE230" s="545"/>
      <c r="BF230" s="545"/>
      <c r="BG230" s="545"/>
      <c r="BH230" s="545"/>
      <c r="BI230" s="545"/>
      <c r="BJ230" s="545"/>
      <c r="BK230" s="545"/>
      <c r="BL230" s="545"/>
      <c r="BM230" s="545"/>
      <c r="BN230" s="545"/>
      <c r="BO230" s="545"/>
      <c r="BP230" s="545"/>
      <c r="BQ230" s="545"/>
      <c r="BR230" s="546"/>
      <c r="BS230" s="544" t="s">
        <v>4</v>
      </c>
      <c r="BT230" s="545"/>
      <c r="BU230" s="545"/>
      <c r="BV230" s="545"/>
      <c r="BW230" s="545"/>
      <c r="BX230" s="545"/>
      <c r="BY230" s="545"/>
      <c r="BZ230" s="545"/>
      <c r="CA230" s="545"/>
      <c r="CB230" s="545"/>
      <c r="CC230" s="545"/>
      <c r="CD230" s="545"/>
      <c r="CE230" s="545"/>
      <c r="CF230" s="545"/>
      <c r="CG230" s="545"/>
      <c r="CH230" s="546"/>
      <c r="CI230" s="636">
        <f>SUM(CI228:CZ229)</f>
        <v>307111</v>
      </c>
      <c r="CJ230" s="637"/>
      <c r="CK230" s="637"/>
      <c r="CL230" s="637"/>
      <c r="CM230" s="637"/>
      <c r="CN230" s="637"/>
      <c r="CO230" s="637"/>
      <c r="CP230" s="637"/>
      <c r="CQ230" s="637"/>
      <c r="CR230" s="637"/>
      <c r="CS230" s="637"/>
      <c r="CT230" s="637"/>
      <c r="CU230" s="637"/>
      <c r="CV230" s="637"/>
      <c r="CW230" s="637"/>
      <c r="CX230" s="637"/>
      <c r="CY230" s="637"/>
      <c r="CZ230" s="638"/>
      <c r="DA230" s="214"/>
    </row>
    <row r="231" spans="1:105" s="16" customFormat="1" ht="15" customHeight="1" x14ac:dyDescent="0.3">
      <c r="A231" s="648" t="s">
        <v>258</v>
      </c>
      <c r="B231" s="649"/>
      <c r="C231" s="649"/>
      <c r="D231" s="649"/>
      <c r="E231" s="649"/>
      <c r="F231" s="649"/>
      <c r="G231" s="649"/>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649"/>
      <c r="AT231" s="649"/>
      <c r="AU231" s="649"/>
      <c r="AV231" s="649"/>
      <c r="AW231" s="649"/>
      <c r="AX231" s="649"/>
      <c r="AY231" s="649"/>
      <c r="AZ231" s="649"/>
      <c r="BA231" s="649"/>
      <c r="BB231" s="649"/>
      <c r="BC231" s="649"/>
      <c r="BD231" s="649"/>
      <c r="BE231" s="649"/>
      <c r="BF231" s="649"/>
      <c r="BG231" s="649"/>
      <c r="BH231" s="649"/>
      <c r="BI231" s="649"/>
      <c r="BJ231" s="649"/>
      <c r="BK231" s="649"/>
      <c r="BL231" s="649"/>
      <c r="BM231" s="649"/>
      <c r="BN231" s="649"/>
      <c r="BO231" s="649"/>
      <c r="BP231" s="649"/>
      <c r="BQ231" s="649"/>
      <c r="BR231" s="649"/>
      <c r="BS231" s="649"/>
      <c r="BT231" s="649"/>
      <c r="BU231" s="649"/>
      <c r="BV231" s="649"/>
      <c r="BW231" s="649"/>
      <c r="BX231" s="649"/>
      <c r="BY231" s="649"/>
      <c r="BZ231" s="649"/>
      <c r="CA231" s="649"/>
      <c r="CB231" s="649"/>
      <c r="CC231" s="649"/>
      <c r="CD231" s="649"/>
      <c r="CE231" s="649"/>
      <c r="CF231" s="649"/>
      <c r="CG231" s="649"/>
      <c r="CH231" s="649"/>
      <c r="CI231" s="649"/>
      <c r="CJ231" s="649"/>
      <c r="CK231" s="649"/>
      <c r="CL231" s="649"/>
      <c r="CM231" s="649"/>
      <c r="CN231" s="649"/>
      <c r="CO231" s="649"/>
      <c r="CP231" s="649"/>
      <c r="CQ231" s="649"/>
      <c r="CR231" s="649"/>
      <c r="CS231" s="649"/>
      <c r="CT231" s="649"/>
      <c r="CU231" s="649"/>
      <c r="CV231" s="649"/>
      <c r="CW231" s="649"/>
      <c r="CX231" s="649"/>
      <c r="CY231" s="649"/>
      <c r="CZ231" s="649"/>
      <c r="DA231" s="214"/>
    </row>
    <row r="232" spans="1:105" s="16" customFormat="1" ht="15" customHeight="1" x14ac:dyDescent="0.3">
      <c r="A232" s="630"/>
      <c r="B232" s="631"/>
      <c r="C232" s="631"/>
      <c r="D232" s="631"/>
      <c r="E232" s="631"/>
      <c r="F232" s="631"/>
      <c r="G232" s="632"/>
      <c r="H232" s="584"/>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585"/>
      <c r="AP232" s="585"/>
      <c r="AQ232" s="585"/>
      <c r="AR232" s="585"/>
      <c r="AS232" s="585"/>
      <c r="AT232" s="585"/>
      <c r="AU232" s="585"/>
      <c r="AV232" s="585"/>
      <c r="AW232" s="585"/>
      <c r="AX232" s="585"/>
      <c r="AY232" s="585"/>
      <c r="AZ232" s="585"/>
      <c r="BA232" s="585"/>
      <c r="BB232" s="586"/>
      <c r="BC232" s="544"/>
      <c r="BD232" s="545"/>
      <c r="BE232" s="545"/>
      <c r="BF232" s="545"/>
      <c r="BG232" s="545"/>
      <c r="BH232" s="545"/>
      <c r="BI232" s="545"/>
      <c r="BJ232" s="545"/>
      <c r="BK232" s="545"/>
      <c r="BL232" s="545"/>
      <c r="BM232" s="545"/>
      <c r="BN232" s="545"/>
      <c r="BO232" s="545"/>
      <c r="BP232" s="545"/>
      <c r="BQ232" s="545"/>
      <c r="BR232" s="546"/>
      <c r="BS232" s="544"/>
      <c r="BT232" s="545"/>
      <c r="BU232" s="545"/>
      <c r="BV232" s="545"/>
      <c r="BW232" s="545"/>
      <c r="BX232" s="545"/>
      <c r="BY232" s="545"/>
      <c r="BZ232" s="545"/>
      <c r="CA232" s="545"/>
      <c r="CB232" s="545"/>
      <c r="CC232" s="545"/>
      <c r="CD232" s="545"/>
      <c r="CE232" s="545"/>
      <c r="CF232" s="545"/>
      <c r="CG232" s="545"/>
      <c r="CH232" s="546"/>
      <c r="CI232" s="544"/>
      <c r="CJ232" s="545"/>
      <c r="CK232" s="545"/>
      <c r="CL232" s="545"/>
      <c r="CM232" s="545"/>
      <c r="CN232" s="545"/>
      <c r="CO232" s="545"/>
      <c r="CP232" s="545"/>
      <c r="CQ232" s="545"/>
      <c r="CR232" s="545"/>
      <c r="CS232" s="545"/>
      <c r="CT232" s="545"/>
      <c r="CU232" s="545"/>
      <c r="CV232" s="545"/>
      <c r="CW232" s="545"/>
      <c r="CX232" s="545"/>
      <c r="CY232" s="545"/>
      <c r="CZ232" s="546"/>
      <c r="DA232" s="214"/>
    </row>
    <row r="233" spans="1:105" s="16" customFormat="1" ht="15" customHeight="1" x14ac:dyDescent="0.3">
      <c r="A233" s="633" t="s">
        <v>292</v>
      </c>
      <c r="B233" s="634"/>
      <c r="C233" s="634"/>
      <c r="D233" s="63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c r="AA233" s="634"/>
      <c r="AB233" s="634"/>
      <c r="AC233" s="634"/>
      <c r="AD233" s="634"/>
      <c r="AE233" s="634"/>
      <c r="AF233" s="634"/>
      <c r="AG233" s="634"/>
      <c r="AH233" s="634"/>
      <c r="AI233" s="634"/>
      <c r="AJ233" s="634"/>
      <c r="AK233" s="634"/>
      <c r="AL233" s="634"/>
      <c r="AM233" s="634"/>
      <c r="AN233" s="634"/>
      <c r="AO233" s="634"/>
      <c r="AP233" s="634"/>
      <c r="AQ233" s="634"/>
      <c r="AR233" s="634"/>
      <c r="AS233" s="634"/>
      <c r="AT233" s="634"/>
      <c r="AU233" s="634"/>
      <c r="AV233" s="634"/>
      <c r="AW233" s="634"/>
      <c r="AX233" s="634"/>
      <c r="AY233" s="634"/>
      <c r="AZ233" s="634"/>
      <c r="BA233" s="634"/>
      <c r="BB233" s="635"/>
      <c r="BC233" s="544" t="s">
        <v>4</v>
      </c>
      <c r="BD233" s="545"/>
      <c r="BE233" s="545"/>
      <c r="BF233" s="545"/>
      <c r="BG233" s="545"/>
      <c r="BH233" s="545"/>
      <c r="BI233" s="545"/>
      <c r="BJ233" s="545"/>
      <c r="BK233" s="545"/>
      <c r="BL233" s="545"/>
      <c r="BM233" s="545"/>
      <c r="BN233" s="545"/>
      <c r="BO233" s="545"/>
      <c r="BP233" s="545"/>
      <c r="BQ233" s="545"/>
      <c r="BR233" s="546"/>
      <c r="BS233" s="544" t="s">
        <v>4</v>
      </c>
      <c r="BT233" s="545"/>
      <c r="BU233" s="545"/>
      <c r="BV233" s="545"/>
      <c r="BW233" s="545"/>
      <c r="BX233" s="545"/>
      <c r="BY233" s="545"/>
      <c r="BZ233" s="545"/>
      <c r="CA233" s="545"/>
      <c r="CB233" s="545"/>
      <c r="CC233" s="545"/>
      <c r="CD233" s="545"/>
      <c r="CE233" s="545"/>
      <c r="CF233" s="545"/>
      <c r="CG233" s="545"/>
      <c r="CH233" s="546"/>
      <c r="CI233" s="544"/>
      <c r="CJ233" s="545"/>
      <c r="CK233" s="545"/>
      <c r="CL233" s="545"/>
      <c r="CM233" s="545"/>
      <c r="CN233" s="545"/>
      <c r="CO233" s="545"/>
      <c r="CP233" s="545"/>
      <c r="CQ233" s="545"/>
      <c r="CR233" s="545"/>
      <c r="CS233" s="545"/>
      <c r="CT233" s="545"/>
      <c r="CU233" s="545"/>
      <c r="CV233" s="545"/>
      <c r="CW233" s="545"/>
      <c r="CX233" s="545"/>
      <c r="CY233" s="545"/>
      <c r="CZ233" s="546"/>
      <c r="DA233" s="214"/>
    </row>
    <row r="234" spans="1:105" s="16" customFormat="1" ht="15" customHeight="1" x14ac:dyDescent="0.3">
      <c r="A234" s="553" t="s">
        <v>56</v>
      </c>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4"/>
      <c r="AY234" s="554"/>
      <c r="AZ234" s="554"/>
      <c r="BA234" s="554"/>
      <c r="BB234" s="555"/>
      <c r="BC234" s="582" t="s">
        <v>4</v>
      </c>
      <c r="BD234" s="582"/>
      <c r="BE234" s="582"/>
      <c r="BF234" s="582"/>
      <c r="BG234" s="582"/>
      <c r="BH234" s="582"/>
      <c r="BI234" s="582"/>
      <c r="BJ234" s="582"/>
      <c r="BK234" s="582"/>
      <c r="BL234" s="582"/>
      <c r="BM234" s="582"/>
      <c r="BN234" s="582"/>
      <c r="BO234" s="582"/>
      <c r="BP234" s="582"/>
      <c r="BQ234" s="582"/>
      <c r="BR234" s="582"/>
      <c r="BS234" s="582" t="s">
        <v>4</v>
      </c>
      <c r="BT234" s="582"/>
      <c r="BU234" s="582"/>
      <c r="BV234" s="582"/>
      <c r="BW234" s="582"/>
      <c r="BX234" s="582"/>
      <c r="BY234" s="582"/>
      <c r="BZ234" s="582"/>
      <c r="CA234" s="582"/>
      <c r="CB234" s="582"/>
      <c r="CC234" s="582"/>
      <c r="CD234" s="582"/>
      <c r="CE234" s="582"/>
      <c r="CF234" s="582"/>
      <c r="CG234" s="582"/>
      <c r="CH234" s="582"/>
      <c r="CI234" s="611">
        <f>CI230</f>
        <v>307111</v>
      </c>
      <c r="CJ234" s="611"/>
      <c r="CK234" s="611"/>
      <c r="CL234" s="611"/>
      <c r="CM234" s="611"/>
      <c r="CN234" s="611"/>
      <c r="CO234" s="611"/>
      <c r="CP234" s="611"/>
      <c r="CQ234" s="611"/>
      <c r="CR234" s="611"/>
      <c r="CS234" s="611"/>
      <c r="CT234" s="611"/>
      <c r="CU234" s="611"/>
      <c r="CV234" s="611"/>
      <c r="CW234" s="611"/>
      <c r="CX234" s="611"/>
      <c r="CY234" s="611"/>
      <c r="CZ234" s="611"/>
      <c r="DA234" s="220"/>
    </row>
    <row r="235" spans="1:105" s="16" customFormat="1" ht="15" customHeight="1" x14ac:dyDescent="0.3">
      <c r="A235" s="221"/>
      <c r="B235" s="221"/>
      <c r="C235" s="221"/>
      <c r="D235" s="221"/>
      <c r="E235" s="221"/>
      <c r="F235" s="221"/>
      <c r="G235" s="221"/>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14"/>
    </row>
    <row r="236" spans="1:105" s="20" customFormat="1" ht="29.25" customHeight="1" x14ac:dyDescent="0.25">
      <c r="A236" s="524" t="s">
        <v>280</v>
      </c>
      <c r="B236" s="524"/>
      <c r="C236" s="524"/>
      <c r="D236" s="524"/>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4"/>
      <c r="AY236" s="524"/>
      <c r="AZ236" s="524"/>
      <c r="BA236" s="524"/>
      <c r="BB236" s="524"/>
      <c r="BC236" s="524"/>
      <c r="BD236" s="524"/>
      <c r="BE236" s="524"/>
      <c r="BF236" s="524"/>
      <c r="BG236" s="524"/>
      <c r="BH236" s="524"/>
      <c r="BI236" s="524"/>
      <c r="BJ236" s="524"/>
      <c r="BK236" s="524"/>
      <c r="BL236" s="524"/>
      <c r="BM236" s="524"/>
      <c r="BN236" s="524"/>
      <c r="BO236" s="524"/>
      <c r="BP236" s="524"/>
      <c r="BQ236" s="524"/>
      <c r="BR236" s="524"/>
      <c r="BS236" s="524"/>
      <c r="BT236" s="524"/>
      <c r="BU236" s="524"/>
      <c r="BV236" s="524"/>
      <c r="BW236" s="524"/>
      <c r="BX236" s="524"/>
      <c r="BY236" s="524"/>
      <c r="BZ236" s="524"/>
      <c r="CA236" s="524"/>
      <c r="CB236" s="524"/>
      <c r="CC236" s="524"/>
      <c r="CD236" s="524"/>
      <c r="CE236" s="524"/>
      <c r="CF236" s="524"/>
      <c r="CG236" s="524"/>
      <c r="CH236" s="524"/>
      <c r="CI236" s="524"/>
      <c r="CJ236" s="524"/>
      <c r="CK236" s="524"/>
      <c r="CL236" s="524"/>
      <c r="CM236" s="524"/>
      <c r="CN236" s="524"/>
      <c r="CO236" s="524"/>
      <c r="CP236" s="524"/>
      <c r="CQ236" s="524"/>
      <c r="CR236" s="524"/>
      <c r="CS236" s="524"/>
      <c r="CT236" s="524"/>
      <c r="CU236" s="524"/>
      <c r="CV236" s="524"/>
      <c r="CW236" s="524"/>
      <c r="CX236" s="524"/>
      <c r="CY236" s="524"/>
      <c r="CZ236" s="524"/>
    </row>
    <row r="237" spans="1:105" ht="6" customHeight="1" x14ac:dyDescent="0.25"/>
    <row r="238" spans="1:105" s="20" customFormat="1" x14ac:dyDescent="0.25">
      <c r="A238" s="20" t="s">
        <v>47</v>
      </c>
      <c r="W238" s="595" t="s">
        <v>577</v>
      </c>
      <c r="X238" s="595"/>
      <c r="Y238" s="595"/>
      <c r="Z238" s="595"/>
      <c r="AA238" s="595"/>
      <c r="AB238" s="595"/>
      <c r="AC238" s="595"/>
      <c r="AD238" s="595"/>
      <c r="AE238" s="595"/>
      <c r="AF238" s="595"/>
      <c r="AG238" s="595"/>
      <c r="AH238" s="595"/>
      <c r="AI238" s="595"/>
      <c r="AJ238" s="595"/>
      <c r="AK238" s="595"/>
      <c r="AL238" s="595"/>
      <c r="AM238" s="595"/>
      <c r="AN238" s="595"/>
      <c r="AO238" s="595"/>
      <c r="AP238" s="595"/>
      <c r="AQ238" s="595"/>
      <c r="AR238" s="595"/>
      <c r="AS238" s="595"/>
      <c r="AT238" s="595"/>
      <c r="AU238" s="595"/>
      <c r="AV238" s="595"/>
      <c r="AW238" s="595"/>
      <c r="AX238" s="595"/>
      <c r="AY238" s="595"/>
      <c r="AZ238" s="595"/>
      <c r="BA238" s="595"/>
      <c r="BB238" s="595"/>
      <c r="BC238" s="595"/>
      <c r="BD238" s="595"/>
      <c r="BE238" s="595"/>
      <c r="BF238" s="595"/>
      <c r="BG238" s="595"/>
      <c r="BH238" s="595"/>
      <c r="BI238" s="595"/>
      <c r="BJ238" s="595"/>
      <c r="BK238" s="595"/>
      <c r="BL238" s="595"/>
      <c r="BM238" s="595"/>
      <c r="BN238" s="595"/>
      <c r="BO238" s="595"/>
      <c r="BP238" s="595"/>
      <c r="BQ238" s="595"/>
      <c r="BR238" s="595"/>
      <c r="BS238" s="595"/>
      <c r="BT238" s="595"/>
      <c r="BU238" s="595"/>
      <c r="BV238" s="595"/>
      <c r="BW238" s="595"/>
      <c r="BX238" s="595"/>
      <c r="BY238" s="595"/>
      <c r="BZ238" s="595"/>
      <c r="CA238" s="595"/>
      <c r="CB238" s="595"/>
      <c r="CC238" s="595"/>
      <c r="CD238" s="595"/>
      <c r="CE238" s="595"/>
      <c r="CF238" s="595"/>
      <c r="CG238" s="595"/>
      <c r="CH238" s="595"/>
      <c r="CI238" s="595"/>
      <c r="CJ238" s="595"/>
      <c r="CK238" s="595"/>
      <c r="CL238" s="595"/>
      <c r="CM238" s="595"/>
      <c r="CN238" s="595"/>
      <c r="CO238" s="595"/>
      <c r="CP238" s="595"/>
      <c r="CQ238" s="595"/>
      <c r="CR238" s="595"/>
      <c r="CS238" s="595"/>
      <c r="CT238" s="595"/>
      <c r="CU238" s="595"/>
      <c r="CV238" s="595"/>
      <c r="CW238" s="595"/>
      <c r="CX238" s="595"/>
      <c r="CY238" s="595"/>
      <c r="CZ238" s="595"/>
      <c r="DA238" s="230">
        <v>290</v>
      </c>
    </row>
    <row r="239" spans="1:105" ht="10.5" customHeight="1" x14ac:dyDescent="0.25"/>
    <row r="240" spans="1:105" s="18" customFormat="1" ht="63.75" customHeight="1" x14ac:dyDescent="0.3">
      <c r="A240" s="475" t="s">
        <v>49</v>
      </c>
      <c r="B240" s="476"/>
      <c r="C240" s="476"/>
      <c r="D240" s="476"/>
      <c r="E240" s="476"/>
      <c r="F240" s="476"/>
      <c r="G240" s="477"/>
      <c r="H240" s="475" t="s">
        <v>0</v>
      </c>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6"/>
      <c r="AY240" s="476"/>
      <c r="AZ240" s="476"/>
      <c r="BA240" s="476"/>
      <c r="BB240" s="477"/>
      <c r="BC240" s="597" t="s">
        <v>79</v>
      </c>
      <c r="BD240" s="598"/>
      <c r="BE240" s="598"/>
      <c r="BF240" s="598"/>
      <c r="BG240" s="598"/>
      <c r="BH240" s="598"/>
      <c r="BI240" s="598"/>
      <c r="BJ240" s="598"/>
      <c r="BK240" s="598"/>
      <c r="BL240" s="598"/>
      <c r="BM240" s="598"/>
      <c r="BN240" s="598"/>
      <c r="BO240" s="598"/>
      <c r="BP240" s="598"/>
      <c r="BQ240" s="598"/>
      <c r="BR240" s="599"/>
      <c r="BS240" s="606" t="s">
        <v>80</v>
      </c>
      <c r="BT240" s="606"/>
      <c r="BU240" s="606"/>
      <c r="BV240" s="606"/>
      <c r="BW240" s="606"/>
      <c r="BX240" s="606"/>
      <c r="BY240" s="606"/>
      <c r="BZ240" s="606"/>
      <c r="CA240" s="606"/>
      <c r="CB240" s="606"/>
      <c r="CC240" s="606"/>
      <c r="CD240" s="606"/>
      <c r="CE240" s="606"/>
      <c r="CF240" s="606"/>
      <c r="CG240" s="606"/>
      <c r="CH240" s="606"/>
      <c r="CI240" s="606" t="s">
        <v>81</v>
      </c>
      <c r="CJ240" s="606"/>
      <c r="CK240" s="606"/>
      <c r="CL240" s="606"/>
      <c r="CM240" s="606"/>
      <c r="CN240" s="606"/>
      <c r="CO240" s="606"/>
      <c r="CP240" s="606"/>
      <c r="CQ240" s="606"/>
      <c r="CR240" s="606"/>
      <c r="CS240" s="606"/>
      <c r="CT240" s="606"/>
      <c r="CU240" s="606"/>
      <c r="CV240" s="606"/>
      <c r="CW240" s="606"/>
      <c r="CX240" s="606"/>
      <c r="CY240" s="606"/>
      <c r="CZ240" s="606"/>
      <c r="DA240" s="218"/>
    </row>
    <row r="241" spans="1:105" s="15" customFormat="1" ht="13.2" x14ac:dyDescent="0.3">
      <c r="A241" s="591">
        <v>1</v>
      </c>
      <c r="B241" s="591"/>
      <c r="C241" s="591"/>
      <c r="D241" s="591"/>
      <c r="E241" s="591"/>
      <c r="F241" s="591"/>
      <c r="G241" s="591"/>
      <c r="H241" s="591">
        <v>2</v>
      </c>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1"/>
      <c r="AL241" s="591"/>
      <c r="AM241" s="591"/>
      <c r="AN241" s="591"/>
      <c r="AO241" s="591"/>
      <c r="AP241" s="591"/>
      <c r="AQ241" s="591"/>
      <c r="AR241" s="591"/>
      <c r="AS241" s="591"/>
      <c r="AT241" s="591"/>
      <c r="AU241" s="591"/>
      <c r="AV241" s="591"/>
      <c r="AW241" s="591"/>
      <c r="AX241" s="591"/>
      <c r="AY241" s="591"/>
      <c r="AZ241" s="591"/>
      <c r="BA241" s="591"/>
      <c r="BB241" s="591"/>
      <c r="BC241" s="591">
        <v>3</v>
      </c>
      <c r="BD241" s="591"/>
      <c r="BE241" s="591"/>
      <c r="BF241" s="591"/>
      <c r="BG241" s="591"/>
      <c r="BH241" s="591"/>
      <c r="BI241" s="591"/>
      <c r="BJ241" s="591"/>
      <c r="BK241" s="591"/>
      <c r="BL241" s="591"/>
      <c r="BM241" s="591"/>
      <c r="BN241" s="591"/>
      <c r="BO241" s="591"/>
      <c r="BP241" s="591"/>
      <c r="BQ241" s="591"/>
      <c r="BR241" s="591"/>
      <c r="BS241" s="591">
        <v>4</v>
      </c>
      <c r="BT241" s="591"/>
      <c r="BU241" s="591"/>
      <c r="BV241" s="591"/>
      <c r="BW241" s="591"/>
      <c r="BX241" s="591"/>
      <c r="BY241" s="591"/>
      <c r="BZ241" s="591"/>
      <c r="CA241" s="591"/>
      <c r="CB241" s="591"/>
      <c r="CC241" s="591"/>
      <c r="CD241" s="591"/>
      <c r="CE241" s="591"/>
      <c r="CF241" s="591"/>
      <c r="CG241" s="591"/>
      <c r="CH241" s="591"/>
      <c r="CI241" s="591">
        <v>5</v>
      </c>
      <c r="CJ241" s="591"/>
      <c r="CK241" s="591"/>
      <c r="CL241" s="591"/>
      <c r="CM241" s="591"/>
      <c r="CN241" s="591"/>
      <c r="CO241" s="591"/>
      <c r="CP241" s="591"/>
      <c r="CQ241" s="591"/>
      <c r="CR241" s="591"/>
      <c r="CS241" s="591"/>
      <c r="CT241" s="591"/>
      <c r="CU241" s="591"/>
      <c r="CV241" s="591"/>
      <c r="CW241" s="591"/>
      <c r="CX241" s="591"/>
      <c r="CY241" s="591"/>
      <c r="CZ241" s="591"/>
      <c r="DA241" s="219"/>
    </row>
    <row r="242" spans="1:105" s="16" customFormat="1" ht="15" customHeight="1" x14ac:dyDescent="0.3">
      <c r="A242" s="648" t="s">
        <v>569</v>
      </c>
      <c r="B242" s="649"/>
      <c r="C242" s="649"/>
      <c r="D242" s="649"/>
      <c r="E242" s="649"/>
      <c r="F242" s="649"/>
      <c r="G242" s="649"/>
      <c r="H242" s="649"/>
      <c r="I242" s="649"/>
      <c r="J242" s="649"/>
      <c r="K242" s="649"/>
      <c r="L242" s="649"/>
      <c r="M242" s="649"/>
      <c r="N242" s="649"/>
      <c r="O242" s="649"/>
      <c r="P242" s="649"/>
      <c r="Q242" s="649"/>
      <c r="R242" s="649"/>
      <c r="S242" s="649"/>
      <c r="T242" s="649"/>
      <c r="U242" s="649"/>
      <c r="V242" s="649"/>
      <c r="W242" s="649"/>
      <c r="X242" s="649"/>
      <c r="Y242" s="649"/>
      <c r="Z242" s="649"/>
      <c r="AA242" s="649"/>
      <c r="AB242" s="649"/>
      <c r="AC242" s="649"/>
      <c r="AD242" s="649"/>
      <c r="AE242" s="649"/>
      <c r="AF242" s="649"/>
      <c r="AG242" s="649"/>
      <c r="AH242" s="649"/>
      <c r="AI242" s="649"/>
      <c r="AJ242" s="649"/>
      <c r="AK242" s="649"/>
      <c r="AL242" s="649"/>
      <c r="AM242" s="649"/>
      <c r="AN242" s="649"/>
      <c r="AO242" s="649"/>
      <c r="AP242" s="649"/>
      <c r="AQ242" s="649"/>
      <c r="AR242" s="649"/>
      <c r="AS242" s="649"/>
      <c r="AT242" s="649"/>
      <c r="AU242" s="649"/>
      <c r="AV242" s="649"/>
      <c r="AW242" s="649"/>
      <c r="AX242" s="649"/>
      <c r="AY242" s="649"/>
      <c r="AZ242" s="649"/>
      <c r="BA242" s="649"/>
      <c r="BB242" s="649"/>
      <c r="BC242" s="649"/>
      <c r="BD242" s="649"/>
      <c r="BE242" s="649"/>
      <c r="BF242" s="649"/>
      <c r="BG242" s="649"/>
      <c r="BH242" s="649"/>
      <c r="BI242" s="649"/>
      <c r="BJ242" s="649"/>
      <c r="BK242" s="649"/>
      <c r="BL242" s="649"/>
      <c r="BM242" s="649"/>
      <c r="BN242" s="649"/>
      <c r="BO242" s="649"/>
      <c r="BP242" s="649"/>
      <c r="BQ242" s="649"/>
      <c r="BR242" s="649"/>
      <c r="BS242" s="649"/>
      <c r="BT242" s="649"/>
      <c r="BU242" s="649"/>
      <c r="BV242" s="649"/>
      <c r="BW242" s="649"/>
      <c r="BX242" s="649"/>
      <c r="BY242" s="649"/>
      <c r="BZ242" s="649"/>
      <c r="CA242" s="649"/>
      <c r="CB242" s="649"/>
      <c r="CC242" s="649"/>
      <c r="CD242" s="649"/>
      <c r="CE242" s="649"/>
      <c r="CF242" s="649"/>
      <c r="CG242" s="649"/>
      <c r="CH242" s="649"/>
      <c r="CI242" s="649"/>
      <c r="CJ242" s="649"/>
      <c r="CK242" s="649"/>
      <c r="CL242" s="649"/>
      <c r="CM242" s="649"/>
      <c r="CN242" s="649"/>
      <c r="CO242" s="649"/>
      <c r="CP242" s="649"/>
      <c r="CQ242" s="649"/>
      <c r="CR242" s="649"/>
      <c r="CS242" s="649"/>
      <c r="CT242" s="649"/>
      <c r="CU242" s="649"/>
      <c r="CV242" s="649"/>
      <c r="CW242" s="649"/>
      <c r="CX242" s="649"/>
      <c r="CY242" s="649"/>
      <c r="CZ242" s="649"/>
      <c r="DA242" s="214"/>
    </row>
    <row r="243" spans="1:105" s="16" customFormat="1" ht="15" hidden="1" customHeight="1" x14ac:dyDescent="0.3">
      <c r="A243" s="630" t="s">
        <v>441</v>
      </c>
      <c r="B243" s="631"/>
      <c r="C243" s="631"/>
      <c r="D243" s="631"/>
      <c r="E243" s="631"/>
      <c r="F243" s="631"/>
      <c r="G243" s="632"/>
      <c r="H243" s="584" t="s">
        <v>578</v>
      </c>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5"/>
      <c r="AL243" s="585"/>
      <c r="AM243" s="585"/>
      <c r="AN243" s="585"/>
      <c r="AO243" s="585"/>
      <c r="AP243" s="585"/>
      <c r="AQ243" s="585"/>
      <c r="AR243" s="585"/>
      <c r="AS243" s="585"/>
      <c r="AT243" s="585"/>
      <c r="AU243" s="585"/>
      <c r="AV243" s="585"/>
      <c r="AW243" s="585"/>
      <c r="AX243" s="585"/>
      <c r="AY243" s="585"/>
      <c r="AZ243" s="585"/>
      <c r="BA243" s="585"/>
      <c r="BB243" s="586"/>
      <c r="BC243" s="544"/>
      <c r="BD243" s="545"/>
      <c r="BE243" s="545"/>
      <c r="BF243" s="545"/>
      <c r="BG243" s="545"/>
      <c r="BH243" s="545"/>
      <c r="BI243" s="545"/>
      <c r="BJ243" s="545"/>
      <c r="BK243" s="545"/>
      <c r="BL243" s="545"/>
      <c r="BM243" s="545"/>
      <c r="BN243" s="545"/>
      <c r="BO243" s="545"/>
      <c r="BP243" s="545"/>
      <c r="BQ243" s="545"/>
      <c r="BR243" s="546"/>
      <c r="BS243" s="544"/>
      <c r="BT243" s="545"/>
      <c r="BU243" s="545"/>
      <c r="BV243" s="545"/>
      <c r="BW243" s="545"/>
      <c r="BX243" s="545"/>
      <c r="BY243" s="545"/>
      <c r="BZ243" s="545"/>
      <c r="CA243" s="545"/>
      <c r="CB243" s="545"/>
      <c r="CC243" s="545"/>
      <c r="CD243" s="545"/>
      <c r="CE243" s="545"/>
      <c r="CF243" s="545"/>
      <c r="CG243" s="545"/>
      <c r="CH243" s="546"/>
      <c r="CI243" s="627"/>
      <c r="CJ243" s="628"/>
      <c r="CK243" s="628"/>
      <c r="CL243" s="628"/>
      <c r="CM243" s="628"/>
      <c r="CN243" s="628"/>
      <c r="CO243" s="628"/>
      <c r="CP243" s="628"/>
      <c r="CQ243" s="628"/>
      <c r="CR243" s="628"/>
      <c r="CS243" s="628"/>
      <c r="CT243" s="628"/>
      <c r="CU243" s="628"/>
      <c r="CV243" s="628"/>
      <c r="CW243" s="628"/>
      <c r="CX243" s="628"/>
      <c r="CY243" s="628"/>
      <c r="CZ243" s="629"/>
      <c r="DA243" s="214"/>
    </row>
    <row r="244" spans="1:105" s="16" customFormat="1" ht="15" hidden="1" customHeight="1" x14ac:dyDescent="0.3">
      <c r="A244" s="630" t="s">
        <v>444</v>
      </c>
      <c r="B244" s="631"/>
      <c r="C244" s="631"/>
      <c r="D244" s="631"/>
      <c r="E244" s="631"/>
      <c r="F244" s="631"/>
      <c r="G244" s="632"/>
      <c r="H244" s="584" t="s">
        <v>579</v>
      </c>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5"/>
      <c r="AL244" s="585"/>
      <c r="AM244" s="585"/>
      <c r="AN244" s="585"/>
      <c r="AO244" s="585"/>
      <c r="AP244" s="585"/>
      <c r="AQ244" s="585"/>
      <c r="AR244" s="585"/>
      <c r="AS244" s="585"/>
      <c r="AT244" s="585"/>
      <c r="AU244" s="585"/>
      <c r="AV244" s="585"/>
      <c r="AW244" s="585"/>
      <c r="AX244" s="585"/>
      <c r="AY244" s="585"/>
      <c r="AZ244" s="585"/>
      <c r="BA244" s="585"/>
      <c r="BB244" s="586"/>
      <c r="BC244" s="544"/>
      <c r="BD244" s="545"/>
      <c r="BE244" s="545"/>
      <c r="BF244" s="545"/>
      <c r="BG244" s="545"/>
      <c r="BH244" s="545"/>
      <c r="BI244" s="545"/>
      <c r="BJ244" s="545"/>
      <c r="BK244" s="545"/>
      <c r="BL244" s="545"/>
      <c r="BM244" s="545"/>
      <c r="BN244" s="545"/>
      <c r="BO244" s="545"/>
      <c r="BP244" s="545"/>
      <c r="BQ244" s="545"/>
      <c r="BR244" s="546"/>
      <c r="BS244" s="544"/>
      <c r="BT244" s="545"/>
      <c r="BU244" s="545"/>
      <c r="BV244" s="545"/>
      <c r="BW244" s="545"/>
      <c r="BX244" s="545"/>
      <c r="BY244" s="545"/>
      <c r="BZ244" s="545"/>
      <c r="CA244" s="545"/>
      <c r="CB244" s="545"/>
      <c r="CC244" s="545"/>
      <c r="CD244" s="545"/>
      <c r="CE244" s="545"/>
      <c r="CF244" s="545"/>
      <c r="CG244" s="545"/>
      <c r="CH244" s="546"/>
      <c r="CI244" s="627"/>
      <c r="CJ244" s="628"/>
      <c r="CK244" s="628"/>
      <c r="CL244" s="628"/>
      <c r="CM244" s="628"/>
      <c r="CN244" s="628"/>
      <c r="CO244" s="628"/>
      <c r="CP244" s="628"/>
      <c r="CQ244" s="628"/>
      <c r="CR244" s="628"/>
      <c r="CS244" s="628"/>
      <c r="CT244" s="628"/>
      <c r="CU244" s="628"/>
      <c r="CV244" s="628"/>
      <c r="CW244" s="628"/>
      <c r="CX244" s="628"/>
      <c r="CY244" s="628"/>
      <c r="CZ244" s="629"/>
      <c r="DA244" s="214"/>
    </row>
    <row r="245" spans="1:105" s="16" customFormat="1" ht="15" customHeight="1" x14ac:dyDescent="0.3">
      <c r="A245" s="630" t="s">
        <v>580</v>
      </c>
      <c r="B245" s="631"/>
      <c r="C245" s="631"/>
      <c r="D245" s="631"/>
      <c r="E245" s="631"/>
      <c r="F245" s="631"/>
      <c r="G245" s="632"/>
      <c r="H245" s="584" t="s">
        <v>581</v>
      </c>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5"/>
      <c r="AL245" s="585"/>
      <c r="AM245" s="585"/>
      <c r="AN245" s="585"/>
      <c r="AO245" s="585"/>
      <c r="AP245" s="585"/>
      <c r="AQ245" s="585"/>
      <c r="AR245" s="585"/>
      <c r="AS245" s="585"/>
      <c r="AT245" s="585"/>
      <c r="AU245" s="585"/>
      <c r="AV245" s="585"/>
      <c r="AW245" s="585"/>
      <c r="AX245" s="585"/>
      <c r="AY245" s="585"/>
      <c r="AZ245" s="585"/>
      <c r="BA245" s="585"/>
      <c r="BB245" s="586"/>
      <c r="BC245" s="544">
        <v>107</v>
      </c>
      <c r="BD245" s="545"/>
      <c r="BE245" s="545"/>
      <c r="BF245" s="545"/>
      <c r="BG245" s="545"/>
      <c r="BH245" s="545"/>
      <c r="BI245" s="545"/>
      <c r="BJ245" s="545"/>
      <c r="BK245" s="545"/>
      <c r="BL245" s="545"/>
      <c r="BM245" s="545"/>
      <c r="BN245" s="545"/>
      <c r="BO245" s="545"/>
      <c r="BP245" s="545"/>
      <c r="BQ245" s="545"/>
      <c r="BR245" s="546"/>
      <c r="BS245" s="544">
        <v>22</v>
      </c>
      <c r="BT245" s="545"/>
      <c r="BU245" s="545"/>
      <c r="BV245" s="545"/>
      <c r="BW245" s="545"/>
      <c r="BX245" s="545"/>
      <c r="BY245" s="545"/>
      <c r="BZ245" s="545"/>
      <c r="CA245" s="545"/>
      <c r="CB245" s="545"/>
      <c r="CC245" s="545"/>
      <c r="CD245" s="545"/>
      <c r="CE245" s="545"/>
      <c r="CF245" s="545"/>
      <c r="CG245" s="545"/>
      <c r="CH245" s="546"/>
      <c r="CI245" s="627">
        <f>BC245*BS245</f>
        <v>2354</v>
      </c>
      <c r="CJ245" s="628"/>
      <c r="CK245" s="628"/>
      <c r="CL245" s="628"/>
      <c r="CM245" s="628"/>
      <c r="CN245" s="628"/>
      <c r="CO245" s="628"/>
      <c r="CP245" s="628"/>
      <c r="CQ245" s="628"/>
      <c r="CR245" s="628"/>
      <c r="CS245" s="628"/>
      <c r="CT245" s="628"/>
      <c r="CU245" s="628"/>
      <c r="CV245" s="628"/>
      <c r="CW245" s="628"/>
      <c r="CX245" s="628"/>
      <c r="CY245" s="628"/>
      <c r="CZ245" s="629"/>
      <c r="DA245" s="214"/>
    </row>
    <row r="246" spans="1:105" s="16" customFormat="1" ht="15" hidden="1" customHeight="1" x14ac:dyDescent="0.3">
      <c r="A246" s="630" t="s">
        <v>444</v>
      </c>
      <c r="B246" s="631"/>
      <c r="C246" s="631"/>
      <c r="D246" s="631"/>
      <c r="E246" s="631"/>
      <c r="F246" s="631"/>
      <c r="G246" s="632"/>
      <c r="H246" s="584" t="s">
        <v>582</v>
      </c>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5"/>
      <c r="AL246" s="585"/>
      <c r="AM246" s="585"/>
      <c r="AN246" s="585"/>
      <c r="AO246" s="585"/>
      <c r="AP246" s="585"/>
      <c r="AQ246" s="585"/>
      <c r="AR246" s="585"/>
      <c r="AS246" s="585"/>
      <c r="AT246" s="585"/>
      <c r="AU246" s="585"/>
      <c r="AV246" s="585"/>
      <c r="AW246" s="585"/>
      <c r="AX246" s="585"/>
      <c r="AY246" s="585"/>
      <c r="AZ246" s="585"/>
      <c r="BA246" s="585"/>
      <c r="BB246" s="586"/>
      <c r="BC246" s="544"/>
      <c r="BD246" s="545"/>
      <c r="BE246" s="545"/>
      <c r="BF246" s="545"/>
      <c r="BG246" s="545"/>
      <c r="BH246" s="545"/>
      <c r="BI246" s="545"/>
      <c r="BJ246" s="545"/>
      <c r="BK246" s="545"/>
      <c r="BL246" s="545"/>
      <c r="BM246" s="545"/>
      <c r="BN246" s="545"/>
      <c r="BO246" s="545"/>
      <c r="BP246" s="545"/>
      <c r="BQ246" s="545"/>
      <c r="BR246" s="546"/>
      <c r="BS246" s="544">
        <v>32</v>
      </c>
      <c r="BT246" s="545"/>
      <c r="BU246" s="545"/>
      <c r="BV246" s="545"/>
      <c r="BW246" s="545"/>
      <c r="BX246" s="545"/>
      <c r="BY246" s="545"/>
      <c r="BZ246" s="545"/>
      <c r="CA246" s="545"/>
      <c r="CB246" s="545"/>
      <c r="CC246" s="545"/>
      <c r="CD246" s="545"/>
      <c r="CE246" s="545"/>
      <c r="CF246" s="545"/>
      <c r="CG246" s="545"/>
      <c r="CH246" s="546"/>
      <c r="CI246" s="627">
        <f t="shared" ref="CI246:CI247" si="1">BC246*BS246</f>
        <v>0</v>
      </c>
      <c r="CJ246" s="628"/>
      <c r="CK246" s="628"/>
      <c r="CL246" s="628"/>
      <c r="CM246" s="628"/>
      <c r="CN246" s="628"/>
      <c r="CO246" s="628"/>
      <c r="CP246" s="628"/>
      <c r="CQ246" s="628"/>
      <c r="CR246" s="628"/>
      <c r="CS246" s="628"/>
      <c r="CT246" s="628"/>
      <c r="CU246" s="628"/>
      <c r="CV246" s="628"/>
      <c r="CW246" s="628"/>
      <c r="CX246" s="628"/>
      <c r="CY246" s="628"/>
      <c r="CZ246" s="629"/>
      <c r="DA246" s="214"/>
    </row>
    <row r="247" spans="1:105" s="16" customFormat="1" ht="15" customHeight="1" x14ac:dyDescent="0.3">
      <c r="A247" s="630" t="s">
        <v>71</v>
      </c>
      <c r="B247" s="631"/>
      <c r="C247" s="631"/>
      <c r="D247" s="631"/>
      <c r="E247" s="631"/>
      <c r="F247" s="631"/>
      <c r="G247" s="632"/>
      <c r="H247" s="584" t="s">
        <v>583</v>
      </c>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5"/>
      <c r="AL247" s="585"/>
      <c r="AM247" s="585"/>
      <c r="AN247" s="585"/>
      <c r="AO247" s="585"/>
      <c r="AP247" s="585"/>
      <c r="AQ247" s="585"/>
      <c r="AR247" s="585"/>
      <c r="AS247" s="585"/>
      <c r="AT247" s="585"/>
      <c r="AU247" s="585"/>
      <c r="AV247" s="585"/>
      <c r="AW247" s="585"/>
      <c r="AX247" s="585"/>
      <c r="AY247" s="585"/>
      <c r="AZ247" s="585"/>
      <c r="BA247" s="585"/>
      <c r="BB247" s="586"/>
      <c r="BC247" s="544">
        <v>150</v>
      </c>
      <c r="BD247" s="545"/>
      <c r="BE247" s="545"/>
      <c r="BF247" s="545"/>
      <c r="BG247" s="545"/>
      <c r="BH247" s="545"/>
      <c r="BI247" s="545"/>
      <c r="BJ247" s="545"/>
      <c r="BK247" s="545"/>
      <c r="BL247" s="545"/>
      <c r="BM247" s="545"/>
      <c r="BN247" s="545"/>
      <c r="BO247" s="545"/>
      <c r="BP247" s="545"/>
      <c r="BQ247" s="545"/>
      <c r="BR247" s="546"/>
      <c r="BS247" s="544">
        <v>22</v>
      </c>
      <c r="BT247" s="545"/>
      <c r="BU247" s="545"/>
      <c r="BV247" s="545"/>
      <c r="BW247" s="545"/>
      <c r="BX247" s="545"/>
      <c r="BY247" s="545"/>
      <c r="BZ247" s="545"/>
      <c r="CA247" s="545"/>
      <c r="CB247" s="545"/>
      <c r="CC247" s="545"/>
      <c r="CD247" s="545"/>
      <c r="CE247" s="545"/>
      <c r="CF247" s="545"/>
      <c r="CG247" s="545"/>
      <c r="CH247" s="546"/>
      <c r="CI247" s="627">
        <f t="shared" si="1"/>
        <v>3300</v>
      </c>
      <c r="CJ247" s="628"/>
      <c r="CK247" s="628"/>
      <c r="CL247" s="628"/>
      <c r="CM247" s="628"/>
      <c r="CN247" s="628"/>
      <c r="CO247" s="628"/>
      <c r="CP247" s="628"/>
      <c r="CQ247" s="628"/>
      <c r="CR247" s="628"/>
      <c r="CS247" s="628"/>
      <c r="CT247" s="628"/>
      <c r="CU247" s="628"/>
      <c r="CV247" s="628"/>
      <c r="CW247" s="628"/>
      <c r="CX247" s="628"/>
      <c r="CY247" s="628"/>
      <c r="CZ247" s="629"/>
      <c r="DA247" s="214"/>
    </row>
    <row r="248" spans="1:105" s="16" customFormat="1" ht="15" customHeight="1" x14ac:dyDescent="0.3">
      <c r="A248" s="630" t="s">
        <v>462</v>
      </c>
      <c r="B248" s="631"/>
      <c r="C248" s="631"/>
      <c r="D248" s="631"/>
      <c r="E248" s="631"/>
      <c r="F248" s="631"/>
      <c r="G248" s="632"/>
      <c r="H248" s="584" t="s">
        <v>911</v>
      </c>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5"/>
      <c r="AL248" s="585"/>
      <c r="AM248" s="585"/>
      <c r="AN248" s="585"/>
      <c r="AO248" s="585"/>
      <c r="AP248" s="585"/>
      <c r="AQ248" s="585"/>
      <c r="AR248" s="585"/>
      <c r="AS248" s="585"/>
      <c r="AT248" s="585"/>
      <c r="AU248" s="585"/>
      <c r="AV248" s="585"/>
      <c r="AW248" s="585"/>
      <c r="AX248" s="585"/>
      <c r="AY248" s="585"/>
      <c r="AZ248" s="585"/>
      <c r="BA248" s="585"/>
      <c r="BB248" s="586"/>
      <c r="BC248" s="544">
        <v>106.1</v>
      </c>
      <c r="BD248" s="545"/>
      <c r="BE248" s="545"/>
      <c r="BF248" s="545"/>
      <c r="BG248" s="545"/>
      <c r="BH248" s="545"/>
      <c r="BI248" s="545"/>
      <c r="BJ248" s="545"/>
      <c r="BK248" s="545"/>
      <c r="BL248" s="545"/>
      <c r="BM248" s="545"/>
      <c r="BN248" s="545"/>
      <c r="BO248" s="545"/>
      <c r="BP248" s="545"/>
      <c r="BQ248" s="545"/>
      <c r="BR248" s="546"/>
      <c r="BS248" s="544">
        <v>22</v>
      </c>
      <c r="BT248" s="545"/>
      <c r="BU248" s="545"/>
      <c r="BV248" s="545"/>
      <c r="BW248" s="545"/>
      <c r="BX248" s="545"/>
      <c r="BY248" s="545"/>
      <c r="BZ248" s="545"/>
      <c r="CA248" s="545"/>
      <c r="CB248" s="545"/>
      <c r="CC248" s="545"/>
      <c r="CD248" s="545"/>
      <c r="CE248" s="545"/>
      <c r="CF248" s="545"/>
      <c r="CG248" s="545"/>
      <c r="CH248" s="546"/>
      <c r="CI248" s="627">
        <f>BC248*BS248+0.8</f>
        <v>2335</v>
      </c>
      <c r="CJ248" s="628"/>
      <c r="CK248" s="628"/>
      <c r="CL248" s="628"/>
      <c r="CM248" s="628"/>
      <c r="CN248" s="628"/>
      <c r="CO248" s="628"/>
      <c r="CP248" s="628"/>
      <c r="CQ248" s="628"/>
      <c r="CR248" s="628"/>
      <c r="CS248" s="628"/>
      <c r="CT248" s="628"/>
      <c r="CU248" s="628"/>
      <c r="CV248" s="628"/>
      <c r="CW248" s="628"/>
      <c r="CX248" s="628"/>
      <c r="CY248" s="628"/>
      <c r="CZ248" s="629"/>
      <c r="DA248" s="214"/>
    </row>
    <row r="249" spans="1:105" s="16" customFormat="1" ht="15" hidden="1" customHeight="1" x14ac:dyDescent="0.3">
      <c r="A249" s="659" t="s">
        <v>642</v>
      </c>
      <c r="B249" s="659"/>
      <c r="C249" s="659"/>
      <c r="D249" s="659"/>
      <c r="E249" s="659"/>
      <c r="F249" s="659"/>
      <c r="G249" s="659"/>
      <c r="H249" s="584" t="s">
        <v>845</v>
      </c>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5"/>
      <c r="AL249" s="585"/>
      <c r="AM249" s="585"/>
      <c r="AN249" s="585"/>
      <c r="AO249" s="585"/>
      <c r="AP249" s="585"/>
      <c r="AQ249" s="585"/>
      <c r="AR249" s="585"/>
      <c r="AS249" s="585"/>
      <c r="AT249" s="585"/>
      <c r="AU249" s="585"/>
      <c r="AV249" s="585"/>
      <c r="AW249" s="585"/>
      <c r="AX249" s="585"/>
      <c r="AY249" s="585"/>
      <c r="AZ249" s="585"/>
      <c r="BA249" s="585"/>
      <c r="BB249" s="586"/>
      <c r="BC249" s="544">
        <v>1</v>
      </c>
      <c r="BD249" s="545"/>
      <c r="BE249" s="545"/>
      <c r="BF249" s="545"/>
      <c r="BG249" s="545"/>
      <c r="BH249" s="545"/>
      <c r="BI249" s="545"/>
      <c r="BJ249" s="545"/>
      <c r="BK249" s="545"/>
      <c r="BL249" s="545"/>
      <c r="BM249" s="545"/>
      <c r="BN249" s="545"/>
      <c r="BO249" s="545"/>
      <c r="BP249" s="545"/>
      <c r="BQ249" s="545"/>
      <c r="BR249" s="546"/>
      <c r="BS249" s="544"/>
      <c r="BT249" s="545"/>
      <c r="BU249" s="545"/>
      <c r="BV249" s="545"/>
      <c r="BW249" s="545"/>
      <c r="BX249" s="545"/>
      <c r="BY249" s="545"/>
      <c r="BZ249" s="545"/>
      <c r="CA249" s="545"/>
      <c r="CB249" s="545"/>
      <c r="CC249" s="545"/>
      <c r="CD249" s="545"/>
      <c r="CE249" s="545"/>
      <c r="CF249" s="545"/>
      <c r="CG249" s="545"/>
      <c r="CH249" s="546"/>
      <c r="CI249" s="627">
        <f>BC249*BS249</f>
        <v>0</v>
      </c>
      <c r="CJ249" s="628"/>
      <c r="CK249" s="628"/>
      <c r="CL249" s="628"/>
      <c r="CM249" s="628"/>
      <c r="CN249" s="628"/>
      <c r="CO249" s="628"/>
      <c r="CP249" s="628"/>
      <c r="CQ249" s="628"/>
      <c r="CR249" s="628"/>
      <c r="CS249" s="628"/>
      <c r="CT249" s="628"/>
      <c r="CU249" s="628"/>
      <c r="CV249" s="628"/>
      <c r="CW249" s="628"/>
      <c r="CX249" s="628"/>
      <c r="CY249" s="628"/>
      <c r="CZ249" s="629"/>
      <c r="DA249" s="214"/>
    </row>
    <row r="250" spans="1:105" s="16" customFormat="1" ht="15" customHeight="1" x14ac:dyDescent="0.3">
      <c r="A250" s="633" t="s">
        <v>292</v>
      </c>
      <c r="B250" s="634"/>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4"/>
      <c r="AY250" s="634"/>
      <c r="AZ250" s="634"/>
      <c r="BA250" s="634"/>
      <c r="BB250" s="635"/>
      <c r="BC250" s="544" t="s">
        <v>4</v>
      </c>
      <c r="BD250" s="545"/>
      <c r="BE250" s="545"/>
      <c r="BF250" s="545"/>
      <c r="BG250" s="545"/>
      <c r="BH250" s="545"/>
      <c r="BI250" s="545"/>
      <c r="BJ250" s="545"/>
      <c r="BK250" s="545"/>
      <c r="BL250" s="545"/>
      <c r="BM250" s="545"/>
      <c r="BN250" s="545"/>
      <c r="BO250" s="545"/>
      <c r="BP250" s="545"/>
      <c r="BQ250" s="545"/>
      <c r="BR250" s="546"/>
      <c r="BS250" s="544" t="s">
        <v>4</v>
      </c>
      <c r="BT250" s="545"/>
      <c r="BU250" s="545"/>
      <c r="BV250" s="545"/>
      <c r="BW250" s="545"/>
      <c r="BX250" s="545"/>
      <c r="BY250" s="545"/>
      <c r="BZ250" s="545"/>
      <c r="CA250" s="545"/>
      <c r="CB250" s="545"/>
      <c r="CC250" s="545"/>
      <c r="CD250" s="545"/>
      <c r="CE250" s="545"/>
      <c r="CF250" s="545"/>
      <c r="CG250" s="545"/>
      <c r="CH250" s="546"/>
      <c r="CI250" s="636">
        <f>SUM(CI243:CZ249)</f>
        <v>7989</v>
      </c>
      <c r="CJ250" s="654"/>
      <c r="CK250" s="654"/>
      <c r="CL250" s="654"/>
      <c r="CM250" s="654"/>
      <c r="CN250" s="654"/>
      <c r="CO250" s="654"/>
      <c r="CP250" s="654"/>
      <c r="CQ250" s="654"/>
      <c r="CR250" s="654"/>
      <c r="CS250" s="654"/>
      <c r="CT250" s="654"/>
      <c r="CU250" s="654"/>
      <c r="CV250" s="654"/>
      <c r="CW250" s="654"/>
      <c r="CX250" s="654"/>
      <c r="CY250" s="654"/>
      <c r="CZ250" s="655"/>
      <c r="DA250" s="214"/>
    </row>
    <row r="251" spans="1:105" s="16" customFormat="1" ht="15" hidden="1" customHeight="1" x14ac:dyDescent="0.3">
      <c r="A251" s="648" t="s">
        <v>584</v>
      </c>
      <c r="B251" s="649"/>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9"/>
      <c r="AL251" s="649"/>
      <c r="AM251" s="649"/>
      <c r="AN251" s="649"/>
      <c r="AO251" s="649"/>
      <c r="AP251" s="649"/>
      <c r="AQ251" s="649"/>
      <c r="AR251" s="649"/>
      <c r="AS251" s="649"/>
      <c r="AT251" s="649"/>
      <c r="AU251" s="649"/>
      <c r="AV251" s="649"/>
      <c r="AW251" s="649"/>
      <c r="AX251" s="649"/>
      <c r="AY251" s="649"/>
      <c r="AZ251" s="649"/>
      <c r="BA251" s="649"/>
      <c r="BB251" s="649"/>
      <c r="BC251" s="649"/>
      <c r="BD251" s="649"/>
      <c r="BE251" s="649"/>
      <c r="BF251" s="649"/>
      <c r="BG251" s="649"/>
      <c r="BH251" s="649"/>
      <c r="BI251" s="649"/>
      <c r="BJ251" s="649"/>
      <c r="BK251" s="649"/>
      <c r="BL251" s="649"/>
      <c r="BM251" s="649"/>
      <c r="BN251" s="649"/>
      <c r="BO251" s="649"/>
      <c r="BP251" s="649"/>
      <c r="BQ251" s="649"/>
      <c r="BR251" s="649"/>
      <c r="BS251" s="649"/>
      <c r="BT251" s="649"/>
      <c r="BU251" s="649"/>
      <c r="BV251" s="649"/>
      <c r="BW251" s="649"/>
      <c r="BX251" s="649"/>
      <c r="BY251" s="649"/>
      <c r="BZ251" s="649"/>
      <c r="CA251" s="649"/>
      <c r="CB251" s="649"/>
      <c r="CC251" s="649"/>
      <c r="CD251" s="649"/>
      <c r="CE251" s="649"/>
      <c r="CF251" s="649"/>
      <c r="CG251" s="649"/>
      <c r="CH251" s="649"/>
      <c r="CI251" s="649"/>
      <c r="CJ251" s="649"/>
      <c r="CK251" s="649"/>
      <c r="CL251" s="649"/>
      <c r="CM251" s="649"/>
      <c r="CN251" s="649"/>
      <c r="CO251" s="649"/>
      <c r="CP251" s="649"/>
      <c r="CQ251" s="649"/>
      <c r="CR251" s="649"/>
      <c r="CS251" s="649"/>
      <c r="CT251" s="649"/>
      <c r="CU251" s="649"/>
      <c r="CV251" s="649"/>
      <c r="CW251" s="649"/>
      <c r="CX251" s="649"/>
      <c r="CY251" s="649"/>
      <c r="CZ251" s="649"/>
      <c r="DA251" s="214"/>
    </row>
    <row r="252" spans="1:105" s="16" customFormat="1" ht="15" hidden="1" customHeight="1" x14ac:dyDescent="0.3">
      <c r="A252" s="630" t="s">
        <v>580</v>
      </c>
      <c r="B252" s="631"/>
      <c r="C252" s="631"/>
      <c r="D252" s="631"/>
      <c r="E252" s="631"/>
      <c r="F252" s="631"/>
      <c r="G252" s="632"/>
      <c r="H252" s="584" t="s">
        <v>845</v>
      </c>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5"/>
      <c r="AL252" s="585"/>
      <c r="AM252" s="585"/>
      <c r="AN252" s="585"/>
      <c r="AO252" s="585"/>
      <c r="AP252" s="585"/>
      <c r="AQ252" s="585"/>
      <c r="AR252" s="585"/>
      <c r="AS252" s="585"/>
      <c r="AT252" s="585"/>
      <c r="AU252" s="585"/>
      <c r="AV252" s="585"/>
      <c r="AW252" s="585"/>
      <c r="AX252" s="585"/>
      <c r="AY252" s="585"/>
      <c r="AZ252" s="585"/>
      <c r="BA252" s="585"/>
      <c r="BB252" s="586"/>
      <c r="BC252" s="544"/>
      <c r="BD252" s="545"/>
      <c r="BE252" s="545"/>
      <c r="BF252" s="545"/>
      <c r="BG252" s="545"/>
      <c r="BH252" s="545"/>
      <c r="BI252" s="545"/>
      <c r="BJ252" s="545"/>
      <c r="BK252" s="545"/>
      <c r="BL252" s="545"/>
      <c r="BM252" s="545"/>
      <c r="BN252" s="545"/>
      <c r="BO252" s="545"/>
      <c r="BP252" s="545"/>
      <c r="BQ252" s="545"/>
      <c r="BR252" s="546"/>
      <c r="BS252" s="639"/>
      <c r="BT252" s="640"/>
      <c r="BU252" s="640"/>
      <c r="BV252" s="640"/>
      <c r="BW252" s="640"/>
      <c r="BX252" s="640"/>
      <c r="BY252" s="640"/>
      <c r="BZ252" s="640"/>
      <c r="CA252" s="640"/>
      <c r="CB252" s="640"/>
      <c r="CC252" s="640"/>
      <c r="CD252" s="640"/>
      <c r="CE252" s="640"/>
      <c r="CF252" s="640"/>
      <c r="CG252" s="640"/>
      <c r="CH252" s="641"/>
      <c r="CI252" s="627">
        <f>BC252*BS252</f>
        <v>0</v>
      </c>
      <c r="CJ252" s="628"/>
      <c r="CK252" s="628"/>
      <c r="CL252" s="628"/>
      <c r="CM252" s="628"/>
      <c r="CN252" s="628"/>
      <c r="CO252" s="628"/>
      <c r="CP252" s="628"/>
      <c r="CQ252" s="628"/>
      <c r="CR252" s="628"/>
      <c r="CS252" s="628"/>
      <c r="CT252" s="628"/>
      <c r="CU252" s="628"/>
      <c r="CV252" s="628"/>
      <c r="CW252" s="628"/>
      <c r="CX252" s="628"/>
      <c r="CY252" s="628"/>
      <c r="CZ252" s="629"/>
      <c r="DA252" s="214"/>
    </row>
    <row r="253" spans="1:105" s="16" customFormat="1" ht="15" hidden="1" customHeight="1" x14ac:dyDescent="0.3">
      <c r="A253" s="630" t="s">
        <v>444</v>
      </c>
      <c r="B253" s="631"/>
      <c r="C253" s="631"/>
      <c r="D253" s="631"/>
      <c r="E253" s="631"/>
      <c r="F253" s="631"/>
      <c r="G253" s="632"/>
      <c r="H253" s="584" t="s">
        <v>890</v>
      </c>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585"/>
      <c r="AY253" s="585"/>
      <c r="AZ253" s="585"/>
      <c r="BA253" s="585"/>
      <c r="BB253" s="586"/>
      <c r="BC253" s="544"/>
      <c r="BD253" s="545"/>
      <c r="BE253" s="545"/>
      <c r="BF253" s="545"/>
      <c r="BG253" s="545"/>
      <c r="BH253" s="545"/>
      <c r="BI253" s="545"/>
      <c r="BJ253" s="545"/>
      <c r="BK253" s="545"/>
      <c r="BL253" s="545"/>
      <c r="BM253" s="545"/>
      <c r="BN253" s="545"/>
      <c r="BO253" s="545"/>
      <c r="BP253" s="545"/>
      <c r="BQ253" s="545"/>
      <c r="BR253" s="546"/>
      <c r="BS253" s="639"/>
      <c r="BT253" s="640"/>
      <c r="BU253" s="640"/>
      <c r="BV253" s="640"/>
      <c r="BW253" s="640"/>
      <c r="BX253" s="640"/>
      <c r="BY253" s="640"/>
      <c r="BZ253" s="640"/>
      <c r="CA253" s="640"/>
      <c r="CB253" s="640"/>
      <c r="CC253" s="640"/>
      <c r="CD253" s="640"/>
      <c r="CE253" s="640"/>
      <c r="CF253" s="640"/>
      <c r="CG253" s="640"/>
      <c r="CH253" s="641"/>
      <c r="CI253" s="627">
        <f>BC253*BS253</f>
        <v>0</v>
      </c>
      <c r="CJ253" s="628"/>
      <c r="CK253" s="628"/>
      <c r="CL253" s="628"/>
      <c r="CM253" s="628"/>
      <c r="CN253" s="628"/>
      <c r="CO253" s="628"/>
      <c r="CP253" s="628"/>
      <c r="CQ253" s="628"/>
      <c r="CR253" s="628"/>
      <c r="CS253" s="628"/>
      <c r="CT253" s="628"/>
      <c r="CU253" s="628"/>
      <c r="CV253" s="628"/>
      <c r="CW253" s="628"/>
      <c r="CX253" s="628"/>
      <c r="CY253" s="628"/>
      <c r="CZ253" s="629"/>
      <c r="DA253" s="214"/>
    </row>
    <row r="254" spans="1:105" s="16" customFormat="1" ht="15" hidden="1" customHeight="1" x14ac:dyDescent="0.3">
      <c r="A254" s="633" t="s">
        <v>292</v>
      </c>
      <c r="B254" s="634"/>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4"/>
      <c r="AL254" s="634"/>
      <c r="AM254" s="634"/>
      <c r="AN254" s="634"/>
      <c r="AO254" s="634"/>
      <c r="AP254" s="634"/>
      <c r="AQ254" s="634"/>
      <c r="AR254" s="634"/>
      <c r="AS254" s="634"/>
      <c r="AT254" s="634"/>
      <c r="AU254" s="634"/>
      <c r="AV254" s="634"/>
      <c r="AW254" s="634"/>
      <c r="AX254" s="634"/>
      <c r="AY254" s="634"/>
      <c r="AZ254" s="634"/>
      <c r="BA254" s="634"/>
      <c r="BB254" s="635"/>
      <c r="BC254" s="544" t="s">
        <v>4</v>
      </c>
      <c r="BD254" s="545"/>
      <c r="BE254" s="545"/>
      <c r="BF254" s="545"/>
      <c r="BG254" s="545"/>
      <c r="BH254" s="545"/>
      <c r="BI254" s="545"/>
      <c r="BJ254" s="545"/>
      <c r="BK254" s="545"/>
      <c r="BL254" s="545"/>
      <c r="BM254" s="545"/>
      <c r="BN254" s="545"/>
      <c r="BO254" s="545"/>
      <c r="BP254" s="545"/>
      <c r="BQ254" s="545"/>
      <c r="BR254" s="546"/>
      <c r="BS254" s="544" t="s">
        <v>4</v>
      </c>
      <c r="BT254" s="545"/>
      <c r="BU254" s="545"/>
      <c r="BV254" s="545"/>
      <c r="BW254" s="545"/>
      <c r="BX254" s="545"/>
      <c r="BY254" s="545"/>
      <c r="BZ254" s="545"/>
      <c r="CA254" s="545"/>
      <c r="CB254" s="545"/>
      <c r="CC254" s="545"/>
      <c r="CD254" s="545"/>
      <c r="CE254" s="545"/>
      <c r="CF254" s="545"/>
      <c r="CG254" s="545"/>
      <c r="CH254" s="546"/>
      <c r="CI254" s="636">
        <f>SUM(CI252:CZ253)</f>
        <v>0</v>
      </c>
      <c r="CJ254" s="654"/>
      <c r="CK254" s="654"/>
      <c r="CL254" s="654"/>
      <c r="CM254" s="654"/>
      <c r="CN254" s="654"/>
      <c r="CO254" s="654"/>
      <c r="CP254" s="654"/>
      <c r="CQ254" s="654"/>
      <c r="CR254" s="654"/>
      <c r="CS254" s="654"/>
      <c r="CT254" s="654"/>
      <c r="CU254" s="654"/>
      <c r="CV254" s="654"/>
      <c r="CW254" s="654"/>
      <c r="CX254" s="654"/>
      <c r="CY254" s="654"/>
      <c r="CZ254" s="655"/>
      <c r="DA254" s="214"/>
    </row>
    <row r="255" spans="1:105" s="16" customFormat="1" ht="15" customHeight="1" x14ac:dyDescent="0.3">
      <c r="A255" s="553" t="s">
        <v>56</v>
      </c>
      <c r="B255" s="554"/>
      <c r="C255" s="554"/>
      <c r="D255" s="554"/>
      <c r="E255" s="554"/>
      <c r="F255" s="554"/>
      <c r="G255" s="554"/>
      <c r="H255" s="554"/>
      <c r="I255" s="554"/>
      <c r="J255" s="554"/>
      <c r="K255" s="554"/>
      <c r="L255" s="554"/>
      <c r="M255" s="554"/>
      <c r="N255" s="554"/>
      <c r="O255" s="554"/>
      <c r="P255" s="554"/>
      <c r="Q255" s="554"/>
      <c r="R255" s="554"/>
      <c r="S255" s="554"/>
      <c r="T255" s="554"/>
      <c r="U255" s="554"/>
      <c r="V255" s="554"/>
      <c r="W255" s="554"/>
      <c r="X255" s="554"/>
      <c r="Y255" s="554"/>
      <c r="Z255" s="554"/>
      <c r="AA255" s="554"/>
      <c r="AB255" s="554"/>
      <c r="AC255" s="554"/>
      <c r="AD255" s="554"/>
      <c r="AE255" s="554"/>
      <c r="AF255" s="554"/>
      <c r="AG255" s="554"/>
      <c r="AH255" s="554"/>
      <c r="AI255" s="554"/>
      <c r="AJ255" s="554"/>
      <c r="AK255" s="554"/>
      <c r="AL255" s="554"/>
      <c r="AM255" s="554"/>
      <c r="AN255" s="554"/>
      <c r="AO255" s="554"/>
      <c r="AP255" s="554"/>
      <c r="AQ255" s="554"/>
      <c r="AR255" s="554"/>
      <c r="AS255" s="554"/>
      <c r="AT255" s="554"/>
      <c r="AU255" s="554"/>
      <c r="AV255" s="554"/>
      <c r="AW255" s="554"/>
      <c r="AX255" s="554"/>
      <c r="AY255" s="554"/>
      <c r="AZ255" s="554"/>
      <c r="BA255" s="554"/>
      <c r="BB255" s="555"/>
      <c r="BC255" s="582" t="s">
        <v>4</v>
      </c>
      <c r="BD255" s="582"/>
      <c r="BE255" s="582"/>
      <c r="BF255" s="582"/>
      <c r="BG255" s="582"/>
      <c r="BH255" s="582"/>
      <c r="BI255" s="582"/>
      <c r="BJ255" s="582"/>
      <c r="BK255" s="582"/>
      <c r="BL255" s="582"/>
      <c r="BM255" s="582"/>
      <c r="BN255" s="582"/>
      <c r="BO255" s="582"/>
      <c r="BP255" s="582"/>
      <c r="BQ255" s="582"/>
      <c r="BR255" s="582"/>
      <c r="BS255" s="582" t="s">
        <v>4</v>
      </c>
      <c r="BT255" s="582"/>
      <c r="BU255" s="582"/>
      <c r="BV255" s="582"/>
      <c r="BW255" s="582"/>
      <c r="BX255" s="582"/>
      <c r="BY255" s="582"/>
      <c r="BZ255" s="582"/>
      <c r="CA255" s="582"/>
      <c r="CB255" s="582"/>
      <c r="CC255" s="582"/>
      <c r="CD255" s="582"/>
      <c r="CE255" s="582"/>
      <c r="CF255" s="582"/>
      <c r="CG255" s="582"/>
      <c r="CH255" s="582"/>
      <c r="CI255" s="611">
        <f>CI250+CI254</f>
        <v>7989</v>
      </c>
      <c r="CJ255" s="560"/>
      <c r="CK255" s="560"/>
      <c r="CL255" s="560"/>
      <c r="CM255" s="560"/>
      <c r="CN255" s="560"/>
      <c r="CO255" s="560"/>
      <c r="CP255" s="560"/>
      <c r="CQ255" s="560"/>
      <c r="CR255" s="560"/>
      <c r="CS255" s="560"/>
      <c r="CT255" s="560"/>
      <c r="CU255" s="560"/>
      <c r="CV255" s="560"/>
      <c r="CW255" s="560"/>
      <c r="CX255" s="560"/>
      <c r="CY255" s="560"/>
      <c r="CZ255" s="560"/>
      <c r="DA255" s="220"/>
    </row>
    <row r="256" spans="1:105" s="16" customFormat="1" ht="15" customHeight="1" x14ac:dyDescent="0.3">
      <c r="A256" s="221"/>
      <c r="B256" s="221"/>
      <c r="C256" s="221"/>
      <c r="D256" s="221"/>
      <c r="E256" s="221"/>
      <c r="F256" s="221"/>
      <c r="G256" s="221"/>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14"/>
    </row>
    <row r="257" spans="1:105" s="20" customFormat="1" ht="29.25" customHeight="1" x14ac:dyDescent="0.25">
      <c r="A257" s="524" t="s">
        <v>281</v>
      </c>
      <c r="B257" s="524"/>
      <c r="C257" s="524"/>
      <c r="D257" s="524"/>
      <c r="E257" s="524"/>
      <c r="F257" s="524"/>
      <c r="G257" s="524"/>
      <c r="H257" s="524"/>
      <c r="I257" s="524"/>
      <c r="J257" s="524"/>
      <c r="K257" s="524"/>
      <c r="L257" s="524"/>
      <c r="M257" s="524"/>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4"/>
      <c r="AJ257" s="524"/>
      <c r="AK257" s="524"/>
      <c r="AL257" s="524"/>
      <c r="AM257" s="524"/>
      <c r="AN257" s="524"/>
      <c r="AO257" s="524"/>
      <c r="AP257" s="524"/>
      <c r="AQ257" s="524"/>
      <c r="AR257" s="524"/>
      <c r="AS257" s="524"/>
      <c r="AT257" s="524"/>
      <c r="AU257" s="524"/>
      <c r="AV257" s="524"/>
      <c r="AW257" s="524"/>
      <c r="AX257" s="524"/>
      <c r="AY257" s="524"/>
      <c r="AZ257" s="524"/>
      <c r="BA257" s="524"/>
      <c r="BB257" s="524"/>
      <c r="BC257" s="524"/>
      <c r="BD257" s="524"/>
      <c r="BE257" s="524"/>
      <c r="BF257" s="524"/>
      <c r="BG257" s="524"/>
      <c r="BH257" s="524"/>
      <c r="BI257" s="524"/>
      <c r="BJ257" s="524"/>
      <c r="BK257" s="524"/>
      <c r="BL257" s="524"/>
      <c r="BM257" s="524"/>
      <c r="BN257" s="524"/>
      <c r="BO257" s="524"/>
      <c r="BP257" s="524"/>
      <c r="BQ257" s="524"/>
      <c r="BR257" s="524"/>
      <c r="BS257" s="524"/>
      <c r="BT257" s="524"/>
      <c r="BU257" s="524"/>
      <c r="BV257" s="524"/>
      <c r="BW257" s="524"/>
      <c r="BX257" s="524"/>
      <c r="BY257" s="524"/>
      <c r="BZ257" s="524"/>
      <c r="CA257" s="524"/>
      <c r="CB257" s="524"/>
      <c r="CC257" s="524"/>
      <c r="CD257" s="524"/>
      <c r="CE257" s="524"/>
      <c r="CF257" s="524"/>
      <c r="CG257" s="524"/>
      <c r="CH257" s="524"/>
      <c r="CI257" s="524"/>
      <c r="CJ257" s="524"/>
      <c r="CK257" s="524"/>
      <c r="CL257" s="524"/>
      <c r="CM257" s="524"/>
      <c r="CN257" s="524"/>
      <c r="CO257" s="524"/>
      <c r="CP257" s="524"/>
      <c r="CQ257" s="524"/>
      <c r="CR257" s="524"/>
      <c r="CS257" s="524"/>
      <c r="CT257" s="524"/>
      <c r="CU257" s="524"/>
      <c r="CV257" s="524"/>
      <c r="CW257" s="524"/>
      <c r="CX257" s="524"/>
      <c r="CY257" s="524"/>
      <c r="CZ257" s="524"/>
    </row>
    <row r="258" spans="1:105" ht="11.25" customHeight="1" x14ac:dyDescent="0.25"/>
    <row r="259" spans="1:105" s="20" customFormat="1" x14ac:dyDescent="0.25">
      <c r="A259" s="20" t="s">
        <v>47</v>
      </c>
      <c r="W259" s="595" t="s">
        <v>585</v>
      </c>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5"/>
      <c r="AS259" s="595"/>
      <c r="AT259" s="595"/>
      <c r="AU259" s="595"/>
      <c r="AV259" s="595"/>
      <c r="AW259" s="595"/>
      <c r="AX259" s="595"/>
      <c r="AY259" s="595"/>
      <c r="AZ259" s="595"/>
      <c r="BA259" s="595"/>
      <c r="BB259" s="595"/>
      <c r="BC259" s="595"/>
      <c r="BD259" s="595"/>
      <c r="BE259" s="595"/>
      <c r="BF259" s="595"/>
      <c r="BG259" s="595"/>
      <c r="BH259" s="595"/>
      <c r="BI259" s="595"/>
      <c r="BJ259" s="595"/>
      <c r="BK259" s="595"/>
      <c r="BL259" s="595"/>
      <c r="BM259" s="595"/>
      <c r="BN259" s="595"/>
      <c r="BO259" s="595"/>
      <c r="BP259" s="595"/>
      <c r="BQ259" s="595"/>
      <c r="BR259" s="595"/>
      <c r="BS259" s="595"/>
      <c r="BT259" s="595"/>
      <c r="BU259" s="595"/>
      <c r="BV259" s="595"/>
      <c r="BW259" s="595"/>
      <c r="BX259" s="595"/>
      <c r="BY259" s="595"/>
      <c r="BZ259" s="595"/>
      <c r="CA259" s="595"/>
      <c r="CB259" s="595"/>
      <c r="CC259" s="595"/>
      <c r="CD259" s="595"/>
      <c r="CE259" s="595"/>
      <c r="CF259" s="595"/>
      <c r="CG259" s="595"/>
      <c r="CH259" s="595"/>
      <c r="CI259" s="595"/>
      <c r="CJ259" s="595"/>
      <c r="CK259" s="595"/>
      <c r="CL259" s="595"/>
      <c r="CM259" s="595"/>
      <c r="CN259" s="595"/>
      <c r="CO259" s="595"/>
      <c r="CP259" s="595"/>
      <c r="CQ259" s="595"/>
      <c r="CR259" s="595"/>
      <c r="CS259" s="595"/>
      <c r="CT259" s="595"/>
      <c r="CU259" s="595"/>
      <c r="CV259" s="595"/>
      <c r="CW259" s="595"/>
      <c r="CX259" s="595"/>
      <c r="CY259" s="595"/>
      <c r="CZ259" s="595"/>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75" t="s">
        <v>49</v>
      </c>
      <c r="B261" s="476"/>
      <c r="C261" s="476"/>
      <c r="D261" s="476"/>
      <c r="E261" s="476"/>
      <c r="F261" s="476"/>
      <c r="G261" s="477"/>
      <c r="H261" s="475" t="s">
        <v>0</v>
      </c>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c r="AK261" s="476"/>
      <c r="AL261" s="476"/>
      <c r="AM261" s="476"/>
      <c r="AN261" s="476"/>
      <c r="AO261" s="476"/>
      <c r="AP261" s="476"/>
      <c r="AQ261" s="476"/>
      <c r="AR261" s="476"/>
      <c r="AS261" s="476"/>
      <c r="AT261" s="476"/>
      <c r="AU261" s="476"/>
      <c r="AV261" s="476"/>
      <c r="AW261" s="476"/>
      <c r="AX261" s="476"/>
      <c r="AY261" s="476"/>
      <c r="AZ261" s="476"/>
      <c r="BA261" s="476"/>
      <c r="BB261" s="477"/>
      <c r="BC261" s="597" t="s">
        <v>79</v>
      </c>
      <c r="BD261" s="598"/>
      <c r="BE261" s="598"/>
      <c r="BF261" s="598"/>
      <c r="BG261" s="598"/>
      <c r="BH261" s="598"/>
      <c r="BI261" s="598"/>
      <c r="BJ261" s="598"/>
      <c r="BK261" s="598"/>
      <c r="BL261" s="598"/>
      <c r="BM261" s="598"/>
      <c r="BN261" s="598"/>
      <c r="BO261" s="598"/>
      <c r="BP261" s="598"/>
      <c r="BQ261" s="598"/>
      <c r="BR261" s="599"/>
      <c r="BS261" s="606" t="s">
        <v>80</v>
      </c>
      <c r="BT261" s="606"/>
      <c r="BU261" s="606"/>
      <c r="BV261" s="606"/>
      <c r="BW261" s="606"/>
      <c r="BX261" s="606"/>
      <c r="BY261" s="606"/>
      <c r="BZ261" s="606"/>
      <c r="CA261" s="606"/>
      <c r="CB261" s="606"/>
      <c r="CC261" s="606"/>
      <c r="CD261" s="606"/>
      <c r="CE261" s="606"/>
      <c r="CF261" s="606"/>
      <c r="CG261" s="606"/>
      <c r="CH261" s="606"/>
      <c r="CI261" s="606" t="s">
        <v>81</v>
      </c>
      <c r="CJ261" s="606"/>
      <c r="CK261" s="606"/>
      <c r="CL261" s="606"/>
      <c r="CM261" s="606"/>
      <c r="CN261" s="606"/>
      <c r="CO261" s="606"/>
      <c r="CP261" s="606"/>
      <c r="CQ261" s="606"/>
      <c r="CR261" s="606"/>
      <c r="CS261" s="606"/>
      <c r="CT261" s="606"/>
      <c r="CU261" s="606"/>
      <c r="CV261" s="606"/>
      <c r="CW261" s="606"/>
      <c r="CX261" s="606"/>
      <c r="CY261" s="606"/>
      <c r="CZ261" s="606"/>
      <c r="DA261" s="218"/>
    </row>
    <row r="262" spans="1:105" s="15" customFormat="1" ht="13.2" x14ac:dyDescent="0.3">
      <c r="A262" s="591">
        <v>1</v>
      </c>
      <c r="B262" s="591"/>
      <c r="C262" s="591"/>
      <c r="D262" s="591"/>
      <c r="E262" s="591"/>
      <c r="F262" s="591"/>
      <c r="G262" s="591"/>
      <c r="H262" s="591">
        <v>2</v>
      </c>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1"/>
      <c r="AL262" s="591"/>
      <c r="AM262" s="591"/>
      <c r="AN262" s="591"/>
      <c r="AO262" s="591"/>
      <c r="AP262" s="591"/>
      <c r="AQ262" s="591"/>
      <c r="AR262" s="591"/>
      <c r="AS262" s="591"/>
      <c r="AT262" s="591"/>
      <c r="AU262" s="591"/>
      <c r="AV262" s="591"/>
      <c r="AW262" s="591"/>
      <c r="AX262" s="591"/>
      <c r="AY262" s="591"/>
      <c r="AZ262" s="591"/>
      <c r="BA262" s="591"/>
      <c r="BB262" s="591"/>
      <c r="BC262" s="591">
        <v>3</v>
      </c>
      <c r="BD262" s="591"/>
      <c r="BE262" s="591"/>
      <c r="BF262" s="591"/>
      <c r="BG262" s="591"/>
      <c r="BH262" s="591"/>
      <c r="BI262" s="591"/>
      <c r="BJ262" s="591"/>
      <c r="BK262" s="591"/>
      <c r="BL262" s="591"/>
      <c r="BM262" s="591"/>
      <c r="BN262" s="591"/>
      <c r="BO262" s="591"/>
      <c r="BP262" s="591"/>
      <c r="BQ262" s="591"/>
      <c r="BR262" s="591"/>
      <c r="BS262" s="591">
        <v>4</v>
      </c>
      <c r="BT262" s="591"/>
      <c r="BU262" s="591"/>
      <c r="BV262" s="591"/>
      <c r="BW262" s="591"/>
      <c r="BX262" s="591"/>
      <c r="BY262" s="591"/>
      <c r="BZ262" s="591"/>
      <c r="CA262" s="591"/>
      <c r="CB262" s="591"/>
      <c r="CC262" s="591"/>
      <c r="CD262" s="591"/>
      <c r="CE262" s="591"/>
      <c r="CF262" s="591"/>
      <c r="CG262" s="591"/>
      <c r="CH262" s="591"/>
      <c r="CI262" s="591">
        <v>5</v>
      </c>
      <c r="CJ262" s="591"/>
      <c r="CK262" s="591"/>
      <c r="CL262" s="591"/>
      <c r="CM262" s="591"/>
      <c r="CN262" s="591"/>
      <c r="CO262" s="591"/>
      <c r="CP262" s="591"/>
      <c r="CQ262" s="591"/>
      <c r="CR262" s="591"/>
      <c r="CS262" s="591"/>
      <c r="CT262" s="591"/>
      <c r="CU262" s="591"/>
      <c r="CV262" s="591"/>
      <c r="CW262" s="591"/>
      <c r="CX262" s="591"/>
      <c r="CY262" s="591"/>
      <c r="CZ262" s="591"/>
      <c r="DA262" s="219"/>
    </row>
    <row r="263" spans="1:105" s="16" customFormat="1" ht="15" customHeight="1" x14ac:dyDescent="0.3">
      <c r="A263" s="648" t="s">
        <v>584</v>
      </c>
      <c r="B263" s="649"/>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9"/>
      <c r="AL263" s="649"/>
      <c r="AM263" s="649"/>
      <c r="AN263" s="649"/>
      <c r="AO263" s="649"/>
      <c r="AP263" s="649"/>
      <c r="AQ263" s="649"/>
      <c r="AR263" s="649"/>
      <c r="AS263" s="649"/>
      <c r="AT263" s="649"/>
      <c r="AU263" s="649"/>
      <c r="AV263" s="649"/>
      <c r="AW263" s="649"/>
      <c r="AX263" s="649"/>
      <c r="AY263" s="649"/>
      <c r="AZ263" s="649"/>
      <c r="BA263" s="649"/>
      <c r="BB263" s="649"/>
      <c r="BC263" s="649"/>
      <c r="BD263" s="649"/>
      <c r="BE263" s="649"/>
      <c r="BF263" s="649"/>
      <c r="BG263" s="649"/>
      <c r="BH263" s="649"/>
      <c r="BI263" s="649"/>
      <c r="BJ263" s="649"/>
      <c r="BK263" s="649"/>
      <c r="BL263" s="649"/>
      <c r="BM263" s="649"/>
      <c r="BN263" s="649"/>
      <c r="BO263" s="649"/>
      <c r="BP263" s="649"/>
      <c r="BQ263" s="649"/>
      <c r="BR263" s="649"/>
      <c r="BS263" s="649"/>
      <c r="BT263" s="649"/>
      <c r="BU263" s="649"/>
      <c r="BV263" s="649"/>
      <c r="BW263" s="649"/>
      <c r="BX263" s="649"/>
      <c r="BY263" s="649"/>
      <c r="BZ263" s="649"/>
      <c r="CA263" s="649"/>
      <c r="CB263" s="649"/>
      <c r="CC263" s="649"/>
      <c r="CD263" s="649"/>
      <c r="CE263" s="649"/>
      <c r="CF263" s="649"/>
      <c r="CG263" s="649"/>
      <c r="CH263" s="649"/>
      <c r="CI263" s="649"/>
      <c r="CJ263" s="649"/>
      <c r="CK263" s="649"/>
      <c r="CL263" s="649"/>
      <c r="CM263" s="649"/>
      <c r="CN263" s="649"/>
      <c r="CO263" s="649"/>
      <c r="CP263" s="649"/>
      <c r="CQ263" s="649"/>
      <c r="CR263" s="649"/>
      <c r="CS263" s="649"/>
      <c r="CT263" s="649"/>
      <c r="CU263" s="649"/>
      <c r="CV263" s="649"/>
      <c r="CW263" s="649"/>
      <c r="CX263" s="649"/>
      <c r="CY263" s="649"/>
      <c r="CZ263" s="649"/>
      <c r="DA263" s="214"/>
    </row>
    <row r="264" spans="1:105" s="16" customFormat="1" ht="15" hidden="1" customHeight="1" x14ac:dyDescent="0.3">
      <c r="A264" s="630" t="s">
        <v>441</v>
      </c>
      <c r="B264" s="631"/>
      <c r="C264" s="631"/>
      <c r="D264" s="631"/>
      <c r="E264" s="631"/>
      <c r="F264" s="631"/>
      <c r="G264" s="632"/>
      <c r="H264" s="584" t="s">
        <v>586</v>
      </c>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5"/>
      <c r="AL264" s="585"/>
      <c r="AM264" s="585"/>
      <c r="AN264" s="585"/>
      <c r="AO264" s="585"/>
      <c r="AP264" s="585"/>
      <c r="AQ264" s="585"/>
      <c r="AR264" s="585"/>
      <c r="AS264" s="585"/>
      <c r="AT264" s="585"/>
      <c r="AU264" s="585"/>
      <c r="AV264" s="585"/>
      <c r="AW264" s="585"/>
      <c r="AX264" s="585"/>
      <c r="AY264" s="585"/>
      <c r="AZ264" s="585"/>
      <c r="BA264" s="585"/>
      <c r="BB264" s="586"/>
      <c r="BC264" s="544">
        <v>1</v>
      </c>
      <c r="BD264" s="545"/>
      <c r="BE264" s="545"/>
      <c r="BF264" s="545"/>
      <c r="BG264" s="545"/>
      <c r="BH264" s="545"/>
      <c r="BI264" s="545"/>
      <c r="BJ264" s="545"/>
      <c r="BK264" s="545"/>
      <c r="BL264" s="545"/>
      <c r="BM264" s="545"/>
      <c r="BN264" s="545"/>
      <c r="BO264" s="545"/>
      <c r="BP264" s="545"/>
      <c r="BQ264" s="545"/>
      <c r="BR264" s="546"/>
      <c r="BS264" s="639">
        <v>0</v>
      </c>
      <c r="BT264" s="640"/>
      <c r="BU264" s="640"/>
      <c r="BV264" s="640"/>
      <c r="BW264" s="640"/>
      <c r="BX264" s="640"/>
      <c r="BY264" s="640"/>
      <c r="BZ264" s="640"/>
      <c r="CA264" s="640"/>
      <c r="CB264" s="640"/>
      <c r="CC264" s="640"/>
      <c r="CD264" s="640"/>
      <c r="CE264" s="640"/>
      <c r="CF264" s="640"/>
      <c r="CG264" s="640"/>
      <c r="CH264" s="641"/>
      <c r="CI264" s="627">
        <f>BC264*BS264</f>
        <v>0</v>
      </c>
      <c r="CJ264" s="628"/>
      <c r="CK264" s="628"/>
      <c r="CL264" s="628"/>
      <c r="CM264" s="628"/>
      <c r="CN264" s="628"/>
      <c r="CO264" s="628"/>
      <c r="CP264" s="628"/>
      <c r="CQ264" s="628"/>
      <c r="CR264" s="628"/>
      <c r="CS264" s="628"/>
      <c r="CT264" s="628"/>
      <c r="CU264" s="628"/>
      <c r="CV264" s="628"/>
      <c r="CW264" s="628"/>
      <c r="CX264" s="628"/>
      <c r="CY264" s="628"/>
      <c r="CZ264" s="629"/>
      <c r="DA264" s="214"/>
    </row>
    <row r="265" spans="1:105" s="16" customFormat="1" ht="15" hidden="1" customHeight="1" x14ac:dyDescent="0.3">
      <c r="A265" s="633" t="s">
        <v>292</v>
      </c>
      <c r="B265" s="634"/>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4"/>
      <c r="AL265" s="634"/>
      <c r="AM265" s="634"/>
      <c r="AN265" s="634"/>
      <c r="AO265" s="634"/>
      <c r="AP265" s="634"/>
      <c r="AQ265" s="634"/>
      <c r="AR265" s="634"/>
      <c r="AS265" s="634"/>
      <c r="AT265" s="634"/>
      <c r="AU265" s="634"/>
      <c r="AV265" s="634"/>
      <c r="AW265" s="634"/>
      <c r="AX265" s="634"/>
      <c r="AY265" s="634"/>
      <c r="AZ265" s="634"/>
      <c r="BA265" s="634"/>
      <c r="BB265" s="635"/>
      <c r="BC265" s="544" t="s">
        <v>4</v>
      </c>
      <c r="BD265" s="545"/>
      <c r="BE265" s="545"/>
      <c r="BF265" s="545"/>
      <c r="BG265" s="545"/>
      <c r="BH265" s="545"/>
      <c r="BI265" s="545"/>
      <c r="BJ265" s="545"/>
      <c r="BK265" s="545"/>
      <c r="BL265" s="545"/>
      <c r="BM265" s="545"/>
      <c r="BN265" s="545"/>
      <c r="BO265" s="545"/>
      <c r="BP265" s="545"/>
      <c r="BQ265" s="545"/>
      <c r="BR265" s="546"/>
      <c r="BS265" s="544" t="s">
        <v>4</v>
      </c>
      <c r="BT265" s="545"/>
      <c r="BU265" s="545"/>
      <c r="BV265" s="545"/>
      <c r="BW265" s="545"/>
      <c r="BX265" s="545"/>
      <c r="BY265" s="545"/>
      <c r="BZ265" s="545"/>
      <c r="CA265" s="545"/>
      <c r="CB265" s="545"/>
      <c r="CC265" s="545"/>
      <c r="CD265" s="545"/>
      <c r="CE265" s="545"/>
      <c r="CF265" s="545"/>
      <c r="CG265" s="545"/>
      <c r="CH265" s="546"/>
      <c r="CI265" s="636">
        <f>CI264</f>
        <v>0</v>
      </c>
      <c r="CJ265" s="654"/>
      <c r="CK265" s="654"/>
      <c r="CL265" s="654"/>
      <c r="CM265" s="654"/>
      <c r="CN265" s="654"/>
      <c r="CO265" s="654"/>
      <c r="CP265" s="654"/>
      <c r="CQ265" s="654"/>
      <c r="CR265" s="654"/>
      <c r="CS265" s="654"/>
      <c r="CT265" s="654"/>
      <c r="CU265" s="654"/>
      <c r="CV265" s="654"/>
      <c r="CW265" s="654"/>
      <c r="CX265" s="654"/>
      <c r="CY265" s="654"/>
      <c r="CZ265" s="655"/>
      <c r="DA265" s="214"/>
    </row>
    <row r="266" spans="1:105" s="16" customFormat="1" ht="15" hidden="1" customHeight="1" x14ac:dyDescent="0.3">
      <c r="A266" s="648" t="s">
        <v>258</v>
      </c>
      <c r="B266" s="649"/>
      <c r="C266" s="649"/>
      <c r="D266" s="649"/>
      <c r="E266" s="649"/>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49"/>
      <c r="AC266" s="649"/>
      <c r="AD266" s="649"/>
      <c r="AE266" s="649"/>
      <c r="AF266" s="649"/>
      <c r="AG266" s="649"/>
      <c r="AH266" s="649"/>
      <c r="AI266" s="649"/>
      <c r="AJ266" s="649"/>
      <c r="AK266" s="649"/>
      <c r="AL266" s="649"/>
      <c r="AM266" s="649"/>
      <c r="AN266" s="649"/>
      <c r="AO266" s="649"/>
      <c r="AP266" s="649"/>
      <c r="AQ266" s="649"/>
      <c r="AR266" s="649"/>
      <c r="AS266" s="649"/>
      <c r="AT266" s="649"/>
      <c r="AU266" s="649"/>
      <c r="AV266" s="649"/>
      <c r="AW266" s="649"/>
      <c r="AX266" s="649"/>
      <c r="AY266" s="649"/>
      <c r="AZ266" s="649"/>
      <c r="BA266" s="649"/>
      <c r="BB266" s="649"/>
      <c r="BC266" s="649"/>
      <c r="BD266" s="649"/>
      <c r="BE266" s="649"/>
      <c r="BF266" s="649"/>
      <c r="BG266" s="649"/>
      <c r="BH266" s="649"/>
      <c r="BI266" s="649"/>
      <c r="BJ266" s="649"/>
      <c r="BK266" s="649"/>
      <c r="BL266" s="649"/>
      <c r="BM266" s="649"/>
      <c r="BN266" s="649"/>
      <c r="BO266" s="649"/>
      <c r="BP266" s="649"/>
      <c r="BQ266" s="649"/>
      <c r="BR266" s="649"/>
      <c r="BS266" s="649"/>
      <c r="BT266" s="649"/>
      <c r="BU266" s="649"/>
      <c r="BV266" s="649"/>
      <c r="BW266" s="649"/>
      <c r="BX266" s="649"/>
      <c r="BY266" s="649"/>
      <c r="BZ266" s="649"/>
      <c r="CA266" s="649"/>
      <c r="CB266" s="649"/>
      <c r="CC266" s="649"/>
      <c r="CD266" s="649"/>
      <c r="CE266" s="649"/>
      <c r="CF266" s="649"/>
      <c r="CG266" s="649"/>
      <c r="CH266" s="649"/>
      <c r="CI266" s="649"/>
      <c r="CJ266" s="649"/>
      <c r="CK266" s="649"/>
      <c r="CL266" s="649"/>
      <c r="CM266" s="649"/>
      <c r="CN266" s="649"/>
      <c r="CO266" s="649"/>
      <c r="CP266" s="649"/>
      <c r="CQ266" s="649"/>
      <c r="CR266" s="649"/>
      <c r="CS266" s="649"/>
      <c r="CT266" s="649"/>
      <c r="CU266" s="649"/>
      <c r="CV266" s="649"/>
      <c r="CW266" s="649"/>
      <c r="CX266" s="649"/>
      <c r="CY266" s="649"/>
      <c r="CZ266" s="649"/>
      <c r="DA266" s="214"/>
    </row>
    <row r="267" spans="1:105" s="16" customFormat="1" ht="15" hidden="1" customHeight="1" x14ac:dyDescent="0.3">
      <c r="A267" s="630"/>
      <c r="B267" s="631"/>
      <c r="C267" s="631"/>
      <c r="D267" s="631"/>
      <c r="E267" s="631"/>
      <c r="F267" s="631"/>
      <c r="G267" s="632"/>
      <c r="H267" s="584"/>
      <c r="I267" s="585"/>
      <c r="J267" s="585"/>
      <c r="K267" s="585"/>
      <c r="L267" s="585"/>
      <c r="M267" s="585"/>
      <c r="N267" s="585"/>
      <c r="O267" s="585"/>
      <c r="P267" s="585"/>
      <c r="Q267" s="585"/>
      <c r="R267" s="585"/>
      <c r="S267" s="585"/>
      <c r="T267" s="585"/>
      <c r="U267" s="585"/>
      <c r="V267" s="585"/>
      <c r="W267" s="585"/>
      <c r="X267" s="585"/>
      <c r="Y267" s="585"/>
      <c r="Z267" s="585"/>
      <c r="AA267" s="585"/>
      <c r="AB267" s="585"/>
      <c r="AC267" s="585"/>
      <c r="AD267" s="585"/>
      <c r="AE267" s="585"/>
      <c r="AF267" s="585"/>
      <c r="AG267" s="585"/>
      <c r="AH267" s="585"/>
      <c r="AI267" s="585"/>
      <c r="AJ267" s="585"/>
      <c r="AK267" s="585"/>
      <c r="AL267" s="585"/>
      <c r="AM267" s="585"/>
      <c r="AN267" s="585"/>
      <c r="AO267" s="585"/>
      <c r="AP267" s="585"/>
      <c r="AQ267" s="585"/>
      <c r="AR267" s="585"/>
      <c r="AS267" s="585"/>
      <c r="AT267" s="585"/>
      <c r="AU267" s="585"/>
      <c r="AV267" s="585"/>
      <c r="AW267" s="585"/>
      <c r="AX267" s="585"/>
      <c r="AY267" s="585"/>
      <c r="AZ267" s="585"/>
      <c r="BA267" s="585"/>
      <c r="BB267" s="586"/>
      <c r="BC267" s="544"/>
      <c r="BD267" s="545"/>
      <c r="BE267" s="545"/>
      <c r="BF267" s="545"/>
      <c r="BG267" s="545"/>
      <c r="BH267" s="545"/>
      <c r="BI267" s="545"/>
      <c r="BJ267" s="545"/>
      <c r="BK267" s="545"/>
      <c r="BL267" s="545"/>
      <c r="BM267" s="545"/>
      <c r="BN267" s="545"/>
      <c r="BO267" s="545"/>
      <c r="BP267" s="545"/>
      <c r="BQ267" s="545"/>
      <c r="BR267" s="546"/>
      <c r="BS267" s="544"/>
      <c r="BT267" s="545"/>
      <c r="BU267" s="545"/>
      <c r="BV267" s="545"/>
      <c r="BW267" s="545"/>
      <c r="BX267" s="545"/>
      <c r="BY267" s="545"/>
      <c r="BZ267" s="545"/>
      <c r="CA267" s="545"/>
      <c r="CB267" s="545"/>
      <c r="CC267" s="545"/>
      <c r="CD267" s="545"/>
      <c r="CE267" s="545"/>
      <c r="CF267" s="545"/>
      <c r="CG267" s="545"/>
      <c r="CH267" s="546"/>
      <c r="CI267" s="544"/>
      <c r="CJ267" s="545"/>
      <c r="CK267" s="545"/>
      <c r="CL267" s="545"/>
      <c r="CM267" s="545"/>
      <c r="CN267" s="545"/>
      <c r="CO267" s="545"/>
      <c r="CP267" s="545"/>
      <c r="CQ267" s="545"/>
      <c r="CR267" s="545"/>
      <c r="CS267" s="545"/>
      <c r="CT267" s="545"/>
      <c r="CU267" s="545"/>
      <c r="CV267" s="545"/>
      <c r="CW267" s="545"/>
      <c r="CX267" s="545"/>
      <c r="CY267" s="545"/>
      <c r="CZ267" s="546"/>
      <c r="DA267" s="214"/>
    </row>
    <row r="268" spans="1:105" s="16" customFormat="1" ht="15" hidden="1" customHeight="1" x14ac:dyDescent="0.3">
      <c r="A268" s="633" t="s">
        <v>292</v>
      </c>
      <c r="B268" s="634"/>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5"/>
      <c r="BC268" s="544" t="s">
        <v>4</v>
      </c>
      <c r="BD268" s="545"/>
      <c r="BE268" s="545"/>
      <c r="BF268" s="545"/>
      <c r="BG268" s="545"/>
      <c r="BH268" s="545"/>
      <c r="BI268" s="545"/>
      <c r="BJ268" s="545"/>
      <c r="BK268" s="545"/>
      <c r="BL268" s="545"/>
      <c r="BM268" s="545"/>
      <c r="BN268" s="545"/>
      <c r="BO268" s="545"/>
      <c r="BP268" s="545"/>
      <c r="BQ268" s="545"/>
      <c r="BR268" s="546"/>
      <c r="BS268" s="544" t="s">
        <v>4</v>
      </c>
      <c r="BT268" s="545"/>
      <c r="BU268" s="545"/>
      <c r="BV268" s="545"/>
      <c r="BW268" s="545"/>
      <c r="BX268" s="545"/>
      <c r="BY268" s="545"/>
      <c r="BZ268" s="545"/>
      <c r="CA268" s="545"/>
      <c r="CB268" s="545"/>
      <c r="CC268" s="545"/>
      <c r="CD268" s="545"/>
      <c r="CE268" s="545"/>
      <c r="CF268" s="545"/>
      <c r="CG268" s="545"/>
      <c r="CH268" s="546"/>
      <c r="CI268" s="544"/>
      <c r="CJ268" s="545"/>
      <c r="CK268" s="545"/>
      <c r="CL268" s="545"/>
      <c r="CM268" s="545"/>
      <c r="CN268" s="545"/>
      <c r="CO268" s="545"/>
      <c r="CP268" s="545"/>
      <c r="CQ268" s="545"/>
      <c r="CR268" s="545"/>
      <c r="CS268" s="545"/>
      <c r="CT268" s="545"/>
      <c r="CU268" s="545"/>
      <c r="CV268" s="545"/>
      <c r="CW268" s="545"/>
      <c r="CX268" s="545"/>
      <c r="CY268" s="545"/>
      <c r="CZ268" s="546"/>
      <c r="DA268" s="214"/>
    </row>
    <row r="269" spans="1:105" s="16" customFormat="1" ht="15" hidden="1" customHeight="1" x14ac:dyDescent="0.3">
      <c r="A269" s="553" t="s">
        <v>56</v>
      </c>
      <c r="B269" s="554"/>
      <c r="C269" s="554"/>
      <c r="D269" s="554"/>
      <c r="E269" s="554"/>
      <c r="F269" s="554"/>
      <c r="G269" s="554"/>
      <c r="H269" s="554"/>
      <c r="I269" s="554"/>
      <c r="J269" s="554"/>
      <c r="K269" s="554"/>
      <c r="L269" s="554"/>
      <c r="M269" s="554"/>
      <c r="N269" s="554"/>
      <c r="O269" s="554"/>
      <c r="P269" s="554"/>
      <c r="Q269" s="554"/>
      <c r="R269" s="554"/>
      <c r="S269" s="554"/>
      <c r="T269" s="554"/>
      <c r="U269" s="554"/>
      <c r="V269" s="554"/>
      <c r="W269" s="554"/>
      <c r="X269" s="554"/>
      <c r="Y269" s="554"/>
      <c r="Z269" s="554"/>
      <c r="AA269" s="554"/>
      <c r="AB269" s="554"/>
      <c r="AC269" s="554"/>
      <c r="AD269" s="554"/>
      <c r="AE269" s="554"/>
      <c r="AF269" s="554"/>
      <c r="AG269" s="554"/>
      <c r="AH269" s="554"/>
      <c r="AI269" s="554"/>
      <c r="AJ269" s="554"/>
      <c r="AK269" s="554"/>
      <c r="AL269" s="554"/>
      <c r="AM269" s="554"/>
      <c r="AN269" s="554"/>
      <c r="AO269" s="554"/>
      <c r="AP269" s="554"/>
      <c r="AQ269" s="554"/>
      <c r="AR269" s="554"/>
      <c r="AS269" s="554"/>
      <c r="AT269" s="554"/>
      <c r="AU269" s="554"/>
      <c r="AV269" s="554"/>
      <c r="AW269" s="554"/>
      <c r="AX269" s="554"/>
      <c r="AY269" s="554"/>
      <c r="AZ269" s="554"/>
      <c r="BA269" s="554"/>
      <c r="BB269" s="555"/>
      <c r="BC269" s="582" t="s">
        <v>4</v>
      </c>
      <c r="BD269" s="582"/>
      <c r="BE269" s="582"/>
      <c r="BF269" s="582"/>
      <c r="BG269" s="582"/>
      <c r="BH269" s="582"/>
      <c r="BI269" s="582"/>
      <c r="BJ269" s="582"/>
      <c r="BK269" s="582"/>
      <c r="BL269" s="582"/>
      <c r="BM269" s="582"/>
      <c r="BN269" s="582"/>
      <c r="BO269" s="582"/>
      <c r="BP269" s="582"/>
      <c r="BQ269" s="582"/>
      <c r="BR269" s="582"/>
      <c r="BS269" s="582" t="s">
        <v>4</v>
      </c>
      <c r="BT269" s="582"/>
      <c r="BU269" s="582"/>
      <c r="BV269" s="582"/>
      <c r="BW269" s="582"/>
      <c r="BX269" s="582"/>
      <c r="BY269" s="582"/>
      <c r="BZ269" s="582"/>
      <c r="CA269" s="582"/>
      <c r="CB269" s="582"/>
      <c r="CC269" s="582"/>
      <c r="CD269" s="582"/>
      <c r="CE269" s="582"/>
      <c r="CF269" s="582"/>
      <c r="CG269" s="582"/>
      <c r="CH269" s="582"/>
      <c r="CI269" s="611">
        <f>CI265</f>
        <v>0</v>
      </c>
      <c r="CJ269" s="560"/>
      <c r="CK269" s="560"/>
      <c r="CL269" s="560"/>
      <c r="CM269" s="560"/>
      <c r="CN269" s="560"/>
      <c r="CO269" s="560"/>
      <c r="CP269" s="560"/>
      <c r="CQ269" s="560"/>
      <c r="CR269" s="560"/>
      <c r="CS269" s="560"/>
      <c r="CT269" s="560"/>
      <c r="CU269" s="560"/>
      <c r="CV269" s="560"/>
      <c r="CW269" s="560"/>
      <c r="CX269" s="560"/>
      <c r="CY269" s="560"/>
      <c r="CZ269" s="560"/>
      <c r="DA269" s="220"/>
    </row>
    <row r="270" spans="1:105" s="16" customFormat="1" ht="15" hidden="1" customHeight="1" x14ac:dyDescent="0.3">
      <c r="A270" s="221"/>
      <c r="B270" s="221"/>
      <c r="C270" s="221"/>
      <c r="D270" s="221"/>
      <c r="E270" s="221"/>
      <c r="F270" s="221"/>
      <c r="G270" s="221"/>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14"/>
    </row>
    <row r="271" spans="1:105" s="20" customFormat="1" hidden="1" x14ac:dyDescent="0.25">
      <c r="A271" s="594" t="s">
        <v>282</v>
      </c>
      <c r="B271" s="594"/>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4"/>
      <c r="AL271" s="594"/>
      <c r="AM271" s="594"/>
      <c r="AN271" s="594"/>
      <c r="AO271" s="594"/>
      <c r="AP271" s="594"/>
      <c r="AQ271" s="594"/>
      <c r="AR271" s="594"/>
      <c r="AS271" s="594"/>
      <c r="AT271" s="594"/>
      <c r="AU271" s="594"/>
      <c r="AV271" s="594"/>
      <c r="AW271" s="594"/>
      <c r="AX271" s="594"/>
      <c r="AY271" s="594"/>
      <c r="AZ271" s="594"/>
      <c r="BA271" s="594"/>
      <c r="BB271" s="594"/>
      <c r="BC271" s="594"/>
      <c r="BD271" s="594"/>
      <c r="BE271" s="594"/>
      <c r="BF271" s="594"/>
      <c r="BG271" s="594"/>
      <c r="BH271" s="594"/>
      <c r="BI271" s="594"/>
      <c r="BJ271" s="594"/>
      <c r="BK271" s="594"/>
      <c r="BL271" s="594"/>
      <c r="BM271" s="594"/>
      <c r="BN271" s="594"/>
      <c r="BO271" s="594"/>
      <c r="BP271" s="594"/>
      <c r="BQ271" s="594"/>
      <c r="BR271" s="594"/>
      <c r="BS271" s="594"/>
      <c r="BT271" s="594"/>
      <c r="BU271" s="594"/>
      <c r="BV271" s="594"/>
      <c r="BW271" s="594"/>
      <c r="BX271" s="594"/>
      <c r="BY271" s="594"/>
      <c r="BZ271" s="594"/>
      <c r="CA271" s="594"/>
      <c r="CB271" s="594"/>
      <c r="CC271" s="594"/>
      <c r="CD271" s="594"/>
      <c r="CE271" s="594"/>
      <c r="CF271" s="594"/>
      <c r="CG271" s="594"/>
      <c r="CH271" s="594"/>
      <c r="CI271" s="594"/>
      <c r="CJ271" s="594"/>
      <c r="CK271" s="594"/>
      <c r="CL271" s="594"/>
      <c r="CM271" s="594"/>
      <c r="CN271" s="594"/>
      <c r="CO271" s="594"/>
      <c r="CP271" s="594"/>
      <c r="CQ271" s="594"/>
      <c r="CR271" s="594"/>
      <c r="CS271" s="594"/>
      <c r="CT271" s="594"/>
      <c r="CU271" s="594"/>
      <c r="CV271" s="594"/>
      <c r="CW271" s="594"/>
      <c r="CX271" s="594"/>
      <c r="CY271" s="594"/>
      <c r="CZ271" s="594"/>
    </row>
    <row r="272" spans="1:105" ht="6" hidden="1" customHeight="1" x14ac:dyDescent="0.25"/>
    <row r="273" spans="1:105" s="20" customFormat="1" hidden="1" x14ac:dyDescent="0.25">
      <c r="A273" s="20" t="s">
        <v>47</v>
      </c>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95"/>
      <c r="AS273" s="595"/>
      <c r="AT273" s="595"/>
      <c r="AU273" s="595"/>
      <c r="AV273" s="595"/>
      <c r="AW273" s="595"/>
      <c r="AX273" s="595"/>
      <c r="AY273" s="595"/>
      <c r="AZ273" s="595"/>
      <c r="BA273" s="595"/>
      <c r="BB273" s="595"/>
      <c r="BC273" s="595"/>
      <c r="BD273" s="595"/>
      <c r="BE273" s="595"/>
      <c r="BF273" s="595"/>
      <c r="BG273" s="595"/>
      <c r="BH273" s="595"/>
      <c r="BI273" s="595"/>
      <c r="BJ273" s="595"/>
      <c r="BK273" s="595"/>
      <c r="BL273" s="595"/>
      <c r="BM273" s="595"/>
      <c r="BN273" s="595"/>
      <c r="BO273" s="595"/>
      <c r="BP273" s="595"/>
      <c r="BQ273" s="595"/>
      <c r="BR273" s="595"/>
      <c r="BS273" s="595"/>
      <c r="BT273" s="595"/>
      <c r="BU273" s="595"/>
      <c r="BV273" s="595"/>
      <c r="BW273" s="595"/>
      <c r="BX273" s="595"/>
      <c r="BY273" s="595"/>
      <c r="BZ273" s="595"/>
      <c r="CA273" s="595"/>
      <c r="CB273" s="595"/>
      <c r="CC273" s="595"/>
      <c r="CD273" s="595"/>
      <c r="CE273" s="595"/>
      <c r="CF273" s="595"/>
      <c r="CG273" s="595"/>
      <c r="CH273" s="595"/>
      <c r="CI273" s="595"/>
      <c r="CJ273" s="595"/>
      <c r="CK273" s="595"/>
      <c r="CL273" s="595"/>
      <c r="CM273" s="595"/>
      <c r="CN273" s="595"/>
      <c r="CO273" s="595"/>
      <c r="CP273" s="595"/>
      <c r="CQ273" s="595"/>
      <c r="CR273" s="595"/>
      <c r="CS273" s="595"/>
      <c r="CT273" s="595"/>
      <c r="CU273" s="595"/>
      <c r="CV273" s="595"/>
      <c r="CW273" s="595"/>
      <c r="CX273" s="595"/>
      <c r="CY273" s="595"/>
      <c r="CZ273" s="595"/>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75" t="s">
        <v>49</v>
      </c>
      <c r="B275" s="476"/>
      <c r="C275" s="476"/>
      <c r="D275" s="476"/>
      <c r="E275" s="476"/>
      <c r="F275" s="476"/>
      <c r="G275" s="477"/>
      <c r="H275" s="475" t="s">
        <v>0</v>
      </c>
      <c r="I275" s="476"/>
      <c r="J275" s="476"/>
      <c r="K275" s="476"/>
      <c r="L275" s="476"/>
      <c r="M275" s="476"/>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7"/>
      <c r="BC275" s="606" t="s">
        <v>75</v>
      </c>
      <c r="BD275" s="606"/>
      <c r="BE275" s="606"/>
      <c r="BF275" s="606"/>
      <c r="BG275" s="606"/>
      <c r="BH275" s="606"/>
      <c r="BI275" s="606"/>
      <c r="BJ275" s="606"/>
      <c r="BK275" s="606"/>
      <c r="BL275" s="606"/>
      <c r="BM275" s="606"/>
      <c r="BN275" s="606"/>
      <c r="BO275" s="606"/>
      <c r="BP275" s="606"/>
      <c r="BQ275" s="606"/>
      <c r="BR275" s="606"/>
      <c r="BS275" s="606" t="s">
        <v>76</v>
      </c>
      <c r="BT275" s="606"/>
      <c r="BU275" s="606"/>
      <c r="BV275" s="606"/>
      <c r="BW275" s="606"/>
      <c r="BX275" s="606"/>
      <c r="BY275" s="606"/>
      <c r="BZ275" s="606"/>
      <c r="CA275" s="606"/>
      <c r="CB275" s="606"/>
      <c r="CC275" s="606"/>
      <c r="CD275" s="606"/>
      <c r="CE275" s="606"/>
      <c r="CF275" s="606"/>
      <c r="CG275" s="606"/>
      <c r="CH275" s="606"/>
      <c r="CI275" s="606" t="s">
        <v>77</v>
      </c>
      <c r="CJ275" s="606"/>
      <c r="CK275" s="606"/>
      <c r="CL275" s="606"/>
      <c r="CM275" s="606"/>
      <c r="CN275" s="606"/>
      <c r="CO275" s="606"/>
      <c r="CP275" s="606"/>
      <c r="CQ275" s="606"/>
      <c r="CR275" s="606"/>
      <c r="CS275" s="606"/>
      <c r="CT275" s="606"/>
      <c r="CU275" s="606"/>
      <c r="CV275" s="606"/>
      <c r="CW275" s="606"/>
      <c r="CX275" s="606"/>
      <c r="CY275" s="606"/>
      <c r="CZ275" s="606"/>
      <c r="DA275" s="218"/>
    </row>
    <row r="276" spans="1:105" s="15" customFormat="1" ht="13.2" hidden="1" x14ac:dyDescent="0.3">
      <c r="A276" s="591">
        <v>1</v>
      </c>
      <c r="B276" s="591"/>
      <c r="C276" s="591"/>
      <c r="D276" s="591"/>
      <c r="E276" s="591"/>
      <c r="F276" s="591"/>
      <c r="G276" s="591"/>
      <c r="H276" s="591">
        <v>2</v>
      </c>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1"/>
      <c r="AL276" s="591"/>
      <c r="AM276" s="591"/>
      <c r="AN276" s="591"/>
      <c r="AO276" s="591"/>
      <c r="AP276" s="591"/>
      <c r="AQ276" s="591"/>
      <c r="AR276" s="591"/>
      <c r="AS276" s="591"/>
      <c r="AT276" s="591"/>
      <c r="AU276" s="591"/>
      <c r="AV276" s="591"/>
      <c r="AW276" s="591"/>
      <c r="AX276" s="591"/>
      <c r="AY276" s="591"/>
      <c r="AZ276" s="591"/>
      <c r="BA276" s="591"/>
      <c r="BB276" s="591"/>
      <c r="BC276" s="591">
        <v>3</v>
      </c>
      <c r="BD276" s="591"/>
      <c r="BE276" s="591"/>
      <c r="BF276" s="591"/>
      <c r="BG276" s="591"/>
      <c r="BH276" s="591"/>
      <c r="BI276" s="591"/>
      <c r="BJ276" s="591"/>
      <c r="BK276" s="591"/>
      <c r="BL276" s="591"/>
      <c r="BM276" s="591"/>
      <c r="BN276" s="591"/>
      <c r="BO276" s="591"/>
      <c r="BP276" s="591"/>
      <c r="BQ276" s="591"/>
      <c r="BR276" s="591"/>
      <c r="BS276" s="591">
        <v>4</v>
      </c>
      <c r="BT276" s="591"/>
      <c r="BU276" s="591"/>
      <c r="BV276" s="591"/>
      <c r="BW276" s="591"/>
      <c r="BX276" s="591"/>
      <c r="BY276" s="591"/>
      <c r="BZ276" s="591"/>
      <c r="CA276" s="591"/>
      <c r="CB276" s="591"/>
      <c r="CC276" s="591"/>
      <c r="CD276" s="591"/>
      <c r="CE276" s="591"/>
      <c r="CF276" s="591"/>
      <c r="CG276" s="591"/>
      <c r="CH276" s="591"/>
      <c r="CI276" s="591">
        <v>5</v>
      </c>
      <c r="CJ276" s="591"/>
      <c r="CK276" s="591"/>
      <c r="CL276" s="591"/>
      <c r="CM276" s="591"/>
      <c r="CN276" s="591"/>
      <c r="CO276" s="591"/>
      <c r="CP276" s="591"/>
      <c r="CQ276" s="591"/>
      <c r="CR276" s="591"/>
      <c r="CS276" s="591"/>
      <c r="CT276" s="591"/>
      <c r="CU276" s="591"/>
      <c r="CV276" s="591"/>
      <c r="CW276" s="591"/>
      <c r="CX276" s="591"/>
      <c r="CY276" s="591"/>
      <c r="CZ276" s="591"/>
      <c r="DA276" s="219"/>
    </row>
    <row r="277" spans="1:105" s="16" customFormat="1" ht="15" hidden="1" customHeight="1" x14ac:dyDescent="0.3">
      <c r="A277" s="648" t="s">
        <v>258</v>
      </c>
      <c r="B277" s="649"/>
      <c r="C277" s="649"/>
      <c r="D277" s="649"/>
      <c r="E277" s="649"/>
      <c r="F277" s="649"/>
      <c r="G277" s="649"/>
      <c r="H277" s="649"/>
      <c r="I277" s="649"/>
      <c r="J277" s="649"/>
      <c r="K277" s="649"/>
      <c r="L277" s="649"/>
      <c r="M277" s="649"/>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649"/>
      <c r="AL277" s="649"/>
      <c r="AM277" s="649"/>
      <c r="AN277" s="649"/>
      <c r="AO277" s="649"/>
      <c r="AP277" s="649"/>
      <c r="AQ277" s="649"/>
      <c r="AR277" s="649"/>
      <c r="AS277" s="649"/>
      <c r="AT277" s="649"/>
      <c r="AU277" s="649"/>
      <c r="AV277" s="649"/>
      <c r="AW277" s="649"/>
      <c r="AX277" s="649"/>
      <c r="AY277" s="649"/>
      <c r="AZ277" s="649"/>
      <c r="BA277" s="649"/>
      <c r="BB277" s="649"/>
      <c r="BC277" s="649"/>
      <c r="BD277" s="649"/>
      <c r="BE277" s="649"/>
      <c r="BF277" s="649"/>
      <c r="BG277" s="649"/>
      <c r="BH277" s="649"/>
      <c r="BI277" s="649"/>
      <c r="BJ277" s="649"/>
      <c r="BK277" s="649"/>
      <c r="BL277" s="649"/>
      <c r="BM277" s="649"/>
      <c r="BN277" s="649"/>
      <c r="BO277" s="649"/>
      <c r="BP277" s="649"/>
      <c r="BQ277" s="649"/>
      <c r="BR277" s="649"/>
      <c r="BS277" s="649"/>
      <c r="BT277" s="649"/>
      <c r="BU277" s="649"/>
      <c r="BV277" s="649"/>
      <c r="BW277" s="649"/>
      <c r="BX277" s="649"/>
      <c r="BY277" s="649"/>
      <c r="BZ277" s="649"/>
      <c r="CA277" s="649"/>
      <c r="CB277" s="649"/>
      <c r="CC277" s="649"/>
      <c r="CD277" s="649"/>
      <c r="CE277" s="649"/>
      <c r="CF277" s="649"/>
      <c r="CG277" s="649"/>
      <c r="CH277" s="649"/>
      <c r="CI277" s="649"/>
      <c r="CJ277" s="649"/>
      <c r="CK277" s="649"/>
      <c r="CL277" s="649"/>
      <c r="CM277" s="649"/>
      <c r="CN277" s="649"/>
      <c r="CO277" s="649"/>
      <c r="CP277" s="649"/>
      <c r="CQ277" s="649"/>
      <c r="CR277" s="649"/>
      <c r="CS277" s="649"/>
      <c r="CT277" s="649"/>
      <c r="CU277" s="649"/>
      <c r="CV277" s="649"/>
      <c r="CW277" s="649"/>
      <c r="CX277" s="649"/>
      <c r="CY277" s="649"/>
      <c r="CZ277" s="649"/>
      <c r="DA277" s="214"/>
    </row>
    <row r="278" spans="1:105" s="16" customFormat="1" ht="15" hidden="1" customHeight="1" x14ac:dyDescent="0.3">
      <c r="A278" s="630"/>
      <c r="B278" s="631"/>
      <c r="C278" s="631"/>
      <c r="D278" s="631"/>
      <c r="E278" s="631"/>
      <c r="F278" s="631"/>
      <c r="G278" s="632"/>
      <c r="H278" s="584"/>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5"/>
      <c r="AL278" s="585"/>
      <c r="AM278" s="585"/>
      <c r="AN278" s="585"/>
      <c r="AO278" s="585"/>
      <c r="AP278" s="585"/>
      <c r="AQ278" s="585"/>
      <c r="AR278" s="585"/>
      <c r="AS278" s="585"/>
      <c r="AT278" s="585"/>
      <c r="AU278" s="585"/>
      <c r="AV278" s="585"/>
      <c r="AW278" s="585"/>
      <c r="AX278" s="585"/>
      <c r="AY278" s="585"/>
      <c r="AZ278" s="585"/>
      <c r="BA278" s="585"/>
      <c r="BB278" s="586"/>
      <c r="BC278" s="544"/>
      <c r="BD278" s="545"/>
      <c r="BE278" s="545"/>
      <c r="BF278" s="545"/>
      <c r="BG278" s="545"/>
      <c r="BH278" s="545"/>
      <c r="BI278" s="545"/>
      <c r="BJ278" s="545"/>
      <c r="BK278" s="545"/>
      <c r="BL278" s="545"/>
      <c r="BM278" s="545"/>
      <c r="BN278" s="545"/>
      <c r="BO278" s="545"/>
      <c r="BP278" s="545"/>
      <c r="BQ278" s="545"/>
      <c r="BR278" s="546"/>
      <c r="BS278" s="544"/>
      <c r="BT278" s="545"/>
      <c r="BU278" s="545"/>
      <c r="BV278" s="545"/>
      <c r="BW278" s="545"/>
      <c r="BX278" s="545"/>
      <c r="BY278" s="545"/>
      <c r="BZ278" s="545"/>
      <c r="CA278" s="545"/>
      <c r="CB278" s="545"/>
      <c r="CC278" s="545"/>
      <c r="CD278" s="545"/>
      <c r="CE278" s="545"/>
      <c r="CF278" s="545"/>
      <c r="CG278" s="545"/>
      <c r="CH278" s="546"/>
      <c r="CI278" s="544"/>
      <c r="CJ278" s="545"/>
      <c r="CK278" s="545"/>
      <c r="CL278" s="545"/>
      <c r="CM278" s="545"/>
      <c r="CN278" s="545"/>
      <c r="CO278" s="545"/>
      <c r="CP278" s="545"/>
      <c r="CQ278" s="545"/>
      <c r="CR278" s="545"/>
      <c r="CS278" s="545"/>
      <c r="CT278" s="545"/>
      <c r="CU278" s="545"/>
      <c r="CV278" s="545"/>
      <c r="CW278" s="545"/>
      <c r="CX278" s="545"/>
      <c r="CY278" s="545"/>
      <c r="CZ278" s="546"/>
      <c r="DA278" s="214"/>
    </row>
    <row r="279" spans="1:105" s="16" customFormat="1" ht="15" hidden="1" customHeight="1" x14ac:dyDescent="0.3">
      <c r="A279" s="633" t="s">
        <v>292</v>
      </c>
      <c r="B279" s="634"/>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34"/>
      <c r="AL279" s="634"/>
      <c r="AM279" s="634"/>
      <c r="AN279" s="634"/>
      <c r="AO279" s="634"/>
      <c r="AP279" s="634"/>
      <c r="AQ279" s="634"/>
      <c r="AR279" s="634"/>
      <c r="AS279" s="634"/>
      <c r="AT279" s="634"/>
      <c r="AU279" s="634"/>
      <c r="AV279" s="634"/>
      <c r="AW279" s="634"/>
      <c r="AX279" s="634"/>
      <c r="AY279" s="634"/>
      <c r="AZ279" s="634"/>
      <c r="BA279" s="634"/>
      <c r="BB279" s="635"/>
      <c r="BC279" s="544" t="s">
        <v>4</v>
      </c>
      <c r="BD279" s="545"/>
      <c r="BE279" s="545"/>
      <c r="BF279" s="545"/>
      <c r="BG279" s="545"/>
      <c r="BH279" s="545"/>
      <c r="BI279" s="545"/>
      <c r="BJ279" s="545"/>
      <c r="BK279" s="545"/>
      <c r="BL279" s="545"/>
      <c r="BM279" s="545"/>
      <c r="BN279" s="545"/>
      <c r="BO279" s="545"/>
      <c r="BP279" s="545"/>
      <c r="BQ279" s="545"/>
      <c r="BR279" s="546"/>
      <c r="BS279" s="544" t="s">
        <v>4</v>
      </c>
      <c r="BT279" s="545"/>
      <c r="BU279" s="545"/>
      <c r="BV279" s="545"/>
      <c r="BW279" s="545"/>
      <c r="BX279" s="545"/>
      <c r="BY279" s="545"/>
      <c r="BZ279" s="545"/>
      <c r="CA279" s="545"/>
      <c r="CB279" s="545"/>
      <c r="CC279" s="545"/>
      <c r="CD279" s="545"/>
      <c r="CE279" s="545"/>
      <c r="CF279" s="545"/>
      <c r="CG279" s="545"/>
      <c r="CH279" s="546"/>
      <c r="CI279" s="544"/>
      <c r="CJ279" s="545"/>
      <c r="CK279" s="545"/>
      <c r="CL279" s="545"/>
      <c r="CM279" s="545"/>
      <c r="CN279" s="545"/>
      <c r="CO279" s="545"/>
      <c r="CP279" s="545"/>
      <c r="CQ279" s="545"/>
      <c r="CR279" s="545"/>
      <c r="CS279" s="545"/>
      <c r="CT279" s="545"/>
      <c r="CU279" s="545"/>
      <c r="CV279" s="545"/>
      <c r="CW279" s="545"/>
      <c r="CX279" s="545"/>
      <c r="CY279" s="545"/>
      <c r="CZ279" s="546"/>
      <c r="DA279" s="214"/>
    </row>
    <row r="280" spans="1:105" s="16" customFormat="1" ht="15" hidden="1" customHeight="1" x14ac:dyDescent="0.3">
      <c r="A280" s="648" t="s">
        <v>258</v>
      </c>
      <c r="B280" s="649"/>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649"/>
      <c r="AM280" s="649"/>
      <c r="AN280" s="649"/>
      <c r="AO280" s="649"/>
      <c r="AP280" s="649"/>
      <c r="AQ280" s="649"/>
      <c r="AR280" s="649"/>
      <c r="AS280" s="649"/>
      <c r="AT280" s="649"/>
      <c r="AU280" s="649"/>
      <c r="AV280" s="649"/>
      <c r="AW280" s="649"/>
      <c r="AX280" s="649"/>
      <c r="AY280" s="649"/>
      <c r="AZ280" s="649"/>
      <c r="BA280" s="649"/>
      <c r="BB280" s="649"/>
      <c r="BC280" s="649"/>
      <c r="BD280" s="649"/>
      <c r="BE280" s="649"/>
      <c r="BF280" s="649"/>
      <c r="BG280" s="649"/>
      <c r="BH280" s="649"/>
      <c r="BI280" s="649"/>
      <c r="BJ280" s="649"/>
      <c r="BK280" s="649"/>
      <c r="BL280" s="649"/>
      <c r="BM280" s="649"/>
      <c r="BN280" s="649"/>
      <c r="BO280" s="649"/>
      <c r="BP280" s="649"/>
      <c r="BQ280" s="649"/>
      <c r="BR280" s="649"/>
      <c r="BS280" s="649"/>
      <c r="BT280" s="649"/>
      <c r="BU280" s="649"/>
      <c r="BV280" s="649"/>
      <c r="BW280" s="649"/>
      <c r="BX280" s="649"/>
      <c r="BY280" s="649"/>
      <c r="BZ280" s="649"/>
      <c r="CA280" s="649"/>
      <c r="CB280" s="649"/>
      <c r="CC280" s="649"/>
      <c r="CD280" s="649"/>
      <c r="CE280" s="649"/>
      <c r="CF280" s="649"/>
      <c r="CG280" s="649"/>
      <c r="CH280" s="649"/>
      <c r="CI280" s="649"/>
      <c r="CJ280" s="649"/>
      <c r="CK280" s="649"/>
      <c r="CL280" s="649"/>
      <c r="CM280" s="649"/>
      <c r="CN280" s="649"/>
      <c r="CO280" s="649"/>
      <c r="CP280" s="649"/>
      <c r="CQ280" s="649"/>
      <c r="CR280" s="649"/>
      <c r="CS280" s="649"/>
      <c r="CT280" s="649"/>
      <c r="CU280" s="649"/>
      <c r="CV280" s="649"/>
      <c r="CW280" s="649"/>
      <c r="CX280" s="649"/>
      <c r="CY280" s="649"/>
      <c r="CZ280" s="649"/>
      <c r="DA280" s="214"/>
    </row>
    <row r="281" spans="1:105" s="16" customFormat="1" ht="15" hidden="1" customHeight="1" x14ac:dyDescent="0.3">
      <c r="A281" s="630"/>
      <c r="B281" s="631"/>
      <c r="C281" s="631"/>
      <c r="D281" s="631"/>
      <c r="E281" s="631"/>
      <c r="F281" s="631"/>
      <c r="G281" s="632"/>
      <c r="H281" s="584"/>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5"/>
      <c r="AL281" s="585"/>
      <c r="AM281" s="585"/>
      <c r="AN281" s="585"/>
      <c r="AO281" s="585"/>
      <c r="AP281" s="585"/>
      <c r="AQ281" s="585"/>
      <c r="AR281" s="585"/>
      <c r="AS281" s="585"/>
      <c r="AT281" s="585"/>
      <c r="AU281" s="585"/>
      <c r="AV281" s="585"/>
      <c r="AW281" s="585"/>
      <c r="AX281" s="585"/>
      <c r="AY281" s="585"/>
      <c r="AZ281" s="585"/>
      <c r="BA281" s="585"/>
      <c r="BB281" s="586"/>
      <c r="BC281" s="544"/>
      <c r="BD281" s="545"/>
      <c r="BE281" s="545"/>
      <c r="BF281" s="545"/>
      <c r="BG281" s="545"/>
      <c r="BH281" s="545"/>
      <c r="BI281" s="545"/>
      <c r="BJ281" s="545"/>
      <c r="BK281" s="545"/>
      <c r="BL281" s="545"/>
      <c r="BM281" s="545"/>
      <c r="BN281" s="545"/>
      <c r="BO281" s="545"/>
      <c r="BP281" s="545"/>
      <c r="BQ281" s="545"/>
      <c r="BR281" s="546"/>
      <c r="BS281" s="544"/>
      <c r="BT281" s="545"/>
      <c r="BU281" s="545"/>
      <c r="BV281" s="545"/>
      <c r="BW281" s="545"/>
      <c r="BX281" s="545"/>
      <c r="BY281" s="545"/>
      <c r="BZ281" s="545"/>
      <c r="CA281" s="545"/>
      <c r="CB281" s="545"/>
      <c r="CC281" s="545"/>
      <c r="CD281" s="545"/>
      <c r="CE281" s="545"/>
      <c r="CF281" s="545"/>
      <c r="CG281" s="545"/>
      <c r="CH281" s="546"/>
      <c r="CI281" s="544"/>
      <c r="CJ281" s="545"/>
      <c r="CK281" s="545"/>
      <c r="CL281" s="545"/>
      <c r="CM281" s="545"/>
      <c r="CN281" s="545"/>
      <c r="CO281" s="545"/>
      <c r="CP281" s="545"/>
      <c r="CQ281" s="545"/>
      <c r="CR281" s="545"/>
      <c r="CS281" s="545"/>
      <c r="CT281" s="545"/>
      <c r="CU281" s="545"/>
      <c r="CV281" s="545"/>
      <c r="CW281" s="545"/>
      <c r="CX281" s="545"/>
      <c r="CY281" s="545"/>
      <c r="CZ281" s="546"/>
      <c r="DA281" s="214"/>
    </row>
    <row r="282" spans="1:105" s="16" customFormat="1" ht="15" hidden="1" customHeight="1" x14ac:dyDescent="0.3">
      <c r="A282" s="633" t="s">
        <v>292</v>
      </c>
      <c r="B282" s="634"/>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4"/>
      <c r="AL282" s="634"/>
      <c r="AM282" s="634"/>
      <c r="AN282" s="634"/>
      <c r="AO282" s="634"/>
      <c r="AP282" s="634"/>
      <c r="AQ282" s="634"/>
      <c r="AR282" s="634"/>
      <c r="AS282" s="634"/>
      <c r="AT282" s="634"/>
      <c r="AU282" s="634"/>
      <c r="AV282" s="634"/>
      <c r="AW282" s="634"/>
      <c r="AX282" s="634"/>
      <c r="AY282" s="634"/>
      <c r="AZ282" s="634"/>
      <c r="BA282" s="634"/>
      <c r="BB282" s="635"/>
      <c r="BC282" s="544" t="s">
        <v>4</v>
      </c>
      <c r="BD282" s="545"/>
      <c r="BE282" s="545"/>
      <c r="BF282" s="545"/>
      <c r="BG282" s="545"/>
      <c r="BH282" s="545"/>
      <c r="BI282" s="545"/>
      <c r="BJ282" s="545"/>
      <c r="BK282" s="545"/>
      <c r="BL282" s="545"/>
      <c r="BM282" s="545"/>
      <c r="BN282" s="545"/>
      <c r="BO282" s="545"/>
      <c r="BP282" s="545"/>
      <c r="BQ282" s="545"/>
      <c r="BR282" s="546"/>
      <c r="BS282" s="544" t="s">
        <v>4</v>
      </c>
      <c r="BT282" s="545"/>
      <c r="BU282" s="545"/>
      <c r="BV282" s="545"/>
      <c r="BW282" s="545"/>
      <c r="BX282" s="545"/>
      <c r="BY282" s="545"/>
      <c r="BZ282" s="545"/>
      <c r="CA282" s="545"/>
      <c r="CB282" s="545"/>
      <c r="CC282" s="545"/>
      <c r="CD282" s="545"/>
      <c r="CE282" s="545"/>
      <c r="CF282" s="545"/>
      <c r="CG282" s="545"/>
      <c r="CH282" s="546"/>
      <c r="CI282" s="544"/>
      <c r="CJ282" s="545"/>
      <c r="CK282" s="545"/>
      <c r="CL282" s="545"/>
      <c r="CM282" s="545"/>
      <c r="CN282" s="545"/>
      <c r="CO282" s="545"/>
      <c r="CP282" s="545"/>
      <c r="CQ282" s="545"/>
      <c r="CR282" s="545"/>
      <c r="CS282" s="545"/>
      <c r="CT282" s="545"/>
      <c r="CU282" s="545"/>
      <c r="CV282" s="545"/>
      <c r="CW282" s="545"/>
      <c r="CX282" s="545"/>
      <c r="CY282" s="545"/>
      <c r="CZ282" s="546"/>
      <c r="DA282" s="214"/>
    </row>
    <row r="283" spans="1:105" s="16" customFormat="1" ht="15" hidden="1" customHeight="1" x14ac:dyDescent="0.3">
      <c r="A283" s="553" t="s">
        <v>56</v>
      </c>
      <c r="B283" s="554"/>
      <c r="C283" s="554"/>
      <c r="D283" s="554"/>
      <c r="E283" s="554"/>
      <c r="F283" s="554"/>
      <c r="G283" s="554"/>
      <c r="H283" s="554"/>
      <c r="I283" s="554"/>
      <c r="J283" s="554"/>
      <c r="K283" s="554"/>
      <c r="L283" s="554"/>
      <c r="M283" s="554"/>
      <c r="N283" s="554"/>
      <c r="O283" s="554"/>
      <c r="P283" s="554"/>
      <c r="Q283" s="554"/>
      <c r="R283" s="554"/>
      <c r="S283" s="554"/>
      <c r="T283" s="554"/>
      <c r="U283" s="554"/>
      <c r="V283" s="554"/>
      <c r="W283" s="554"/>
      <c r="X283" s="554"/>
      <c r="Y283" s="554"/>
      <c r="Z283" s="554"/>
      <c r="AA283" s="554"/>
      <c r="AB283" s="554"/>
      <c r="AC283" s="554"/>
      <c r="AD283" s="554"/>
      <c r="AE283" s="554"/>
      <c r="AF283" s="554"/>
      <c r="AG283" s="554"/>
      <c r="AH283" s="554"/>
      <c r="AI283" s="554"/>
      <c r="AJ283" s="554"/>
      <c r="AK283" s="554"/>
      <c r="AL283" s="554"/>
      <c r="AM283" s="554"/>
      <c r="AN283" s="554"/>
      <c r="AO283" s="554"/>
      <c r="AP283" s="554"/>
      <c r="AQ283" s="554"/>
      <c r="AR283" s="554"/>
      <c r="AS283" s="554"/>
      <c r="AT283" s="554"/>
      <c r="AU283" s="554"/>
      <c r="AV283" s="554"/>
      <c r="AW283" s="554"/>
      <c r="AX283" s="554"/>
      <c r="AY283" s="554"/>
      <c r="AZ283" s="554"/>
      <c r="BA283" s="554"/>
      <c r="BB283" s="555"/>
      <c r="BC283" s="582" t="s">
        <v>4</v>
      </c>
      <c r="BD283" s="582"/>
      <c r="BE283" s="582"/>
      <c r="BF283" s="582"/>
      <c r="BG283" s="582"/>
      <c r="BH283" s="582"/>
      <c r="BI283" s="582"/>
      <c r="BJ283" s="582"/>
      <c r="BK283" s="582"/>
      <c r="BL283" s="582"/>
      <c r="BM283" s="582"/>
      <c r="BN283" s="582"/>
      <c r="BO283" s="582"/>
      <c r="BP283" s="582"/>
      <c r="BQ283" s="582"/>
      <c r="BR283" s="582"/>
      <c r="BS283" s="582" t="s">
        <v>4</v>
      </c>
      <c r="BT283" s="582"/>
      <c r="BU283" s="582"/>
      <c r="BV283" s="582"/>
      <c r="BW283" s="582"/>
      <c r="BX283" s="582"/>
      <c r="BY283" s="582"/>
      <c r="BZ283" s="582"/>
      <c r="CA283" s="582"/>
      <c r="CB283" s="582"/>
      <c r="CC283" s="582"/>
      <c r="CD283" s="582"/>
      <c r="CE283" s="582"/>
      <c r="CF283" s="582"/>
      <c r="CG283" s="582"/>
      <c r="CH283" s="582"/>
      <c r="CI283" s="582"/>
      <c r="CJ283" s="582"/>
      <c r="CK283" s="582"/>
      <c r="CL283" s="582"/>
      <c r="CM283" s="582"/>
      <c r="CN283" s="582"/>
      <c r="CO283" s="582"/>
      <c r="CP283" s="582"/>
      <c r="CQ283" s="582"/>
      <c r="CR283" s="582"/>
      <c r="CS283" s="582"/>
      <c r="CT283" s="582"/>
      <c r="CU283" s="582"/>
      <c r="CV283" s="582"/>
      <c r="CW283" s="582"/>
      <c r="CX283" s="582"/>
      <c r="CY283" s="582"/>
      <c r="CZ283" s="582"/>
      <c r="DA283" s="214"/>
    </row>
    <row r="284" spans="1:105" s="16" customFormat="1" ht="15" hidden="1" customHeight="1" x14ac:dyDescent="0.3">
      <c r="A284" s="221"/>
      <c r="B284" s="221"/>
      <c r="C284" s="221"/>
      <c r="D284" s="221"/>
      <c r="E284" s="221"/>
      <c r="F284" s="221"/>
      <c r="G284" s="221"/>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14"/>
    </row>
    <row r="285" spans="1:105" s="20" customFormat="1" ht="27" hidden="1" customHeight="1" x14ac:dyDescent="0.25">
      <c r="A285" s="524" t="s">
        <v>283</v>
      </c>
      <c r="B285" s="524"/>
      <c r="C285" s="524"/>
      <c r="D285" s="524"/>
      <c r="E285" s="524"/>
      <c r="F285" s="524"/>
      <c r="G285" s="524"/>
      <c r="H285" s="524"/>
      <c r="I285" s="524"/>
      <c r="J285" s="524"/>
      <c r="K285" s="524"/>
      <c r="L285" s="524"/>
      <c r="M285" s="524"/>
      <c r="N285" s="524"/>
      <c r="O285" s="524"/>
      <c r="P285" s="524"/>
      <c r="Q285" s="524"/>
      <c r="R285" s="524"/>
      <c r="S285" s="524"/>
      <c r="T285" s="524"/>
      <c r="U285" s="524"/>
      <c r="V285" s="524"/>
      <c r="W285" s="524"/>
      <c r="X285" s="524"/>
      <c r="Y285" s="524"/>
      <c r="Z285" s="524"/>
      <c r="AA285" s="524"/>
      <c r="AB285" s="524"/>
      <c r="AC285" s="524"/>
      <c r="AD285" s="524"/>
      <c r="AE285" s="524"/>
      <c r="AF285" s="524"/>
      <c r="AG285" s="524"/>
      <c r="AH285" s="524"/>
      <c r="AI285" s="524"/>
      <c r="AJ285" s="524"/>
      <c r="AK285" s="524"/>
      <c r="AL285" s="524"/>
      <c r="AM285" s="524"/>
      <c r="AN285" s="524"/>
      <c r="AO285" s="524"/>
      <c r="AP285" s="524"/>
      <c r="AQ285" s="524"/>
      <c r="AR285" s="524"/>
      <c r="AS285" s="524"/>
      <c r="AT285" s="524"/>
      <c r="AU285" s="524"/>
      <c r="AV285" s="524"/>
      <c r="AW285" s="524"/>
      <c r="AX285" s="524"/>
      <c r="AY285" s="524"/>
      <c r="AZ285" s="524"/>
      <c r="BA285" s="524"/>
      <c r="BB285" s="524"/>
      <c r="BC285" s="524"/>
      <c r="BD285" s="524"/>
      <c r="BE285" s="524"/>
      <c r="BF285" s="524"/>
      <c r="BG285" s="524"/>
      <c r="BH285" s="524"/>
      <c r="BI285" s="524"/>
      <c r="BJ285" s="524"/>
      <c r="BK285" s="524"/>
      <c r="BL285" s="524"/>
      <c r="BM285" s="524"/>
      <c r="BN285" s="524"/>
      <c r="BO285" s="524"/>
      <c r="BP285" s="524"/>
      <c r="BQ285" s="524"/>
      <c r="BR285" s="524"/>
      <c r="BS285" s="524"/>
      <c r="BT285" s="524"/>
      <c r="BU285" s="524"/>
      <c r="BV285" s="524"/>
      <c r="BW285" s="524"/>
      <c r="BX285" s="524"/>
      <c r="BY285" s="524"/>
      <c r="BZ285" s="524"/>
      <c r="CA285" s="524"/>
      <c r="CB285" s="524"/>
      <c r="CC285" s="524"/>
      <c r="CD285" s="524"/>
      <c r="CE285" s="524"/>
      <c r="CF285" s="524"/>
      <c r="CG285" s="524"/>
      <c r="CH285" s="524"/>
      <c r="CI285" s="524"/>
      <c r="CJ285" s="524"/>
      <c r="CK285" s="524"/>
      <c r="CL285" s="524"/>
      <c r="CM285" s="524"/>
      <c r="CN285" s="524"/>
      <c r="CO285" s="524"/>
      <c r="CP285" s="524"/>
      <c r="CQ285" s="524"/>
      <c r="CR285" s="524"/>
      <c r="CS285" s="524"/>
      <c r="CT285" s="524"/>
      <c r="CU285" s="524"/>
      <c r="CV285" s="524"/>
      <c r="CW285" s="524"/>
      <c r="CX285" s="524"/>
      <c r="CY285" s="524"/>
      <c r="CZ285" s="524"/>
    </row>
    <row r="286" spans="1:105" ht="6" hidden="1" customHeight="1" x14ac:dyDescent="0.25"/>
    <row r="287" spans="1:105" s="20" customFormat="1" hidden="1" x14ac:dyDescent="0.25">
      <c r="A287" s="20" t="s">
        <v>47</v>
      </c>
      <c r="W287" s="595" t="s">
        <v>856</v>
      </c>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595"/>
      <c r="CB287" s="595"/>
      <c r="CC287" s="595"/>
      <c r="CD287" s="595"/>
      <c r="CE287" s="595"/>
      <c r="CF287" s="595"/>
      <c r="CG287" s="595"/>
      <c r="CH287" s="595"/>
      <c r="CI287" s="595"/>
      <c r="CJ287" s="595"/>
      <c r="CK287" s="595"/>
      <c r="CL287" s="595"/>
      <c r="CM287" s="595"/>
      <c r="CN287" s="595"/>
      <c r="CO287" s="595"/>
      <c r="CP287" s="595"/>
      <c r="CQ287" s="595"/>
      <c r="CR287" s="595"/>
      <c r="CS287" s="595"/>
      <c r="CT287" s="595"/>
      <c r="CU287" s="595"/>
      <c r="CV287" s="595"/>
      <c r="CW287" s="595"/>
      <c r="CX287" s="595"/>
      <c r="CY287" s="595"/>
      <c r="CZ287" s="595"/>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6" t="s">
        <v>49</v>
      </c>
      <c r="B289" s="606"/>
      <c r="C289" s="606"/>
      <c r="D289" s="606"/>
      <c r="E289" s="606"/>
      <c r="F289" s="606"/>
      <c r="G289" s="606"/>
      <c r="H289" s="606" t="s">
        <v>0</v>
      </c>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6"/>
      <c r="AL289" s="606"/>
      <c r="AM289" s="606"/>
      <c r="AN289" s="606"/>
      <c r="AO289" s="606"/>
      <c r="AP289" s="606"/>
      <c r="AQ289" s="606"/>
      <c r="AR289" s="606"/>
      <c r="AS289" s="606"/>
      <c r="AT289" s="606"/>
      <c r="AU289" s="606"/>
      <c r="AV289" s="606"/>
      <c r="AW289" s="606"/>
      <c r="AX289" s="606"/>
      <c r="AY289" s="606"/>
      <c r="AZ289" s="606"/>
      <c r="BA289" s="606"/>
      <c r="BB289" s="606"/>
      <c r="BC289" s="606" t="s">
        <v>75</v>
      </c>
      <c r="BD289" s="606"/>
      <c r="BE289" s="606"/>
      <c r="BF289" s="606"/>
      <c r="BG289" s="606"/>
      <c r="BH289" s="606"/>
      <c r="BI289" s="606"/>
      <c r="BJ289" s="606"/>
      <c r="BK289" s="606"/>
      <c r="BL289" s="606"/>
      <c r="BM289" s="606"/>
      <c r="BN289" s="606"/>
      <c r="BO289" s="606"/>
      <c r="BP289" s="606"/>
      <c r="BQ289" s="606"/>
      <c r="BR289" s="606"/>
      <c r="BS289" s="606" t="s">
        <v>76</v>
      </c>
      <c r="BT289" s="606"/>
      <c r="BU289" s="606"/>
      <c r="BV289" s="606"/>
      <c r="BW289" s="606"/>
      <c r="BX289" s="606"/>
      <c r="BY289" s="606"/>
      <c r="BZ289" s="606"/>
      <c r="CA289" s="606"/>
      <c r="CB289" s="606"/>
      <c r="CC289" s="606"/>
      <c r="CD289" s="606"/>
      <c r="CE289" s="606"/>
      <c r="CF289" s="606"/>
      <c r="CG289" s="606"/>
      <c r="CH289" s="606"/>
      <c r="CI289" s="606" t="s">
        <v>77</v>
      </c>
      <c r="CJ289" s="606"/>
      <c r="CK289" s="606"/>
      <c r="CL289" s="606"/>
      <c r="CM289" s="606"/>
      <c r="CN289" s="606"/>
      <c r="CO289" s="606"/>
      <c r="CP289" s="606"/>
      <c r="CQ289" s="606"/>
      <c r="CR289" s="606"/>
      <c r="CS289" s="606"/>
      <c r="CT289" s="606"/>
      <c r="CU289" s="606"/>
      <c r="CV289" s="606"/>
      <c r="CW289" s="606"/>
      <c r="CX289" s="606"/>
      <c r="CY289" s="606"/>
      <c r="CZ289" s="606"/>
      <c r="DA289" s="218"/>
    </row>
    <row r="290" spans="1:105" s="15" customFormat="1" ht="13.2" hidden="1" x14ac:dyDescent="0.3">
      <c r="A290" s="591">
        <v>1</v>
      </c>
      <c r="B290" s="591"/>
      <c r="C290" s="591"/>
      <c r="D290" s="591"/>
      <c r="E290" s="591"/>
      <c r="F290" s="591"/>
      <c r="G290" s="591"/>
      <c r="H290" s="591">
        <v>2</v>
      </c>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1"/>
      <c r="AL290" s="591"/>
      <c r="AM290" s="591"/>
      <c r="AN290" s="591"/>
      <c r="AO290" s="591"/>
      <c r="AP290" s="591"/>
      <c r="AQ290" s="591"/>
      <c r="AR290" s="591"/>
      <c r="AS290" s="591"/>
      <c r="AT290" s="591"/>
      <c r="AU290" s="591"/>
      <c r="AV290" s="591"/>
      <c r="AW290" s="591"/>
      <c r="AX290" s="591"/>
      <c r="AY290" s="591"/>
      <c r="AZ290" s="591"/>
      <c r="BA290" s="591"/>
      <c r="BB290" s="591"/>
      <c r="BC290" s="591">
        <v>3</v>
      </c>
      <c r="BD290" s="591"/>
      <c r="BE290" s="591"/>
      <c r="BF290" s="591"/>
      <c r="BG290" s="591"/>
      <c r="BH290" s="591"/>
      <c r="BI290" s="591"/>
      <c r="BJ290" s="591"/>
      <c r="BK290" s="591"/>
      <c r="BL290" s="591"/>
      <c r="BM290" s="591"/>
      <c r="BN290" s="591"/>
      <c r="BO290" s="591"/>
      <c r="BP290" s="591"/>
      <c r="BQ290" s="591"/>
      <c r="BR290" s="591"/>
      <c r="BS290" s="591">
        <v>4</v>
      </c>
      <c r="BT290" s="591"/>
      <c r="BU290" s="591"/>
      <c r="BV290" s="591"/>
      <c r="BW290" s="591"/>
      <c r="BX290" s="591"/>
      <c r="BY290" s="591"/>
      <c r="BZ290" s="591"/>
      <c r="CA290" s="591"/>
      <c r="CB290" s="591"/>
      <c r="CC290" s="591"/>
      <c r="CD290" s="591"/>
      <c r="CE290" s="591"/>
      <c r="CF290" s="591"/>
      <c r="CG290" s="591"/>
      <c r="CH290" s="591"/>
      <c r="CI290" s="591">
        <v>5</v>
      </c>
      <c r="CJ290" s="591"/>
      <c r="CK290" s="591"/>
      <c r="CL290" s="591"/>
      <c r="CM290" s="591"/>
      <c r="CN290" s="591"/>
      <c r="CO290" s="591"/>
      <c r="CP290" s="591"/>
      <c r="CQ290" s="591"/>
      <c r="CR290" s="591"/>
      <c r="CS290" s="591"/>
      <c r="CT290" s="591"/>
      <c r="CU290" s="591"/>
      <c r="CV290" s="591"/>
      <c r="CW290" s="591"/>
      <c r="CX290" s="591"/>
      <c r="CY290" s="591"/>
      <c r="CZ290" s="591"/>
      <c r="DA290" s="219"/>
    </row>
    <row r="291" spans="1:105" s="16" customFormat="1" ht="15" hidden="1" customHeight="1" x14ac:dyDescent="0.3">
      <c r="A291" s="648" t="s">
        <v>258</v>
      </c>
      <c r="B291" s="649"/>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9"/>
      <c r="AL291" s="649"/>
      <c r="AM291" s="649"/>
      <c r="AN291" s="649"/>
      <c r="AO291" s="649"/>
      <c r="AP291" s="649"/>
      <c r="AQ291" s="649"/>
      <c r="AR291" s="649"/>
      <c r="AS291" s="649"/>
      <c r="AT291" s="649"/>
      <c r="AU291" s="649"/>
      <c r="AV291" s="649"/>
      <c r="AW291" s="649"/>
      <c r="AX291" s="649"/>
      <c r="AY291" s="649"/>
      <c r="AZ291" s="649"/>
      <c r="BA291" s="649"/>
      <c r="BB291" s="649"/>
      <c r="BC291" s="649"/>
      <c r="BD291" s="649"/>
      <c r="BE291" s="649"/>
      <c r="BF291" s="649"/>
      <c r="BG291" s="649"/>
      <c r="BH291" s="649"/>
      <c r="BI291" s="649"/>
      <c r="BJ291" s="649"/>
      <c r="BK291" s="649"/>
      <c r="BL291" s="649"/>
      <c r="BM291" s="649"/>
      <c r="BN291" s="649"/>
      <c r="BO291" s="649"/>
      <c r="BP291" s="649"/>
      <c r="BQ291" s="649"/>
      <c r="BR291" s="649"/>
      <c r="BS291" s="649"/>
      <c r="BT291" s="649"/>
      <c r="BU291" s="649"/>
      <c r="BV291" s="649"/>
      <c r="BW291" s="649"/>
      <c r="BX291" s="649"/>
      <c r="BY291" s="649"/>
      <c r="BZ291" s="649"/>
      <c r="CA291" s="649"/>
      <c r="CB291" s="649"/>
      <c r="CC291" s="649"/>
      <c r="CD291" s="649"/>
      <c r="CE291" s="649"/>
      <c r="CF291" s="649"/>
      <c r="CG291" s="649"/>
      <c r="CH291" s="649"/>
      <c r="CI291" s="649"/>
      <c r="CJ291" s="649"/>
      <c r="CK291" s="649"/>
      <c r="CL291" s="649"/>
      <c r="CM291" s="649"/>
      <c r="CN291" s="649"/>
      <c r="CO291" s="649"/>
      <c r="CP291" s="649"/>
      <c r="CQ291" s="649"/>
      <c r="CR291" s="649"/>
      <c r="CS291" s="649"/>
      <c r="CT291" s="649"/>
      <c r="CU291" s="649"/>
      <c r="CV291" s="649"/>
      <c r="CW291" s="649"/>
      <c r="CX291" s="649"/>
      <c r="CY291" s="649"/>
      <c r="CZ291" s="649"/>
      <c r="DA291" s="214"/>
    </row>
    <row r="292" spans="1:105" s="16" customFormat="1" ht="15" hidden="1" customHeight="1" x14ac:dyDescent="0.3">
      <c r="A292" s="630"/>
      <c r="B292" s="631"/>
      <c r="C292" s="631"/>
      <c r="D292" s="631"/>
      <c r="E292" s="631"/>
      <c r="F292" s="631"/>
      <c r="G292" s="632"/>
      <c r="H292" s="584"/>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5"/>
      <c r="AL292" s="585"/>
      <c r="AM292" s="585"/>
      <c r="AN292" s="585"/>
      <c r="AO292" s="585"/>
      <c r="AP292" s="585"/>
      <c r="AQ292" s="585"/>
      <c r="AR292" s="585"/>
      <c r="AS292" s="585"/>
      <c r="AT292" s="585"/>
      <c r="AU292" s="585"/>
      <c r="AV292" s="585"/>
      <c r="AW292" s="585"/>
      <c r="AX292" s="585"/>
      <c r="AY292" s="585"/>
      <c r="AZ292" s="585"/>
      <c r="BA292" s="585"/>
      <c r="BB292" s="586"/>
      <c r="BC292" s="544"/>
      <c r="BD292" s="545"/>
      <c r="BE292" s="545"/>
      <c r="BF292" s="545"/>
      <c r="BG292" s="545"/>
      <c r="BH292" s="545"/>
      <c r="BI292" s="545"/>
      <c r="BJ292" s="545"/>
      <c r="BK292" s="545"/>
      <c r="BL292" s="545"/>
      <c r="BM292" s="545"/>
      <c r="BN292" s="545"/>
      <c r="BO292" s="545"/>
      <c r="BP292" s="545"/>
      <c r="BQ292" s="545"/>
      <c r="BR292" s="546"/>
      <c r="BS292" s="544"/>
      <c r="BT292" s="545"/>
      <c r="BU292" s="545"/>
      <c r="BV292" s="545"/>
      <c r="BW292" s="545"/>
      <c r="BX292" s="545"/>
      <c r="BY292" s="545"/>
      <c r="BZ292" s="545"/>
      <c r="CA292" s="545"/>
      <c r="CB292" s="545"/>
      <c r="CC292" s="545"/>
      <c r="CD292" s="545"/>
      <c r="CE292" s="545"/>
      <c r="CF292" s="545"/>
      <c r="CG292" s="545"/>
      <c r="CH292" s="546"/>
      <c r="CI292" s="544"/>
      <c r="CJ292" s="545"/>
      <c r="CK292" s="545"/>
      <c r="CL292" s="545"/>
      <c r="CM292" s="545"/>
      <c r="CN292" s="545"/>
      <c r="CO292" s="545"/>
      <c r="CP292" s="545"/>
      <c r="CQ292" s="545"/>
      <c r="CR292" s="545"/>
      <c r="CS292" s="545"/>
      <c r="CT292" s="545"/>
      <c r="CU292" s="545"/>
      <c r="CV292" s="545"/>
      <c r="CW292" s="545"/>
      <c r="CX292" s="545"/>
      <c r="CY292" s="545"/>
      <c r="CZ292" s="546"/>
      <c r="DA292" s="214"/>
    </row>
    <row r="293" spans="1:105" s="16" customFormat="1" ht="15" hidden="1" customHeight="1" x14ac:dyDescent="0.3">
      <c r="A293" s="633" t="s">
        <v>292</v>
      </c>
      <c r="B293" s="634"/>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4"/>
      <c r="AL293" s="634"/>
      <c r="AM293" s="634"/>
      <c r="AN293" s="634"/>
      <c r="AO293" s="634"/>
      <c r="AP293" s="634"/>
      <c r="AQ293" s="634"/>
      <c r="AR293" s="634"/>
      <c r="AS293" s="634"/>
      <c r="AT293" s="634"/>
      <c r="AU293" s="634"/>
      <c r="AV293" s="634"/>
      <c r="AW293" s="634"/>
      <c r="AX293" s="634"/>
      <c r="AY293" s="634"/>
      <c r="AZ293" s="634"/>
      <c r="BA293" s="634"/>
      <c r="BB293" s="635"/>
      <c r="BC293" s="544" t="s">
        <v>4</v>
      </c>
      <c r="BD293" s="545"/>
      <c r="BE293" s="545"/>
      <c r="BF293" s="545"/>
      <c r="BG293" s="545"/>
      <c r="BH293" s="545"/>
      <c r="BI293" s="545"/>
      <c r="BJ293" s="545"/>
      <c r="BK293" s="545"/>
      <c r="BL293" s="545"/>
      <c r="BM293" s="545"/>
      <c r="BN293" s="545"/>
      <c r="BO293" s="545"/>
      <c r="BP293" s="545"/>
      <c r="BQ293" s="545"/>
      <c r="BR293" s="546"/>
      <c r="BS293" s="544" t="s">
        <v>4</v>
      </c>
      <c r="BT293" s="545"/>
      <c r="BU293" s="545"/>
      <c r="BV293" s="545"/>
      <c r="BW293" s="545"/>
      <c r="BX293" s="545"/>
      <c r="BY293" s="545"/>
      <c r="BZ293" s="545"/>
      <c r="CA293" s="545"/>
      <c r="CB293" s="545"/>
      <c r="CC293" s="545"/>
      <c r="CD293" s="545"/>
      <c r="CE293" s="545"/>
      <c r="CF293" s="545"/>
      <c r="CG293" s="545"/>
      <c r="CH293" s="546"/>
      <c r="CI293" s="544"/>
      <c r="CJ293" s="545"/>
      <c r="CK293" s="545"/>
      <c r="CL293" s="545"/>
      <c r="CM293" s="545"/>
      <c r="CN293" s="545"/>
      <c r="CO293" s="545"/>
      <c r="CP293" s="545"/>
      <c r="CQ293" s="545"/>
      <c r="CR293" s="545"/>
      <c r="CS293" s="545"/>
      <c r="CT293" s="545"/>
      <c r="CU293" s="545"/>
      <c r="CV293" s="545"/>
      <c r="CW293" s="545"/>
      <c r="CX293" s="545"/>
      <c r="CY293" s="545"/>
      <c r="CZ293" s="546"/>
      <c r="DA293" s="214"/>
    </row>
    <row r="294" spans="1:105" s="16" customFormat="1" ht="15" hidden="1" customHeight="1" x14ac:dyDescent="0.3">
      <c r="A294" s="648" t="s">
        <v>584</v>
      </c>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9"/>
      <c r="AL294" s="649"/>
      <c r="AM294" s="649"/>
      <c r="AN294" s="649"/>
      <c r="AO294" s="649"/>
      <c r="AP294" s="649"/>
      <c r="AQ294" s="649"/>
      <c r="AR294" s="649"/>
      <c r="AS294" s="649"/>
      <c r="AT294" s="649"/>
      <c r="AU294" s="649"/>
      <c r="AV294" s="649"/>
      <c r="AW294" s="649"/>
      <c r="AX294" s="649"/>
      <c r="AY294" s="649"/>
      <c r="AZ294" s="649"/>
      <c r="BA294" s="649"/>
      <c r="BB294" s="649"/>
      <c r="BC294" s="649"/>
      <c r="BD294" s="649"/>
      <c r="BE294" s="649"/>
      <c r="BF294" s="649"/>
      <c r="BG294" s="649"/>
      <c r="BH294" s="649"/>
      <c r="BI294" s="649"/>
      <c r="BJ294" s="649"/>
      <c r="BK294" s="649"/>
      <c r="BL294" s="649"/>
      <c r="BM294" s="649"/>
      <c r="BN294" s="649"/>
      <c r="BO294" s="649"/>
      <c r="BP294" s="649"/>
      <c r="BQ294" s="649"/>
      <c r="BR294" s="649"/>
      <c r="BS294" s="649"/>
      <c r="BT294" s="649"/>
      <c r="BU294" s="649"/>
      <c r="BV294" s="649"/>
      <c r="BW294" s="649"/>
      <c r="BX294" s="649"/>
      <c r="BY294" s="649"/>
      <c r="BZ294" s="649"/>
      <c r="CA294" s="649"/>
      <c r="CB294" s="649"/>
      <c r="CC294" s="649"/>
      <c r="CD294" s="649"/>
      <c r="CE294" s="649"/>
      <c r="CF294" s="649"/>
      <c r="CG294" s="649"/>
      <c r="CH294" s="649"/>
      <c r="CI294" s="649"/>
      <c r="CJ294" s="649"/>
      <c r="CK294" s="649"/>
      <c r="CL294" s="649"/>
      <c r="CM294" s="649"/>
      <c r="CN294" s="649"/>
      <c r="CO294" s="649"/>
      <c r="CP294" s="649"/>
      <c r="CQ294" s="649"/>
      <c r="CR294" s="649"/>
      <c r="CS294" s="649"/>
      <c r="CT294" s="649"/>
      <c r="CU294" s="649"/>
      <c r="CV294" s="649"/>
      <c r="CW294" s="649"/>
      <c r="CX294" s="649"/>
      <c r="CY294" s="649"/>
      <c r="CZ294" s="649"/>
      <c r="DA294" s="214"/>
    </row>
    <row r="295" spans="1:105" s="16" customFormat="1" ht="37.200000000000003" hidden="1" customHeight="1" x14ac:dyDescent="0.3">
      <c r="A295" s="630" t="s">
        <v>441</v>
      </c>
      <c r="B295" s="631"/>
      <c r="C295" s="631"/>
      <c r="D295" s="631"/>
      <c r="E295" s="631"/>
      <c r="F295" s="631"/>
      <c r="G295" s="632"/>
      <c r="H295" s="584" t="s">
        <v>857</v>
      </c>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6"/>
      <c r="BC295" s="544"/>
      <c r="BD295" s="545"/>
      <c r="BE295" s="545"/>
      <c r="BF295" s="545"/>
      <c r="BG295" s="545"/>
      <c r="BH295" s="545"/>
      <c r="BI295" s="545"/>
      <c r="BJ295" s="545"/>
      <c r="BK295" s="545"/>
      <c r="BL295" s="545"/>
      <c r="BM295" s="545"/>
      <c r="BN295" s="545"/>
      <c r="BO295" s="545"/>
      <c r="BP295" s="545"/>
      <c r="BQ295" s="545"/>
      <c r="BR295" s="546"/>
      <c r="BS295" s="544">
        <v>1</v>
      </c>
      <c r="BT295" s="545"/>
      <c r="BU295" s="545"/>
      <c r="BV295" s="545"/>
      <c r="BW295" s="545"/>
      <c r="BX295" s="545"/>
      <c r="BY295" s="545"/>
      <c r="BZ295" s="545"/>
      <c r="CA295" s="545"/>
      <c r="CB295" s="545"/>
      <c r="CC295" s="545"/>
      <c r="CD295" s="545"/>
      <c r="CE295" s="545"/>
      <c r="CF295" s="545"/>
      <c r="CG295" s="545"/>
      <c r="CH295" s="546"/>
      <c r="CI295" s="627"/>
      <c r="CJ295" s="628"/>
      <c r="CK295" s="628"/>
      <c r="CL295" s="628"/>
      <c r="CM295" s="628"/>
      <c r="CN295" s="628"/>
      <c r="CO295" s="628"/>
      <c r="CP295" s="628"/>
      <c r="CQ295" s="628"/>
      <c r="CR295" s="628"/>
      <c r="CS295" s="628"/>
      <c r="CT295" s="628"/>
      <c r="CU295" s="628"/>
      <c r="CV295" s="628"/>
      <c r="CW295" s="628"/>
      <c r="CX295" s="628"/>
      <c r="CY295" s="628"/>
      <c r="CZ295" s="629"/>
      <c r="DA295" s="214"/>
    </row>
    <row r="296" spans="1:105" s="16" customFormat="1" ht="15" hidden="1" customHeight="1" x14ac:dyDescent="0.3">
      <c r="A296" s="633" t="s">
        <v>292</v>
      </c>
      <c r="B296" s="634"/>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4"/>
      <c r="AL296" s="634"/>
      <c r="AM296" s="634"/>
      <c r="AN296" s="634"/>
      <c r="AO296" s="634"/>
      <c r="AP296" s="634"/>
      <c r="AQ296" s="634"/>
      <c r="AR296" s="634"/>
      <c r="AS296" s="634"/>
      <c r="AT296" s="634"/>
      <c r="AU296" s="634"/>
      <c r="AV296" s="634"/>
      <c r="AW296" s="634"/>
      <c r="AX296" s="634"/>
      <c r="AY296" s="634"/>
      <c r="AZ296" s="634"/>
      <c r="BA296" s="634"/>
      <c r="BB296" s="635"/>
      <c r="BC296" s="544" t="s">
        <v>4</v>
      </c>
      <c r="BD296" s="545"/>
      <c r="BE296" s="545"/>
      <c r="BF296" s="545"/>
      <c r="BG296" s="545"/>
      <c r="BH296" s="545"/>
      <c r="BI296" s="545"/>
      <c r="BJ296" s="545"/>
      <c r="BK296" s="545"/>
      <c r="BL296" s="545"/>
      <c r="BM296" s="545"/>
      <c r="BN296" s="545"/>
      <c r="BO296" s="545"/>
      <c r="BP296" s="545"/>
      <c r="BQ296" s="545"/>
      <c r="BR296" s="546"/>
      <c r="BS296" s="544" t="s">
        <v>4</v>
      </c>
      <c r="BT296" s="545"/>
      <c r="BU296" s="545"/>
      <c r="BV296" s="545"/>
      <c r="BW296" s="545"/>
      <c r="BX296" s="545"/>
      <c r="BY296" s="545"/>
      <c r="BZ296" s="545"/>
      <c r="CA296" s="545"/>
      <c r="CB296" s="545"/>
      <c r="CC296" s="545"/>
      <c r="CD296" s="545"/>
      <c r="CE296" s="545"/>
      <c r="CF296" s="545"/>
      <c r="CG296" s="545"/>
      <c r="CH296" s="546"/>
      <c r="CI296" s="636">
        <f>CI295</f>
        <v>0</v>
      </c>
      <c r="CJ296" s="654"/>
      <c r="CK296" s="654"/>
      <c r="CL296" s="654"/>
      <c r="CM296" s="654"/>
      <c r="CN296" s="654"/>
      <c r="CO296" s="654"/>
      <c r="CP296" s="654"/>
      <c r="CQ296" s="654"/>
      <c r="CR296" s="654"/>
      <c r="CS296" s="654"/>
      <c r="CT296" s="654"/>
      <c r="CU296" s="654"/>
      <c r="CV296" s="654"/>
      <c r="CW296" s="654"/>
      <c r="CX296" s="654"/>
      <c r="CY296" s="654"/>
      <c r="CZ296" s="655"/>
      <c r="DA296" s="214"/>
    </row>
    <row r="297" spans="1:105" s="16" customFormat="1" ht="15" hidden="1" customHeight="1" x14ac:dyDescent="0.3">
      <c r="A297" s="553" t="s">
        <v>56</v>
      </c>
      <c r="B297" s="554"/>
      <c r="C297" s="554"/>
      <c r="D297" s="554"/>
      <c r="E297" s="554"/>
      <c r="F297" s="554"/>
      <c r="G297" s="554"/>
      <c r="H297" s="554"/>
      <c r="I297" s="554"/>
      <c r="J297" s="554"/>
      <c r="K297" s="554"/>
      <c r="L297" s="554"/>
      <c r="M297" s="554"/>
      <c r="N297" s="554"/>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4"/>
      <c r="AL297" s="554"/>
      <c r="AM297" s="554"/>
      <c r="AN297" s="554"/>
      <c r="AO297" s="554"/>
      <c r="AP297" s="554"/>
      <c r="AQ297" s="554"/>
      <c r="AR297" s="554"/>
      <c r="AS297" s="554"/>
      <c r="AT297" s="554"/>
      <c r="AU297" s="554"/>
      <c r="AV297" s="554"/>
      <c r="AW297" s="554"/>
      <c r="AX297" s="554"/>
      <c r="AY297" s="554"/>
      <c r="AZ297" s="554"/>
      <c r="BA297" s="554"/>
      <c r="BB297" s="555"/>
      <c r="BC297" s="582" t="s">
        <v>4</v>
      </c>
      <c r="BD297" s="582"/>
      <c r="BE297" s="582"/>
      <c r="BF297" s="582"/>
      <c r="BG297" s="582"/>
      <c r="BH297" s="582"/>
      <c r="BI297" s="582"/>
      <c r="BJ297" s="582"/>
      <c r="BK297" s="582"/>
      <c r="BL297" s="582"/>
      <c r="BM297" s="582"/>
      <c r="BN297" s="582"/>
      <c r="BO297" s="582"/>
      <c r="BP297" s="582"/>
      <c r="BQ297" s="582"/>
      <c r="BR297" s="582"/>
      <c r="BS297" s="582" t="s">
        <v>4</v>
      </c>
      <c r="BT297" s="582"/>
      <c r="BU297" s="582"/>
      <c r="BV297" s="582"/>
      <c r="BW297" s="582"/>
      <c r="BX297" s="582"/>
      <c r="BY297" s="582"/>
      <c r="BZ297" s="582"/>
      <c r="CA297" s="582"/>
      <c r="CB297" s="582"/>
      <c r="CC297" s="582"/>
      <c r="CD297" s="582"/>
      <c r="CE297" s="582"/>
      <c r="CF297" s="582"/>
      <c r="CG297" s="582"/>
      <c r="CH297" s="582"/>
      <c r="CI297" s="611">
        <f>CI296</f>
        <v>0</v>
      </c>
      <c r="CJ297" s="611"/>
      <c r="CK297" s="611"/>
      <c r="CL297" s="611"/>
      <c r="CM297" s="611"/>
      <c r="CN297" s="611"/>
      <c r="CO297" s="611"/>
      <c r="CP297" s="611"/>
      <c r="CQ297" s="611"/>
      <c r="CR297" s="611"/>
      <c r="CS297" s="611"/>
      <c r="CT297" s="611"/>
      <c r="CU297" s="611"/>
      <c r="CV297" s="611"/>
      <c r="CW297" s="611"/>
      <c r="CX297" s="611"/>
      <c r="CY297" s="611"/>
      <c r="CZ297" s="611"/>
      <c r="DA297" s="214"/>
    </row>
    <row r="298" spans="1:105" ht="12" customHeight="1" x14ac:dyDescent="0.25"/>
    <row r="299" spans="1:105" s="20" customFormat="1" x14ac:dyDescent="0.25">
      <c r="A299" s="594" t="s">
        <v>284</v>
      </c>
      <c r="B299" s="594"/>
      <c r="C299" s="594"/>
      <c r="D299" s="594"/>
      <c r="E299" s="594"/>
      <c r="F299" s="594"/>
      <c r="G299" s="594"/>
      <c r="H299" s="594"/>
      <c r="I299" s="594"/>
      <c r="J299" s="594"/>
      <c r="K299" s="594"/>
      <c r="L299" s="594"/>
      <c r="M299" s="594"/>
      <c r="N299" s="594"/>
      <c r="O299" s="594"/>
      <c r="P299" s="594"/>
      <c r="Q299" s="594"/>
      <c r="R299" s="594"/>
      <c r="S299" s="594"/>
      <c r="T299" s="594"/>
      <c r="U299" s="594"/>
      <c r="V299" s="594"/>
      <c r="W299" s="594"/>
      <c r="X299" s="594"/>
      <c r="Y299" s="594"/>
      <c r="Z299" s="594"/>
      <c r="AA299" s="594"/>
      <c r="AB299" s="594"/>
      <c r="AC299" s="594"/>
      <c r="AD299" s="594"/>
      <c r="AE299" s="594"/>
      <c r="AF299" s="594"/>
      <c r="AG299" s="594"/>
      <c r="AH299" s="594"/>
      <c r="AI299" s="594"/>
      <c r="AJ299" s="594"/>
      <c r="AK299" s="594"/>
      <c r="AL299" s="594"/>
      <c r="AM299" s="594"/>
      <c r="AN299" s="594"/>
      <c r="AO299" s="594"/>
      <c r="AP299" s="594"/>
      <c r="AQ299" s="594"/>
      <c r="AR299" s="594"/>
      <c r="AS299" s="594"/>
      <c r="AT299" s="594"/>
      <c r="AU299" s="594"/>
      <c r="AV299" s="594"/>
      <c r="AW299" s="594"/>
      <c r="AX299" s="594"/>
      <c r="AY299" s="594"/>
      <c r="AZ299" s="594"/>
      <c r="BA299" s="594"/>
      <c r="BB299" s="594"/>
      <c r="BC299" s="594"/>
      <c r="BD299" s="594"/>
      <c r="BE299" s="594"/>
      <c r="BF299" s="594"/>
      <c r="BG299" s="594"/>
      <c r="BH299" s="594"/>
      <c r="BI299" s="594"/>
      <c r="BJ299" s="594"/>
      <c r="BK299" s="594"/>
      <c r="BL299" s="594"/>
      <c r="BM299" s="594"/>
      <c r="BN299" s="594"/>
      <c r="BO299" s="594"/>
      <c r="BP299" s="594"/>
      <c r="BQ299" s="594"/>
      <c r="BR299" s="594"/>
      <c r="BS299" s="594"/>
      <c r="BT299" s="594"/>
      <c r="BU299" s="594"/>
      <c r="BV299" s="594"/>
      <c r="BW299" s="594"/>
      <c r="BX299" s="594"/>
      <c r="BY299" s="594"/>
      <c r="BZ299" s="594"/>
      <c r="CA299" s="594"/>
      <c r="CB299" s="594"/>
      <c r="CC299" s="594"/>
      <c r="CD299" s="594"/>
      <c r="CE299" s="594"/>
      <c r="CF299" s="594"/>
      <c r="CG299" s="594"/>
      <c r="CH299" s="594"/>
      <c r="CI299" s="594"/>
      <c r="CJ299" s="594"/>
      <c r="CK299" s="594"/>
      <c r="CL299" s="594"/>
      <c r="CM299" s="594"/>
      <c r="CN299" s="594"/>
      <c r="CO299" s="594"/>
      <c r="CP299" s="594"/>
      <c r="CQ299" s="594"/>
      <c r="CR299" s="594"/>
      <c r="CS299" s="594"/>
      <c r="CT299" s="594"/>
      <c r="CU299" s="594"/>
      <c r="CV299" s="594"/>
      <c r="CW299" s="594"/>
      <c r="CX299" s="594"/>
      <c r="CY299" s="594"/>
      <c r="CZ299" s="594"/>
    </row>
    <row r="300" spans="1:105" ht="10.5" customHeight="1" x14ac:dyDescent="0.25"/>
    <row r="301" spans="1:105" s="20" customFormat="1" x14ac:dyDescent="0.25">
      <c r="A301" s="594" t="s">
        <v>285</v>
      </c>
      <c r="B301" s="594"/>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95" t="s">
        <v>587</v>
      </c>
      <c r="X303" s="595"/>
      <c r="Y303" s="595"/>
      <c r="Z303" s="595"/>
      <c r="AA303" s="595"/>
      <c r="AB303" s="595"/>
      <c r="AC303" s="595"/>
      <c r="AD303" s="595"/>
      <c r="AE303" s="595"/>
      <c r="AF303" s="595"/>
      <c r="AG303" s="595"/>
      <c r="AH303" s="595"/>
      <c r="AI303" s="595"/>
      <c r="AJ303" s="595"/>
      <c r="AK303" s="595"/>
      <c r="AL303" s="595"/>
      <c r="AM303" s="595"/>
      <c r="AN303" s="595"/>
      <c r="AO303" s="595"/>
      <c r="AP303" s="595"/>
      <c r="AQ303" s="595"/>
      <c r="AR303" s="595"/>
      <c r="AS303" s="595"/>
      <c r="AT303" s="595"/>
      <c r="AU303" s="595"/>
      <c r="AV303" s="595"/>
      <c r="AW303" s="595"/>
      <c r="AX303" s="595"/>
      <c r="AY303" s="595"/>
      <c r="AZ303" s="595"/>
      <c r="BA303" s="595"/>
      <c r="BB303" s="595"/>
      <c r="BC303" s="595"/>
      <c r="BD303" s="595"/>
      <c r="BE303" s="595"/>
      <c r="BF303" s="595"/>
      <c r="BG303" s="595"/>
      <c r="BH303" s="595"/>
      <c r="BI303" s="595"/>
      <c r="BJ303" s="595"/>
      <c r="BK303" s="595"/>
      <c r="BL303" s="595"/>
      <c r="BM303" s="595"/>
      <c r="BN303" s="595"/>
      <c r="BO303" s="595"/>
      <c r="BP303" s="595"/>
      <c r="BQ303" s="595"/>
      <c r="BR303" s="595"/>
      <c r="BS303" s="595"/>
      <c r="BT303" s="595"/>
      <c r="BU303" s="595"/>
      <c r="BV303" s="595"/>
      <c r="BW303" s="595"/>
      <c r="BX303" s="595"/>
      <c r="BY303" s="595"/>
      <c r="BZ303" s="595"/>
      <c r="CA303" s="595"/>
      <c r="CB303" s="595"/>
      <c r="CC303" s="595"/>
      <c r="CD303" s="595"/>
      <c r="CE303" s="595"/>
      <c r="CF303" s="595"/>
      <c r="CG303" s="595"/>
      <c r="CH303" s="595"/>
      <c r="CI303" s="595"/>
      <c r="CJ303" s="595"/>
      <c r="CK303" s="595"/>
      <c r="CL303" s="595"/>
      <c r="CM303" s="595"/>
      <c r="CN303" s="595"/>
      <c r="CO303" s="595"/>
      <c r="CP303" s="595"/>
      <c r="CQ303" s="595"/>
      <c r="CR303" s="595"/>
      <c r="CS303" s="595"/>
      <c r="CT303" s="595"/>
      <c r="CU303" s="595"/>
      <c r="CV303" s="595"/>
      <c r="CW303" s="595"/>
      <c r="CX303" s="595"/>
      <c r="CY303" s="595"/>
      <c r="CZ303" s="595"/>
      <c r="DA303" s="230">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75" t="s">
        <v>49</v>
      </c>
      <c r="B305" s="476"/>
      <c r="C305" s="476"/>
      <c r="D305" s="476"/>
      <c r="E305" s="476"/>
      <c r="F305" s="476"/>
      <c r="G305" s="477"/>
      <c r="H305" s="475" t="s">
        <v>78</v>
      </c>
      <c r="I305" s="476"/>
      <c r="J305" s="476"/>
      <c r="K305" s="476"/>
      <c r="L305" s="476"/>
      <c r="M305" s="476"/>
      <c r="N305" s="476"/>
      <c r="O305" s="476"/>
      <c r="P305" s="476"/>
      <c r="Q305" s="476"/>
      <c r="R305" s="476"/>
      <c r="S305" s="476"/>
      <c r="T305" s="476"/>
      <c r="U305" s="476"/>
      <c r="V305" s="476"/>
      <c r="W305" s="476"/>
      <c r="X305" s="476"/>
      <c r="Y305" s="476"/>
      <c r="Z305" s="476"/>
      <c r="AA305" s="476"/>
      <c r="AB305" s="476"/>
      <c r="AC305" s="476"/>
      <c r="AD305" s="476"/>
      <c r="AE305" s="476"/>
      <c r="AF305" s="476"/>
      <c r="AG305" s="476"/>
      <c r="AH305" s="476"/>
      <c r="AI305" s="476"/>
      <c r="AJ305" s="476"/>
      <c r="AK305" s="476"/>
      <c r="AL305" s="476"/>
      <c r="AM305" s="476"/>
      <c r="AN305" s="477"/>
      <c r="AO305" s="475" t="s">
        <v>82</v>
      </c>
      <c r="AP305" s="476"/>
      <c r="AQ305" s="476"/>
      <c r="AR305" s="476"/>
      <c r="AS305" s="476"/>
      <c r="AT305" s="476"/>
      <c r="AU305" s="476"/>
      <c r="AV305" s="476"/>
      <c r="AW305" s="476"/>
      <c r="AX305" s="476"/>
      <c r="AY305" s="476"/>
      <c r="AZ305" s="476"/>
      <c r="BA305" s="476"/>
      <c r="BB305" s="476"/>
      <c r="BC305" s="476"/>
      <c r="BD305" s="477"/>
      <c r="BE305" s="475" t="s">
        <v>83</v>
      </c>
      <c r="BF305" s="476"/>
      <c r="BG305" s="476"/>
      <c r="BH305" s="476"/>
      <c r="BI305" s="476"/>
      <c r="BJ305" s="476"/>
      <c r="BK305" s="476"/>
      <c r="BL305" s="476"/>
      <c r="BM305" s="476"/>
      <c r="BN305" s="476"/>
      <c r="BO305" s="476"/>
      <c r="BP305" s="476"/>
      <c r="BQ305" s="476"/>
      <c r="BR305" s="476"/>
      <c r="BS305" s="476"/>
      <c r="BT305" s="477"/>
      <c r="BU305" s="475" t="s">
        <v>84</v>
      </c>
      <c r="BV305" s="476"/>
      <c r="BW305" s="476"/>
      <c r="BX305" s="476"/>
      <c r="BY305" s="476"/>
      <c r="BZ305" s="476"/>
      <c r="CA305" s="476"/>
      <c r="CB305" s="476"/>
      <c r="CC305" s="476"/>
      <c r="CD305" s="476"/>
      <c r="CE305" s="476"/>
      <c r="CF305" s="476"/>
      <c r="CG305" s="476"/>
      <c r="CH305" s="476"/>
      <c r="CI305" s="476"/>
      <c r="CJ305" s="477"/>
      <c r="CK305" s="475" t="s">
        <v>61</v>
      </c>
      <c r="CL305" s="476"/>
      <c r="CM305" s="476"/>
      <c r="CN305" s="476"/>
      <c r="CO305" s="476"/>
      <c r="CP305" s="476"/>
      <c r="CQ305" s="476"/>
      <c r="CR305" s="476"/>
      <c r="CS305" s="476"/>
      <c r="CT305" s="476"/>
      <c r="CU305" s="476"/>
      <c r="CV305" s="476"/>
      <c r="CW305" s="476"/>
      <c r="CX305" s="476"/>
      <c r="CY305" s="476"/>
      <c r="CZ305" s="477"/>
      <c r="DA305" s="218"/>
    </row>
    <row r="306" spans="1:105" s="15" customFormat="1" ht="13.2" x14ac:dyDescent="0.3">
      <c r="A306" s="591">
        <v>1</v>
      </c>
      <c r="B306" s="591"/>
      <c r="C306" s="591"/>
      <c r="D306" s="591"/>
      <c r="E306" s="591"/>
      <c r="F306" s="591"/>
      <c r="G306" s="591"/>
      <c r="H306" s="591">
        <v>2</v>
      </c>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1"/>
      <c r="AL306" s="591"/>
      <c r="AM306" s="591"/>
      <c r="AN306" s="591"/>
      <c r="AO306" s="591">
        <v>3</v>
      </c>
      <c r="AP306" s="591"/>
      <c r="AQ306" s="591"/>
      <c r="AR306" s="591"/>
      <c r="AS306" s="591"/>
      <c r="AT306" s="591"/>
      <c r="AU306" s="591"/>
      <c r="AV306" s="591"/>
      <c r="AW306" s="591"/>
      <c r="AX306" s="591"/>
      <c r="AY306" s="591"/>
      <c r="AZ306" s="591"/>
      <c r="BA306" s="591"/>
      <c r="BB306" s="591"/>
      <c r="BC306" s="591"/>
      <c r="BD306" s="591"/>
      <c r="BE306" s="591">
        <v>4</v>
      </c>
      <c r="BF306" s="591"/>
      <c r="BG306" s="591"/>
      <c r="BH306" s="591"/>
      <c r="BI306" s="591"/>
      <c r="BJ306" s="591"/>
      <c r="BK306" s="591"/>
      <c r="BL306" s="591"/>
      <c r="BM306" s="591"/>
      <c r="BN306" s="591"/>
      <c r="BO306" s="591"/>
      <c r="BP306" s="591"/>
      <c r="BQ306" s="591"/>
      <c r="BR306" s="591"/>
      <c r="BS306" s="591"/>
      <c r="BT306" s="591"/>
      <c r="BU306" s="591">
        <v>5</v>
      </c>
      <c r="BV306" s="591"/>
      <c r="BW306" s="591"/>
      <c r="BX306" s="591"/>
      <c r="BY306" s="591"/>
      <c r="BZ306" s="591"/>
      <c r="CA306" s="591"/>
      <c r="CB306" s="591"/>
      <c r="CC306" s="591"/>
      <c r="CD306" s="591"/>
      <c r="CE306" s="591"/>
      <c r="CF306" s="591"/>
      <c r="CG306" s="591"/>
      <c r="CH306" s="591"/>
      <c r="CI306" s="591"/>
      <c r="CJ306" s="591"/>
      <c r="CK306" s="591">
        <v>6</v>
      </c>
      <c r="CL306" s="591"/>
      <c r="CM306" s="591"/>
      <c r="CN306" s="591"/>
      <c r="CO306" s="591"/>
      <c r="CP306" s="591"/>
      <c r="CQ306" s="591"/>
      <c r="CR306" s="591"/>
      <c r="CS306" s="591"/>
      <c r="CT306" s="591"/>
      <c r="CU306" s="591"/>
      <c r="CV306" s="591"/>
      <c r="CW306" s="591"/>
      <c r="CX306" s="591"/>
      <c r="CY306" s="591"/>
      <c r="CZ306" s="591"/>
      <c r="DA306" s="219"/>
    </row>
    <row r="307" spans="1:105" s="16" customFormat="1" ht="15" customHeight="1" x14ac:dyDescent="0.3">
      <c r="A307" s="656" t="s">
        <v>537</v>
      </c>
      <c r="B307" s="657"/>
      <c r="C307" s="657"/>
      <c r="D307" s="657"/>
      <c r="E307" s="657"/>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57"/>
      <c r="BQ307" s="657"/>
      <c r="BR307" s="657"/>
      <c r="BS307" s="657"/>
      <c r="BT307" s="657"/>
      <c r="BU307" s="657"/>
      <c r="BV307" s="657"/>
      <c r="BW307" s="657"/>
      <c r="BX307" s="657"/>
      <c r="BY307" s="657"/>
      <c r="BZ307" s="657"/>
      <c r="CA307" s="657"/>
      <c r="CB307" s="657"/>
      <c r="CC307" s="657"/>
      <c r="CD307" s="657"/>
      <c r="CE307" s="657"/>
      <c r="CF307" s="657"/>
      <c r="CG307" s="657"/>
      <c r="CH307" s="657"/>
      <c r="CI307" s="657"/>
      <c r="CJ307" s="657"/>
      <c r="CK307" s="657"/>
      <c r="CL307" s="657"/>
      <c r="CM307" s="657"/>
      <c r="CN307" s="657"/>
      <c r="CO307" s="657"/>
      <c r="CP307" s="657"/>
      <c r="CQ307" s="657"/>
      <c r="CR307" s="657"/>
      <c r="CS307" s="657"/>
      <c r="CT307" s="657"/>
      <c r="CU307" s="657"/>
      <c r="CV307" s="657"/>
      <c r="CW307" s="657"/>
      <c r="CX307" s="657"/>
      <c r="CY307" s="657"/>
      <c r="CZ307" s="658"/>
      <c r="DA307" s="214"/>
    </row>
    <row r="308" spans="1:105" s="16" customFormat="1" ht="58.5" customHeight="1" x14ac:dyDescent="0.3">
      <c r="A308" s="630" t="s">
        <v>441</v>
      </c>
      <c r="B308" s="631"/>
      <c r="C308" s="631"/>
      <c r="D308" s="631"/>
      <c r="E308" s="631"/>
      <c r="F308" s="631"/>
      <c r="G308" s="632"/>
      <c r="H308" s="584" t="s">
        <v>588</v>
      </c>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5"/>
      <c r="AL308" s="585"/>
      <c r="AM308" s="585"/>
      <c r="AN308" s="586"/>
      <c r="AO308" s="544">
        <v>22</v>
      </c>
      <c r="AP308" s="545"/>
      <c r="AQ308" s="545"/>
      <c r="AR308" s="545"/>
      <c r="AS308" s="545"/>
      <c r="AT308" s="545"/>
      <c r="AU308" s="545"/>
      <c r="AV308" s="545"/>
      <c r="AW308" s="545"/>
      <c r="AX308" s="545"/>
      <c r="AY308" s="545"/>
      <c r="AZ308" s="545"/>
      <c r="BA308" s="545"/>
      <c r="BB308" s="545"/>
      <c r="BC308" s="545"/>
      <c r="BD308" s="546"/>
      <c r="BE308" s="544">
        <v>11</v>
      </c>
      <c r="BF308" s="545"/>
      <c r="BG308" s="545"/>
      <c r="BH308" s="545"/>
      <c r="BI308" s="545"/>
      <c r="BJ308" s="545"/>
      <c r="BK308" s="545"/>
      <c r="BL308" s="545"/>
      <c r="BM308" s="545"/>
      <c r="BN308" s="545"/>
      <c r="BO308" s="545"/>
      <c r="BP308" s="545"/>
      <c r="BQ308" s="545"/>
      <c r="BR308" s="545"/>
      <c r="BS308" s="545"/>
      <c r="BT308" s="546"/>
      <c r="BU308" s="639">
        <f>CK308/BE308/AO308</f>
        <v>20.66115702479339</v>
      </c>
      <c r="BV308" s="640"/>
      <c r="BW308" s="640"/>
      <c r="BX308" s="640"/>
      <c r="BY308" s="640"/>
      <c r="BZ308" s="640"/>
      <c r="CA308" s="640"/>
      <c r="CB308" s="640"/>
      <c r="CC308" s="640"/>
      <c r="CD308" s="640"/>
      <c r="CE308" s="640"/>
      <c r="CF308" s="640"/>
      <c r="CG308" s="640"/>
      <c r="CH308" s="640"/>
      <c r="CI308" s="640"/>
      <c r="CJ308" s="641"/>
      <c r="CK308" s="627">
        <v>5000</v>
      </c>
      <c r="CL308" s="628"/>
      <c r="CM308" s="628"/>
      <c r="CN308" s="628"/>
      <c r="CO308" s="628"/>
      <c r="CP308" s="628"/>
      <c r="CQ308" s="628"/>
      <c r="CR308" s="628"/>
      <c r="CS308" s="628"/>
      <c r="CT308" s="628"/>
      <c r="CU308" s="628"/>
      <c r="CV308" s="628"/>
      <c r="CW308" s="628"/>
      <c r="CX308" s="628"/>
      <c r="CY308" s="628"/>
      <c r="CZ308" s="629"/>
      <c r="DA308" s="214"/>
    </row>
    <row r="309" spans="1:105" s="16" customFormat="1" ht="58.5" customHeight="1" x14ac:dyDescent="0.3">
      <c r="A309" s="630" t="s">
        <v>444</v>
      </c>
      <c r="B309" s="631"/>
      <c r="C309" s="631"/>
      <c r="D309" s="631"/>
      <c r="E309" s="631"/>
      <c r="F309" s="631"/>
      <c r="G309" s="632"/>
      <c r="H309" s="584" t="s">
        <v>589</v>
      </c>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5"/>
      <c r="AL309" s="585"/>
      <c r="AM309" s="585"/>
      <c r="AN309" s="586"/>
      <c r="AO309" s="544">
        <v>4</v>
      </c>
      <c r="AP309" s="545"/>
      <c r="AQ309" s="545"/>
      <c r="AR309" s="545"/>
      <c r="AS309" s="545"/>
      <c r="AT309" s="545"/>
      <c r="AU309" s="545"/>
      <c r="AV309" s="545"/>
      <c r="AW309" s="545"/>
      <c r="AX309" s="545"/>
      <c r="AY309" s="545"/>
      <c r="AZ309" s="545"/>
      <c r="BA309" s="545"/>
      <c r="BB309" s="545"/>
      <c r="BC309" s="545"/>
      <c r="BD309" s="546"/>
      <c r="BE309" s="544">
        <v>11</v>
      </c>
      <c r="BF309" s="545"/>
      <c r="BG309" s="545"/>
      <c r="BH309" s="545"/>
      <c r="BI309" s="545"/>
      <c r="BJ309" s="545"/>
      <c r="BK309" s="545"/>
      <c r="BL309" s="545"/>
      <c r="BM309" s="545"/>
      <c r="BN309" s="545"/>
      <c r="BO309" s="545"/>
      <c r="BP309" s="545"/>
      <c r="BQ309" s="545"/>
      <c r="BR309" s="545"/>
      <c r="BS309" s="545"/>
      <c r="BT309" s="546"/>
      <c r="BU309" s="639">
        <f t="shared" ref="BU309:BU312" si="2">CK309/BE309/AO309</f>
        <v>159.09090909090909</v>
      </c>
      <c r="BV309" s="640"/>
      <c r="BW309" s="640"/>
      <c r="BX309" s="640"/>
      <c r="BY309" s="640"/>
      <c r="BZ309" s="640"/>
      <c r="CA309" s="640"/>
      <c r="CB309" s="640"/>
      <c r="CC309" s="640"/>
      <c r="CD309" s="640"/>
      <c r="CE309" s="640"/>
      <c r="CF309" s="640"/>
      <c r="CG309" s="640"/>
      <c r="CH309" s="640"/>
      <c r="CI309" s="640"/>
      <c r="CJ309" s="641"/>
      <c r="CK309" s="627">
        <v>7000</v>
      </c>
      <c r="CL309" s="628"/>
      <c r="CM309" s="628"/>
      <c r="CN309" s="628"/>
      <c r="CO309" s="628"/>
      <c r="CP309" s="628"/>
      <c r="CQ309" s="628"/>
      <c r="CR309" s="628"/>
      <c r="CS309" s="628"/>
      <c r="CT309" s="628"/>
      <c r="CU309" s="628"/>
      <c r="CV309" s="628"/>
      <c r="CW309" s="628"/>
      <c r="CX309" s="628"/>
      <c r="CY309" s="628"/>
      <c r="CZ309" s="629"/>
      <c r="DA309" s="214"/>
    </row>
    <row r="310" spans="1:105" s="16" customFormat="1" ht="15" customHeight="1" x14ac:dyDescent="0.3">
      <c r="A310" s="630" t="s">
        <v>446</v>
      </c>
      <c r="B310" s="631"/>
      <c r="C310" s="631"/>
      <c r="D310" s="631"/>
      <c r="E310" s="631"/>
      <c r="F310" s="631"/>
      <c r="G310" s="632"/>
      <c r="H310" s="584" t="s">
        <v>590</v>
      </c>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5"/>
      <c r="AL310" s="585"/>
      <c r="AM310" s="585"/>
      <c r="AN310" s="586"/>
      <c r="AO310" s="544">
        <v>1</v>
      </c>
      <c r="AP310" s="545"/>
      <c r="AQ310" s="545"/>
      <c r="AR310" s="545"/>
      <c r="AS310" s="545"/>
      <c r="AT310" s="545"/>
      <c r="AU310" s="545"/>
      <c r="AV310" s="545"/>
      <c r="AW310" s="545"/>
      <c r="AX310" s="545"/>
      <c r="AY310" s="545"/>
      <c r="AZ310" s="545"/>
      <c r="BA310" s="545"/>
      <c r="BB310" s="545"/>
      <c r="BC310" s="545"/>
      <c r="BD310" s="546"/>
      <c r="BE310" s="544">
        <v>12</v>
      </c>
      <c r="BF310" s="545"/>
      <c r="BG310" s="545"/>
      <c r="BH310" s="545"/>
      <c r="BI310" s="545"/>
      <c r="BJ310" s="545"/>
      <c r="BK310" s="545"/>
      <c r="BL310" s="545"/>
      <c r="BM310" s="545"/>
      <c r="BN310" s="545"/>
      <c r="BO310" s="545"/>
      <c r="BP310" s="545"/>
      <c r="BQ310" s="545"/>
      <c r="BR310" s="545"/>
      <c r="BS310" s="545"/>
      <c r="BT310" s="546"/>
      <c r="BU310" s="639">
        <f t="shared" si="2"/>
        <v>416.66666666666669</v>
      </c>
      <c r="BV310" s="640"/>
      <c r="BW310" s="640"/>
      <c r="BX310" s="640"/>
      <c r="BY310" s="640"/>
      <c r="BZ310" s="640"/>
      <c r="CA310" s="640"/>
      <c r="CB310" s="640"/>
      <c r="CC310" s="640"/>
      <c r="CD310" s="640"/>
      <c r="CE310" s="640"/>
      <c r="CF310" s="640"/>
      <c r="CG310" s="640"/>
      <c r="CH310" s="640"/>
      <c r="CI310" s="640"/>
      <c r="CJ310" s="641"/>
      <c r="CK310" s="627">
        <v>5000</v>
      </c>
      <c r="CL310" s="628"/>
      <c r="CM310" s="628"/>
      <c r="CN310" s="628"/>
      <c r="CO310" s="628"/>
      <c r="CP310" s="628"/>
      <c r="CQ310" s="628"/>
      <c r="CR310" s="628"/>
      <c r="CS310" s="628"/>
      <c r="CT310" s="628"/>
      <c r="CU310" s="628"/>
      <c r="CV310" s="628"/>
      <c r="CW310" s="628"/>
      <c r="CX310" s="628"/>
      <c r="CY310" s="628"/>
      <c r="CZ310" s="629"/>
      <c r="DA310" s="214"/>
    </row>
    <row r="311" spans="1:105" s="16" customFormat="1" ht="15" customHeight="1" x14ac:dyDescent="0.3">
      <c r="A311" s="630" t="s">
        <v>551</v>
      </c>
      <c r="B311" s="631"/>
      <c r="C311" s="631"/>
      <c r="D311" s="631"/>
      <c r="E311" s="631"/>
      <c r="F311" s="631"/>
      <c r="G311" s="632"/>
      <c r="H311" s="584" t="s">
        <v>850</v>
      </c>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6"/>
      <c r="AO311" s="544">
        <v>2</v>
      </c>
      <c r="AP311" s="545"/>
      <c r="AQ311" s="545"/>
      <c r="AR311" s="545"/>
      <c r="AS311" s="545"/>
      <c r="AT311" s="545"/>
      <c r="AU311" s="545"/>
      <c r="AV311" s="545"/>
      <c r="AW311" s="545"/>
      <c r="AX311" s="545"/>
      <c r="AY311" s="545"/>
      <c r="AZ311" s="545"/>
      <c r="BA311" s="545"/>
      <c r="BB311" s="545"/>
      <c r="BC311" s="545"/>
      <c r="BD311" s="546"/>
      <c r="BE311" s="544">
        <v>1</v>
      </c>
      <c r="BF311" s="545"/>
      <c r="BG311" s="545"/>
      <c r="BH311" s="545"/>
      <c r="BI311" s="545"/>
      <c r="BJ311" s="545"/>
      <c r="BK311" s="545"/>
      <c r="BL311" s="545"/>
      <c r="BM311" s="545"/>
      <c r="BN311" s="545"/>
      <c r="BO311" s="545"/>
      <c r="BP311" s="545"/>
      <c r="BQ311" s="545"/>
      <c r="BR311" s="545"/>
      <c r="BS311" s="545"/>
      <c r="BT311" s="546"/>
      <c r="BU311" s="639">
        <f t="shared" si="2"/>
        <v>1000</v>
      </c>
      <c r="BV311" s="640"/>
      <c r="BW311" s="640"/>
      <c r="BX311" s="640"/>
      <c r="BY311" s="640"/>
      <c r="BZ311" s="640"/>
      <c r="CA311" s="640"/>
      <c r="CB311" s="640"/>
      <c r="CC311" s="640"/>
      <c r="CD311" s="640"/>
      <c r="CE311" s="640"/>
      <c r="CF311" s="640"/>
      <c r="CG311" s="640"/>
      <c r="CH311" s="640"/>
      <c r="CI311" s="640"/>
      <c r="CJ311" s="641"/>
      <c r="CK311" s="627">
        <v>2000</v>
      </c>
      <c r="CL311" s="628"/>
      <c r="CM311" s="628"/>
      <c r="CN311" s="628"/>
      <c r="CO311" s="628"/>
      <c r="CP311" s="628"/>
      <c r="CQ311" s="628"/>
      <c r="CR311" s="628"/>
      <c r="CS311" s="628"/>
      <c r="CT311" s="628"/>
      <c r="CU311" s="628"/>
      <c r="CV311" s="628"/>
      <c r="CW311" s="628"/>
      <c r="CX311" s="628"/>
      <c r="CY311" s="628"/>
      <c r="CZ311" s="629"/>
      <c r="DA311" s="214"/>
    </row>
    <row r="312" spans="1:105" s="16" customFormat="1" ht="31.2" customHeight="1" x14ac:dyDescent="0.3">
      <c r="A312" s="630" t="s">
        <v>599</v>
      </c>
      <c r="B312" s="631"/>
      <c r="C312" s="631"/>
      <c r="D312" s="631"/>
      <c r="E312" s="631"/>
      <c r="F312" s="631"/>
      <c r="G312" s="632"/>
      <c r="H312" s="584" t="s">
        <v>953</v>
      </c>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5"/>
      <c r="AL312" s="585"/>
      <c r="AM312" s="585"/>
      <c r="AN312" s="586"/>
      <c r="AO312" s="544">
        <v>1</v>
      </c>
      <c r="AP312" s="545"/>
      <c r="AQ312" s="545"/>
      <c r="AR312" s="545"/>
      <c r="AS312" s="545"/>
      <c r="AT312" s="545"/>
      <c r="AU312" s="545"/>
      <c r="AV312" s="545"/>
      <c r="AW312" s="545"/>
      <c r="AX312" s="545"/>
      <c r="AY312" s="545"/>
      <c r="AZ312" s="545"/>
      <c r="BA312" s="545"/>
      <c r="BB312" s="545"/>
      <c r="BC312" s="545"/>
      <c r="BD312" s="546"/>
      <c r="BE312" s="544">
        <v>12</v>
      </c>
      <c r="BF312" s="545"/>
      <c r="BG312" s="545"/>
      <c r="BH312" s="545"/>
      <c r="BI312" s="545"/>
      <c r="BJ312" s="545"/>
      <c r="BK312" s="545"/>
      <c r="BL312" s="545"/>
      <c r="BM312" s="545"/>
      <c r="BN312" s="545"/>
      <c r="BO312" s="545"/>
      <c r="BP312" s="545"/>
      <c r="BQ312" s="545"/>
      <c r="BR312" s="545"/>
      <c r="BS312" s="545"/>
      <c r="BT312" s="546"/>
      <c r="BU312" s="639">
        <f t="shared" si="2"/>
        <v>91.666666666666671</v>
      </c>
      <c r="BV312" s="640"/>
      <c r="BW312" s="640"/>
      <c r="BX312" s="640"/>
      <c r="BY312" s="640"/>
      <c r="BZ312" s="640"/>
      <c r="CA312" s="640"/>
      <c r="CB312" s="640"/>
      <c r="CC312" s="640"/>
      <c r="CD312" s="640"/>
      <c r="CE312" s="640"/>
      <c r="CF312" s="640"/>
      <c r="CG312" s="640"/>
      <c r="CH312" s="640"/>
      <c r="CI312" s="640"/>
      <c r="CJ312" s="641"/>
      <c r="CK312" s="627">
        <v>1100</v>
      </c>
      <c r="CL312" s="628"/>
      <c r="CM312" s="628"/>
      <c r="CN312" s="628"/>
      <c r="CO312" s="628"/>
      <c r="CP312" s="628"/>
      <c r="CQ312" s="628"/>
      <c r="CR312" s="628"/>
      <c r="CS312" s="628"/>
      <c r="CT312" s="628"/>
      <c r="CU312" s="628"/>
      <c r="CV312" s="628"/>
      <c r="CW312" s="628"/>
      <c r="CX312" s="628"/>
      <c r="CY312" s="628"/>
      <c r="CZ312" s="629"/>
      <c r="DA312" s="214"/>
    </row>
    <row r="313" spans="1:105" s="16" customFormat="1" ht="15" customHeight="1" x14ac:dyDescent="0.3">
      <c r="A313" s="553" t="s">
        <v>292</v>
      </c>
      <c r="B313" s="554"/>
      <c r="C313" s="554"/>
      <c r="D313" s="554"/>
      <c r="E313" s="554"/>
      <c r="F313" s="554"/>
      <c r="G313" s="554"/>
      <c r="H313" s="554"/>
      <c r="I313" s="554"/>
      <c r="J313" s="554"/>
      <c r="K313" s="554"/>
      <c r="L313" s="554"/>
      <c r="M313" s="554"/>
      <c r="N313" s="554"/>
      <c r="O313" s="554"/>
      <c r="P313" s="554"/>
      <c r="Q313" s="554"/>
      <c r="R313" s="554"/>
      <c r="S313" s="554"/>
      <c r="T313" s="554"/>
      <c r="U313" s="554"/>
      <c r="V313" s="554"/>
      <c r="W313" s="554"/>
      <c r="X313" s="554"/>
      <c r="Y313" s="554"/>
      <c r="Z313" s="554"/>
      <c r="AA313" s="554"/>
      <c r="AB313" s="554"/>
      <c r="AC313" s="554"/>
      <c r="AD313" s="554"/>
      <c r="AE313" s="554"/>
      <c r="AF313" s="554"/>
      <c r="AG313" s="554"/>
      <c r="AH313" s="554"/>
      <c r="AI313" s="554"/>
      <c r="AJ313" s="554"/>
      <c r="AK313" s="554"/>
      <c r="AL313" s="554"/>
      <c r="AM313" s="554"/>
      <c r="AN313" s="555"/>
      <c r="AO313" s="544" t="s">
        <v>4</v>
      </c>
      <c r="AP313" s="545"/>
      <c r="AQ313" s="545"/>
      <c r="AR313" s="545"/>
      <c r="AS313" s="545"/>
      <c r="AT313" s="545"/>
      <c r="AU313" s="545"/>
      <c r="AV313" s="545"/>
      <c r="AW313" s="545"/>
      <c r="AX313" s="545"/>
      <c r="AY313" s="545"/>
      <c r="AZ313" s="545"/>
      <c r="BA313" s="545"/>
      <c r="BB313" s="545"/>
      <c r="BC313" s="545"/>
      <c r="BD313" s="546"/>
      <c r="BE313" s="544" t="s">
        <v>4</v>
      </c>
      <c r="BF313" s="545"/>
      <c r="BG313" s="545"/>
      <c r="BH313" s="545"/>
      <c r="BI313" s="545"/>
      <c r="BJ313" s="545"/>
      <c r="BK313" s="545"/>
      <c r="BL313" s="545"/>
      <c r="BM313" s="545"/>
      <c r="BN313" s="545"/>
      <c r="BO313" s="545"/>
      <c r="BP313" s="545"/>
      <c r="BQ313" s="545"/>
      <c r="BR313" s="545"/>
      <c r="BS313" s="545"/>
      <c r="BT313" s="546"/>
      <c r="BU313" s="544" t="s">
        <v>4</v>
      </c>
      <c r="BV313" s="545"/>
      <c r="BW313" s="545"/>
      <c r="BX313" s="545"/>
      <c r="BY313" s="545"/>
      <c r="BZ313" s="545"/>
      <c r="CA313" s="545"/>
      <c r="CB313" s="545"/>
      <c r="CC313" s="545"/>
      <c r="CD313" s="545"/>
      <c r="CE313" s="545"/>
      <c r="CF313" s="545"/>
      <c r="CG313" s="545"/>
      <c r="CH313" s="545"/>
      <c r="CI313" s="545"/>
      <c r="CJ313" s="546"/>
      <c r="CK313" s="636">
        <f>SUM(CK308:CZ312)</f>
        <v>20100</v>
      </c>
      <c r="CL313" s="637"/>
      <c r="CM313" s="637"/>
      <c r="CN313" s="637"/>
      <c r="CO313" s="637"/>
      <c r="CP313" s="637"/>
      <c r="CQ313" s="637"/>
      <c r="CR313" s="637"/>
      <c r="CS313" s="637"/>
      <c r="CT313" s="637"/>
      <c r="CU313" s="637"/>
      <c r="CV313" s="637"/>
      <c r="CW313" s="637"/>
      <c r="CX313" s="637"/>
      <c r="CY313" s="637"/>
      <c r="CZ313" s="638"/>
      <c r="DA313" s="214"/>
    </row>
    <row r="314" spans="1:105" s="16" customFormat="1" ht="15" customHeight="1" x14ac:dyDescent="0.3">
      <c r="A314" s="656" t="s">
        <v>591</v>
      </c>
      <c r="B314" s="657"/>
      <c r="C314" s="657"/>
      <c r="D314" s="657"/>
      <c r="E314" s="657"/>
      <c r="F314" s="657"/>
      <c r="G314" s="657"/>
      <c r="H314" s="657"/>
      <c r="I314" s="657"/>
      <c r="J314" s="657"/>
      <c r="K314" s="657"/>
      <c r="L314" s="657"/>
      <c r="M314" s="657"/>
      <c r="N314" s="657"/>
      <c r="O314" s="657"/>
      <c r="P314" s="657"/>
      <c r="Q314" s="657"/>
      <c r="R314" s="657"/>
      <c r="S314" s="657"/>
      <c r="T314" s="657"/>
      <c r="U314" s="657"/>
      <c r="V314" s="657"/>
      <c r="W314" s="657"/>
      <c r="X314" s="657"/>
      <c r="Y314" s="657"/>
      <c r="Z314" s="657"/>
      <c r="AA314" s="657"/>
      <c r="AB314" s="657"/>
      <c r="AC314" s="657"/>
      <c r="AD314" s="657"/>
      <c r="AE314" s="657"/>
      <c r="AF314" s="657"/>
      <c r="AG314" s="657"/>
      <c r="AH314" s="657"/>
      <c r="AI314" s="657"/>
      <c r="AJ314" s="657"/>
      <c r="AK314" s="657"/>
      <c r="AL314" s="657"/>
      <c r="AM314" s="657"/>
      <c r="AN314" s="657"/>
      <c r="AO314" s="65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57"/>
      <c r="BQ314" s="657"/>
      <c r="BR314" s="657"/>
      <c r="BS314" s="657"/>
      <c r="BT314" s="657"/>
      <c r="BU314" s="657"/>
      <c r="BV314" s="657"/>
      <c r="BW314" s="657"/>
      <c r="BX314" s="657"/>
      <c r="BY314" s="657"/>
      <c r="BZ314" s="657"/>
      <c r="CA314" s="657"/>
      <c r="CB314" s="657"/>
      <c r="CC314" s="657"/>
      <c r="CD314" s="657"/>
      <c r="CE314" s="657"/>
      <c r="CF314" s="657"/>
      <c r="CG314" s="657"/>
      <c r="CH314" s="657"/>
      <c r="CI314" s="657"/>
      <c r="CJ314" s="657"/>
      <c r="CK314" s="657"/>
      <c r="CL314" s="657"/>
      <c r="CM314" s="657"/>
      <c r="CN314" s="657"/>
      <c r="CO314" s="657"/>
      <c r="CP314" s="657"/>
      <c r="CQ314" s="657"/>
      <c r="CR314" s="657"/>
      <c r="CS314" s="657"/>
      <c r="CT314" s="657"/>
      <c r="CU314" s="657"/>
      <c r="CV314" s="657"/>
      <c r="CW314" s="657"/>
      <c r="CX314" s="657"/>
      <c r="CY314" s="657"/>
      <c r="CZ314" s="658"/>
      <c r="DA314" s="214"/>
    </row>
    <row r="315" spans="1:105" s="16" customFormat="1" ht="51" customHeight="1" x14ac:dyDescent="0.3">
      <c r="A315" s="630" t="s">
        <v>441</v>
      </c>
      <c r="B315" s="631"/>
      <c r="C315" s="631"/>
      <c r="D315" s="631"/>
      <c r="E315" s="631"/>
      <c r="F315" s="631"/>
      <c r="G315" s="632"/>
      <c r="H315" s="584" t="s">
        <v>588</v>
      </c>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5"/>
      <c r="AL315" s="585"/>
      <c r="AM315" s="585"/>
      <c r="AN315" s="586"/>
      <c r="AO315" s="544">
        <v>22</v>
      </c>
      <c r="AP315" s="545"/>
      <c r="AQ315" s="545"/>
      <c r="AR315" s="545"/>
      <c r="AS315" s="545"/>
      <c r="AT315" s="545"/>
      <c r="AU315" s="545"/>
      <c r="AV315" s="545"/>
      <c r="AW315" s="545"/>
      <c r="AX315" s="545"/>
      <c r="AY315" s="545"/>
      <c r="AZ315" s="545"/>
      <c r="BA315" s="545"/>
      <c r="BB315" s="545"/>
      <c r="BC315" s="545"/>
      <c r="BD315" s="546"/>
      <c r="BE315" s="544">
        <v>12</v>
      </c>
      <c r="BF315" s="545"/>
      <c r="BG315" s="545"/>
      <c r="BH315" s="545"/>
      <c r="BI315" s="545"/>
      <c r="BJ315" s="545"/>
      <c r="BK315" s="545"/>
      <c r="BL315" s="545"/>
      <c r="BM315" s="545"/>
      <c r="BN315" s="545"/>
      <c r="BO315" s="545"/>
      <c r="BP315" s="545"/>
      <c r="BQ315" s="545"/>
      <c r="BR315" s="545"/>
      <c r="BS315" s="545"/>
      <c r="BT315" s="546"/>
      <c r="BU315" s="639">
        <f>CK315/BE315/AO315</f>
        <v>18.939393939393941</v>
      </c>
      <c r="BV315" s="640"/>
      <c r="BW315" s="640"/>
      <c r="BX315" s="640"/>
      <c r="BY315" s="640"/>
      <c r="BZ315" s="640"/>
      <c r="CA315" s="640"/>
      <c r="CB315" s="640"/>
      <c r="CC315" s="640"/>
      <c r="CD315" s="640"/>
      <c r="CE315" s="640"/>
      <c r="CF315" s="640"/>
      <c r="CG315" s="640"/>
      <c r="CH315" s="640"/>
      <c r="CI315" s="640"/>
      <c r="CJ315" s="641"/>
      <c r="CK315" s="627">
        <v>5000</v>
      </c>
      <c r="CL315" s="628"/>
      <c r="CM315" s="628"/>
      <c r="CN315" s="628"/>
      <c r="CO315" s="628"/>
      <c r="CP315" s="628"/>
      <c r="CQ315" s="628"/>
      <c r="CR315" s="628"/>
      <c r="CS315" s="628"/>
      <c r="CT315" s="628"/>
      <c r="CU315" s="628"/>
      <c r="CV315" s="628"/>
      <c r="CW315" s="628"/>
      <c r="CX315" s="628"/>
      <c r="CY315" s="628"/>
      <c r="CZ315" s="629"/>
      <c r="DA315" s="214"/>
    </row>
    <row r="316" spans="1:105" s="16" customFormat="1" ht="56.25" customHeight="1" x14ac:dyDescent="0.3">
      <c r="A316" s="630" t="s">
        <v>444</v>
      </c>
      <c r="B316" s="631"/>
      <c r="C316" s="631"/>
      <c r="D316" s="631"/>
      <c r="E316" s="631"/>
      <c r="F316" s="631"/>
      <c r="G316" s="632"/>
      <c r="H316" s="584" t="s">
        <v>589</v>
      </c>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5"/>
      <c r="AL316" s="585"/>
      <c r="AM316" s="585"/>
      <c r="AN316" s="586"/>
      <c r="AO316" s="544">
        <v>4</v>
      </c>
      <c r="AP316" s="545"/>
      <c r="AQ316" s="545"/>
      <c r="AR316" s="545"/>
      <c r="AS316" s="545"/>
      <c r="AT316" s="545"/>
      <c r="AU316" s="545"/>
      <c r="AV316" s="545"/>
      <c r="AW316" s="545"/>
      <c r="AX316" s="545"/>
      <c r="AY316" s="545"/>
      <c r="AZ316" s="545"/>
      <c r="BA316" s="545"/>
      <c r="BB316" s="545"/>
      <c r="BC316" s="545"/>
      <c r="BD316" s="546"/>
      <c r="BE316" s="544">
        <v>12</v>
      </c>
      <c r="BF316" s="545"/>
      <c r="BG316" s="545"/>
      <c r="BH316" s="545"/>
      <c r="BI316" s="545"/>
      <c r="BJ316" s="545"/>
      <c r="BK316" s="545"/>
      <c r="BL316" s="545"/>
      <c r="BM316" s="545"/>
      <c r="BN316" s="545"/>
      <c r="BO316" s="545"/>
      <c r="BP316" s="545"/>
      <c r="BQ316" s="545"/>
      <c r="BR316" s="545"/>
      <c r="BS316" s="545"/>
      <c r="BT316" s="546"/>
      <c r="BU316" s="639">
        <f>CK316/BE316/AO316</f>
        <v>145.83333333333334</v>
      </c>
      <c r="BV316" s="640"/>
      <c r="BW316" s="640"/>
      <c r="BX316" s="640"/>
      <c r="BY316" s="640"/>
      <c r="BZ316" s="640"/>
      <c r="CA316" s="640"/>
      <c r="CB316" s="640"/>
      <c r="CC316" s="640"/>
      <c r="CD316" s="640"/>
      <c r="CE316" s="640"/>
      <c r="CF316" s="640"/>
      <c r="CG316" s="640"/>
      <c r="CH316" s="640"/>
      <c r="CI316" s="640"/>
      <c r="CJ316" s="641"/>
      <c r="CK316" s="627">
        <v>7000</v>
      </c>
      <c r="CL316" s="628"/>
      <c r="CM316" s="628"/>
      <c r="CN316" s="628"/>
      <c r="CO316" s="628"/>
      <c r="CP316" s="628"/>
      <c r="CQ316" s="628"/>
      <c r="CR316" s="628"/>
      <c r="CS316" s="628"/>
      <c r="CT316" s="628"/>
      <c r="CU316" s="628"/>
      <c r="CV316" s="628"/>
      <c r="CW316" s="628"/>
      <c r="CX316" s="628"/>
      <c r="CY316" s="628"/>
      <c r="CZ316" s="629"/>
      <c r="DA316" s="214"/>
    </row>
    <row r="317" spans="1:105" s="16" customFormat="1" ht="56.25" customHeight="1" x14ac:dyDescent="0.3">
      <c r="A317" s="630" t="s">
        <v>446</v>
      </c>
      <c r="B317" s="631"/>
      <c r="C317" s="631"/>
      <c r="D317" s="631"/>
      <c r="E317" s="631"/>
      <c r="F317" s="631"/>
      <c r="G317" s="632"/>
      <c r="H317" s="584" t="s">
        <v>953</v>
      </c>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5"/>
      <c r="AL317" s="585"/>
      <c r="AM317" s="585"/>
      <c r="AN317" s="586"/>
      <c r="AO317" s="544">
        <v>1</v>
      </c>
      <c r="AP317" s="545"/>
      <c r="AQ317" s="545"/>
      <c r="AR317" s="545"/>
      <c r="AS317" s="545"/>
      <c r="AT317" s="545"/>
      <c r="AU317" s="545"/>
      <c r="AV317" s="545"/>
      <c r="AW317" s="545"/>
      <c r="AX317" s="545"/>
      <c r="AY317" s="545"/>
      <c r="AZ317" s="545"/>
      <c r="BA317" s="545"/>
      <c r="BB317" s="545"/>
      <c r="BC317" s="545"/>
      <c r="BD317" s="546"/>
      <c r="BE317" s="544">
        <v>1</v>
      </c>
      <c r="BF317" s="545"/>
      <c r="BG317" s="545"/>
      <c r="BH317" s="545"/>
      <c r="BI317" s="545"/>
      <c r="BJ317" s="545"/>
      <c r="BK317" s="545"/>
      <c r="BL317" s="545"/>
      <c r="BM317" s="545"/>
      <c r="BN317" s="545"/>
      <c r="BO317" s="545"/>
      <c r="BP317" s="545"/>
      <c r="BQ317" s="545"/>
      <c r="BR317" s="545"/>
      <c r="BS317" s="545"/>
      <c r="BT317" s="546"/>
      <c r="BU317" s="639">
        <f>CK317/BE317/AO317</f>
        <v>1100</v>
      </c>
      <c r="BV317" s="640"/>
      <c r="BW317" s="640"/>
      <c r="BX317" s="640"/>
      <c r="BY317" s="640"/>
      <c r="BZ317" s="640"/>
      <c r="CA317" s="640"/>
      <c r="CB317" s="640"/>
      <c r="CC317" s="640"/>
      <c r="CD317" s="640"/>
      <c r="CE317" s="640"/>
      <c r="CF317" s="640"/>
      <c r="CG317" s="640"/>
      <c r="CH317" s="640"/>
      <c r="CI317" s="640"/>
      <c r="CJ317" s="641"/>
      <c r="CK317" s="627">
        <v>1100</v>
      </c>
      <c r="CL317" s="628"/>
      <c r="CM317" s="628"/>
      <c r="CN317" s="628"/>
      <c r="CO317" s="628"/>
      <c r="CP317" s="628"/>
      <c r="CQ317" s="628"/>
      <c r="CR317" s="628"/>
      <c r="CS317" s="628"/>
      <c r="CT317" s="628"/>
      <c r="CU317" s="628"/>
      <c r="CV317" s="628"/>
      <c r="CW317" s="628"/>
      <c r="CX317" s="628"/>
      <c r="CY317" s="628"/>
      <c r="CZ317" s="629"/>
      <c r="DA317" s="214"/>
    </row>
    <row r="318" spans="1:105" s="16" customFormat="1" ht="15" customHeight="1" x14ac:dyDescent="0.3">
      <c r="A318" s="553" t="s">
        <v>292</v>
      </c>
      <c r="B318" s="554"/>
      <c r="C318" s="554"/>
      <c r="D318" s="554"/>
      <c r="E318" s="554"/>
      <c r="F318" s="554"/>
      <c r="G318" s="554"/>
      <c r="H318" s="554"/>
      <c r="I318" s="554"/>
      <c r="J318" s="554"/>
      <c r="K318" s="554"/>
      <c r="L318" s="554"/>
      <c r="M318" s="554"/>
      <c r="N318" s="554"/>
      <c r="O318" s="554"/>
      <c r="P318" s="554"/>
      <c r="Q318" s="554"/>
      <c r="R318" s="554"/>
      <c r="S318" s="554"/>
      <c r="T318" s="554"/>
      <c r="U318" s="554"/>
      <c r="V318" s="554"/>
      <c r="W318" s="554"/>
      <c r="X318" s="554"/>
      <c r="Y318" s="554"/>
      <c r="Z318" s="554"/>
      <c r="AA318" s="554"/>
      <c r="AB318" s="554"/>
      <c r="AC318" s="554"/>
      <c r="AD318" s="554"/>
      <c r="AE318" s="554"/>
      <c r="AF318" s="554"/>
      <c r="AG318" s="554"/>
      <c r="AH318" s="554"/>
      <c r="AI318" s="554"/>
      <c r="AJ318" s="554"/>
      <c r="AK318" s="554"/>
      <c r="AL318" s="554"/>
      <c r="AM318" s="554"/>
      <c r="AN318" s="555"/>
      <c r="AO318" s="544" t="s">
        <v>4</v>
      </c>
      <c r="AP318" s="545"/>
      <c r="AQ318" s="545"/>
      <c r="AR318" s="545"/>
      <c r="AS318" s="545"/>
      <c r="AT318" s="545"/>
      <c r="AU318" s="545"/>
      <c r="AV318" s="545"/>
      <c r="AW318" s="545"/>
      <c r="AX318" s="545"/>
      <c r="AY318" s="545"/>
      <c r="AZ318" s="545"/>
      <c r="BA318" s="545"/>
      <c r="BB318" s="545"/>
      <c r="BC318" s="545"/>
      <c r="BD318" s="546"/>
      <c r="BE318" s="544" t="s">
        <v>4</v>
      </c>
      <c r="BF318" s="545"/>
      <c r="BG318" s="545"/>
      <c r="BH318" s="545"/>
      <c r="BI318" s="545"/>
      <c r="BJ318" s="545"/>
      <c r="BK318" s="545"/>
      <c r="BL318" s="545"/>
      <c r="BM318" s="545"/>
      <c r="BN318" s="545"/>
      <c r="BO318" s="545"/>
      <c r="BP318" s="545"/>
      <c r="BQ318" s="545"/>
      <c r="BR318" s="545"/>
      <c r="BS318" s="545"/>
      <c r="BT318" s="546"/>
      <c r="BU318" s="544" t="s">
        <v>4</v>
      </c>
      <c r="BV318" s="545"/>
      <c r="BW318" s="545"/>
      <c r="BX318" s="545"/>
      <c r="BY318" s="545"/>
      <c r="BZ318" s="545"/>
      <c r="CA318" s="545"/>
      <c r="CB318" s="545"/>
      <c r="CC318" s="545"/>
      <c r="CD318" s="545"/>
      <c r="CE318" s="545"/>
      <c r="CF318" s="545"/>
      <c r="CG318" s="545"/>
      <c r="CH318" s="545"/>
      <c r="CI318" s="545"/>
      <c r="CJ318" s="546"/>
      <c r="CK318" s="636">
        <f>SUM(CK315:CZ317)</f>
        <v>13100</v>
      </c>
      <c r="CL318" s="654"/>
      <c r="CM318" s="654"/>
      <c r="CN318" s="654"/>
      <c r="CO318" s="654"/>
      <c r="CP318" s="654"/>
      <c r="CQ318" s="654"/>
      <c r="CR318" s="654"/>
      <c r="CS318" s="654"/>
      <c r="CT318" s="654"/>
      <c r="CU318" s="654"/>
      <c r="CV318" s="654"/>
      <c r="CW318" s="654"/>
      <c r="CX318" s="654"/>
      <c r="CY318" s="654"/>
      <c r="CZ318" s="655"/>
      <c r="DA318" s="214"/>
    </row>
    <row r="319" spans="1:105" s="16" customFormat="1" ht="15" customHeight="1" x14ac:dyDescent="0.3">
      <c r="A319" s="553" t="s">
        <v>56</v>
      </c>
      <c r="B319" s="554"/>
      <c r="C319" s="554"/>
      <c r="D319" s="554"/>
      <c r="E319" s="554"/>
      <c r="F319" s="554"/>
      <c r="G319" s="554"/>
      <c r="H319" s="554"/>
      <c r="I319" s="554"/>
      <c r="J319" s="554"/>
      <c r="K319" s="554"/>
      <c r="L319" s="554"/>
      <c r="M319" s="554"/>
      <c r="N319" s="554"/>
      <c r="O319" s="554"/>
      <c r="P319" s="554"/>
      <c r="Q319" s="554"/>
      <c r="R319" s="554"/>
      <c r="S319" s="554"/>
      <c r="T319" s="554"/>
      <c r="U319" s="554"/>
      <c r="V319" s="554"/>
      <c r="W319" s="554"/>
      <c r="X319" s="554"/>
      <c r="Y319" s="554"/>
      <c r="Z319" s="554"/>
      <c r="AA319" s="554"/>
      <c r="AB319" s="554"/>
      <c r="AC319" s="554"/>
      <c r="AD319" s="554"/>
      <c r="AE319" s="554"/>
      <c r="AF319" s="554"/>
      <c r="AG319" s="554"/>
      <c r="AH319" s="554"/>
      <c r="AI319" s="554"/>
      <c r="AJ319" s="554"/>
      <c r="AK319" s="554"/>
      <c r="AL319" s="554"/>
      <c r="AM319" s="554"/>
      <c r="AN319" s="555"/>
      <c r="AO319" s="544" t="s">
        <v>4</v>
      </c>
      <c r="AP319" s="545"/>
      <c r="AQ319" s="545"/>
      <c r="AR319" s="545"/>
      <c r="AS319" s="545"/>
      <c r="AT319" s="545"/>
      <c r="AU319" s="545"/>
      <c r="AV319" s="545"/>
      <c r="AW319" s="545"/>
      <c r="AX319" s="545"/>
      <c r="AY319" s="545"/>
      <c r="AZ319" s="545"/>
      <c r="BA319" s="545"/>
      <c r="BB319" s="545"/>
      <c r="BC319" s="545"/>
      <c r="BD319" s="546"/>
      <c r="BE319" s="544" t="s">
        <v>4</v>
      </c>
      <c r="BF319" s="545"/>
      <c r="BG319" s="545"/>
      <c r="BH319" s="545"/>
      <c r="BI319" s="545"/>
      <c r="BJ319" s="545"/>
      <c r="BK319" s="545"/>
      <c r="BL319" s="545"/>
      <c r="BM319" s="545"/>
      <c r="BN319" s="545"/>
      <c r="BO319" s="545"/>
      <c r="BP319" s="545"/>
      <c r="BQ319" s="545"/>
      <c r="BR319" s="545"/>
      <c r="BS319" s="545"/>
      <c r="BT319" s="546"/>
      <c r="BU319" s="544" t="s">
        <v>4</v>
      </c>
      <c r="BV319" s="545"/>
      <c r="BW319" s="545"/>
      <c r="BX319" s="545"/>
      <c r="BY319" s="545"/>
      <c r="BZ319" s="545"/>
      <c r="CA319" s="545"/>
      <c r="CB319" s="545"/>
      <c r="CC319" s="545"/>
      <c r="CD319" s="545"/>
      <c r="CE319" s="545"/>
      <c r="CF319" s="545"/>
      <c r="CG319" s="545"/>
      <c r="CH319" s="545"/>
      <c r="CI319" s="545"/>
      <c r="CJ319" s="546"/>
      <c r="CK319" s="636">
        <f>CK313+CK318</f>
        <v>33200</v>
      </c>
      <c r="CL319" s="654"/>
      <c r="CM319" s="654"/>
      <c r="CN319" s="654"/>
      <c r="CO319" s="654"/>
      <c r="CP319" s="654"/>
      <c r="CQ319" s="654"/>
      <c r="CR319" s="654"/>
      <c r="CS319" s="654"/>
      <c r="CT319" s="654"/>
      <c r="CU319" s="654"/>
      <c r="CV319" s="654"/>
      <c r="CW319" s="654"/>
      <c r="CX319" s="654"/>
      <c r="CY319" s="654"/>
      <c r="CZ319" s="655"/>
      <c r="DA319" s="220"/>
    </row>
    <row r="320" spans="1:105" ht="10.5" customHeight="1" x14ac:dyDescent="0.25"/>
    <row r="321" spans="1:105" s="20" customFormat="1" hidden="1" x14ac:dyDescent="0.25">
      <c r="A321" s="594" t="s">
        <v>286</v>
      </c>
      <c r="B321" s="594"/>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4"/>
      <c r="AL321" s="594"/>
      <c r="AM321" s="594"/>
      <c r="AN321" s="594"/>
      <c r="AO321" s="594"/>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4"/>
      <c r="BM321" s="594"/>
      <c r="BN321" s="594"/>
      <c r="BO321" s="594"/>
      <c r="BP321" s="594"/>
      <c r="BQ321" s="594"/>
      <c r="BR321" s="594"/>
      <c r="BS321" s="594"/>
      <c r="BT321" s="594"/>
      <c r="BU321" s="594"/>
      <c r="BV321" s="594"/>
      <c r="BW321" s="594"/>
      <c r="BX321" s="594"/>
      <c r="BY321" s="594"/>
      <c r="BZ321" s="594"/>
      <c r="CA321" s="594"/>
      <c r="CB321" s="594"/>
      <c r="CC321" s="594"/>
      <c r="CD321" s="594"/>
      <c r="CE321" s="594"/>
      <c r="CF321" s="594"/>
      <c r="CG321" s="594"/>
      <c r="CH321" s="594"/>
      <c r="CI321" s="594"/>
      <c r="CJ321" s="594"/>
      <c r="CK321" s="594"/>
      <c r="CL321" s="594"/>
      <c r="CM321" s="594"/>
      <c r="CN321" s="594"/>
      <c r="CO321" s="594"/>
      <c r="CP321" s="594"/>
      <c r="CQ321" s="594"/>
      <c r="CR321" s="594"/>
      <c r="CS321" s="594"/>
      <c r="CT321" s="594"/>
      <c r="CU321" s="594"/>
      <c r="CV321" s="594"/>
      <c r="CW321" s="594"/>
      <c r="CX321" s="594"/>
      <c r="CY321" s="594"/>
      <c r="CZ321" s="594"/>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95"/>
      <c r="X323" s="595"/>
      <c r="Y323" s="595"/>
      <c r="Z323" s="595"/>
      <c r="AA323" s="595"/>
      <c r="AB323" s="595"/>
      <c r="AC323" s="595"/>
      <c r="AD323" s="595"/>
      <c r="AE323" s="595"/>
      <c r="AF323" s="595"/>
      <c r="AG323" s="595"/>
      <c r="AH323" s="595"/>
      <c r="AI323" s="595"/>
      <c r="AJ323" s="595"/>
      <c r="AK323" s="595"/>
      <c r="AL323" s="595"/>
      <c r="AM323" s="595"/>
      <c r="AN323" s="595"/>
      <c r="AO323" s="595"/>
      <c r="AP323" s="595"/>
      <c r="AQ323" s="595"/>
      <c r="AR323" s="595"/>
      <c r="AS323" s="595"/>
      <c r="AT323" s="595"/>
      <c r="AU323" s="595"/>
      <c r="AV323" s="595"/>
      <c r="AW323" s="595"/>
      <c r="AX323" s="595"/>
      <c r="AY323" s="595"/>
      <c r="AZ323" s="595"/>
      <c r="BA323" s="595"/>
      <c r="BB323" s="595"/>
      <c r="BC323" s="595"/>
      <c r="BD323" s="595"/>
      <c r="BE323" s="595"/>
      <c r="BF323" s="595"/>
      <c r="BG323" s="595"/>
      <c r="BH323" s="595"/>
      <c r="BI323" s="595"/>
      <c r="BJ323" s="595"/>
      <c r="BK323" s="595"/>
      <c r="BL323" s="595"/>
      <c r="BM323" s="595"/>
      <c r="BN323" s="595"/>
      <c r="BO323" s="595"/>
      <c r="BP323" s="595"/>
      <c r="BQ323" s="595"/>
      <c r="BR323" s="595"/>
      <c r="BS323" s="595"/>
      <c r="BT323" s="595"/>
      <c r="BU323" s="595"/>
      <c r="BV323" s="595"/>
      <c r="BW323" s="595"/>
      <c r="BX323" s="595"/>
      <c r="BY323" s="595"/>
      <c r="BZ323" s="595"/>
      <c r="CA323" s="595"/>
      <c r="CB323" s="595"/>
      <c r="CC323" s="595"/>
      <c r="CD323" s="595"/>
      <c r="CE323" s="595"/>
      <c r="CF323" s="595"/>
      <c r="CG323" s="595"/>
      <c r="CH323" s="595"/>
      <c r="CI323" s="595"/>
      <c r="CJ323" s="595"/>
      <c r="CK323" s="595"/>
      <c r="CL323" s="595"/>
      <c r="CM323" s="595"/>
      <c r="CN323" s="595"/>
      <c r="CO323" s="595"/>
      <c r="CP323" s="595"/>
      <c r="CQ323" s="595"/>
      <c r="CR323" s="595"/>
      <c r="CS323" s="595"/>
      <c r="CT323" s="595"/>
      <c r="CU323" s="595"/>
      <c r="CV323" s="595"/>
      <c r="CW323" s="595"/>
      <c r="CX323" s="595"/>
      <c r="CY323" s="595"/>
      <c r="CZ323" s="595"/>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6" t="s">
        <v>49</v>
      </c>
      <c r="B325" s="606"/>
      <c r="C325" s="606"/>
      <c r="D325" s="606"/>
      <c r="E325" s="606"/>
      <c r="F325" s="606"/>
      <c r="G325" s="606"/>
      <c r="H325" s="606" t="s">
        <v>78</v>
      </c>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6"/>
      <c r="AL325" s="606"/>
      <c r="AM325" s="606"/>
      <c r="AN325" s="606"/>
      <c r="AO325" s="606"/>
      <c r="AP325" s="606"/>
      <c r="AQ325" s="606"/>
      <c r="AR325" s="606"/>
      <c r="AS325" s="606"/>
      <c r="AT325" s="606"/>
      <c r="AU325" s="606"/>
      <c r="AV325" s="606"/>
      <c r="AW325" s="606"/>
      <c r="AX325" s="606"/>
      <c r="AY325" s="606"/>
      <c r="AZ325" s="606"/>
      <c r="BA325" s="606"/>
      <c r="BB325" s="606"/>
      <c r="BC325" s="597" t="s">
        <v>85</v>
      </c>
      <c r="BD325" s="598"/>
      <c r="BE325" s="598"/>
      <c r="BF325" s="598"/>
      <c r="BG325" s="598"/>
      <c r="BH325" s="598"/>
      <c r="BI325" s="598"/>
      <c r="BJ325" s="598"/>
      <c r="BK325" s="598"/>
      <c r="BL325" s="598"/>
      <c r="BM325" s="598"/>
      <c r="BN325" s="598"/>
      <c r="BO325" s="598"/>
      <c r="BP325" s="598"/>
      <c r="BQ325" s="598"/>
      <c r="BR325" s="599"/>
      <c r="BS325" s="597" t="s">
        <v>86</v>
      </c>
      <c r="BT325" s="598"/>
      <c r="BU325" s="598"/>
      <c r="BV325" s="598"/>
      <c r="BW325" s="598"/>
      <c r="BX325" s="598"/>
      <c r="BY325" s="598"/>
      <c r="BZ325" s="598"/>
      <c r="CA325" s="598"/>
      <c r="CB325" s="598"/>
      <c r="CC325" s="598"/>
      <c r="CD325" s="598"/>
      <c r="CE325" s="598"/>
      <c r="CF325" s="598"/>
      <c r="CG325" s="598"/>
      <c r="CH325" s="599"/>
      <c r="CI325" s="597" t="s">
        <v>87</v>
      </c>
      <c r="CJ325" s="598"/>
      <c r="CK325" s="598"/>
      <c r="CL325" s="598"/>
      <c r="CM325" s="598"/>
      <c r="CN325" s="598"/>
      <c r="CO325" s="598"/>
      <c r="CP325" s="598"/>
      <c r="CQ325" s="598"/>
      <c r="CR325" s="598"/>
      <c r="CS325" s="598"/>
      <c r="CT325" s="598"/>
      <c r="CU325" s="598"/>
      <c r="CV325" s="598"/>
      <c r="CW325" s="598"/>
      <c r="CX325" s="598"/>
      <c r="CY325" s="598"/>
      <c r="CZ325" s="599"/>
      <c r="DA325" s="218"/>
    </row>
    <row r="326" spans="1:105" s="15" customFormat="1" ht="13.2" hidden="1" x14ac:dyDescent="0.3">
      <c r="A326" s="591">
        <v>1</v>
      </c>
      <c r="B326" s="591"/>
      <c r="C326" s="591"/>
      <c r="D326" s="591"/>
      <c r="E326" s="591"/>
      <c r="F326" s="591"/>
      <c r="G326" s="591"/>
      <c r="H326" s="591">
        <v>2</v>
      </c>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1"/>
      <c r="AL326" s="591"/>
      <c r="AM326" s="591"/>
      <c r="AN326" s="591"/>
      <c r="AO326" s="591"/>
      <c r="AP326" s="591"/>
      <c r="AQ326" s="591"/>
      <c r="AR326" s="591"/>
      <c r="AS326" s="591"/>
      <c r="AT326" s="591"/>
      <c r="AU326" s="591"/>
      <c r="AV326" s="591"/>
      <c r="AW326" s="591"/>
      <c r="AX326" s="591"/>
      <c r="AY326" s="591"/>
      <c r="AZ326" s="591"/>
      <c r="BA326" s="591"/>
      <c r="BB326" s="591"/>
      <c r="BC326" s="591">
        <v>3</v>
      </c>
      <c r="BD326" s="591"/>
      <c r="BE326" s="591"/>
      <c r="BF326" s="591"/>
      <c r="BG326" s="591"/>
      <c r="BH326" s="591"/>
      <c r="BI326" s="591"/>
      <c r="BJ326" s="591"/>
      <c r="BK326" s="591"/>
      <c r="BL326" s="591"/>
      <c r="BM326" s="591"/>
      <c r="BN326" s="591"/>
      <c r="BO326" s="591"/>
      <c r="BP326" s="591"/>
      <c r="BQ326" s="591"/>
      <c r="BR326" s="591"/>
      <c r="BS326" s="591">
        <v>4</v>
      </c>
      <c r="BT326" s="591"/>
      <c r="BU326" s="591"/>
      <c r="BV326" s="591"/>
      <c r="BW326" s="591"/>
      <c r="BX326" s="591"/>
      <c r="BY326" s="591"/>
      <c r="BZ326" s="591"/>
      <c r="CA326" s="591"/>
      <c r="CB326" s="591"/>
      <c r="CC326" s="591"/>
      <c r="CD326" s="591"/>
      <c r="CE326" s="591"/>
      <c r="CF326" s="591"/>
      <c r="CG326" s="591"/>
      <c r="CH326" s="591"/>
      <c r="CI326" s="591">
        <v>5</v>
      </c>
      <c r="CJ326" s="591"/>
      <c r="CK326" s="591"/>
      <c r="CL326" s="591"/>
      <c r="CM326" s="591"/>
      <c r="CN326" s="591"/>
      <c r="CO326" s="591"/>
      <c r="CP326" s="591"/>
      <c r="CQ326" s="591"/>
      <c r="CR326" s="591"/>
      <c r="CS326" s="591"/>
      <c r="CT326" s="591"/>
      <c r="CU326" s="591"/>
      <c r="CV326" s="591"/>
      <c r="CW326" s="591"/>
      <c r="CX326" s="591"/>
      <c r="CY326" s="591"/>
      <c r="CZ326" s="591"/>
      <c r="DA326" s="219"/>
    </row>
    <row r="327" spans="1:105" s="16" customFormat="1" ht="15" hidden="1" customHeight="1" x14ac:dyDescent="0.3">
      <c r="A327" s="648" t="s">
        <v>258</v>
      </c>
      <c r="B327" s="649"/>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9"/>
      <c r="AL327" s="649"/>
      <c r="AM327" s="649"/>
      <c r="AN327" s="649"/>
      <c r="AO327" s="649"/>
      <c r="AP327" s="649"/>
      <c r="AQ327" s="649"/>
      <c r="AR327" s="649"/>
      <c r="AS327" s="649"/>
      <c r="AT327" s="649"/>
      <c r="AU327" s="649"/>
      <c r="AV327" s="649"/>
      <c r="AW327" s="649"/>
      <c r="AX327" s="649"/>
      <c r="AY327" s="649"/>
      <c r="AZ327" s="649"/>
      <c r="BA327" s="649"/>
      <c r="BB327" s="649"/>
      <c r="BC327" s="649"/>
      <c r="BD327" s="649"/>
      <c r="BE327" s="649"/>
      <c r="BF327" s="649"/>
      <c r="BG327" s="649"/>
      <c r="BH327" s="649"/>
      <c r="BI327" s="649"/>
      <c r="BJ327" s="649"/>
      <c r="BK327" s="649"/>
      <c r="BL327" s="649"/>
      <c r="BM327" s="649"/>
      <c r="BN327" s="649"/>
      <c r="BO327" s="649"/>
      <c r="BP327" s="649"/>
      <c r="BQ327" s="649"/>
      <c r="BR327" s="649"/>
      <c r="BS327" s="649"/>
      <c r="BT327" s="649"/>
      <c r="BU327" s="649"/>
      <c r="BV327" s="649"/>
      <c r="BW327" s="649"/>
      <c r="BX327" s="649"/>
      <c r="BY327" s="649"/>
      <c r="BZ327" s="649"/>
      <c r="CA327" s="649"/>
      <c r="CB327" s="649"/>
      <c r="CC327" s="649"/>
      <c r="CD327" s="649"/>
      <c r="CE327" s="649"/>
      <c r="CF327" s="649"/>
      <c r="CG327" s="649"/>
      <c r="CH327" s="649"/>
      <c r="CI327" s="649"/>
      <c r="CJ327" s="649"/>
      <c r="CK327" s="649"/>
      <c r="CL327" s="649"/>
      <c r="CM327" s="649"/>
      <c r="CN327" s="649"/>
      <c r="CO327" s="649"/>
      <c r="CP327" s="649"/>
      <c r="CQ327" s="649"/>
      <c r="CR327" s="649"/>
      <c r="CS327" s="649"/>
      <c r="CT327" s="649"/>
      <c r="CU327" s="649"/>
      <c r="CV327" s="649"/>
      <c r="CW327" s="649"/>
      <c r="CX327" s="649"/>
      <c r="CY327" s="649"/>
      <c r="CZ327" s="649"/>
      <c r="DA327" s="214"/>
    </row>
    <row r="328" spans="1:105" s="16" customFormat="1" ht="15" hidden="1" customHeight="1" x14ac:dyDescent="0.3">
      <c r="A328" s="630"/>
      <c r="B328" s="631"/>
      <c r="C328" s="631"/>
      <c r="D328" s="631"/>
      <c r="E328" s="631"/>
      <c r="F328" s="631"/>
      <c r="G328" s="632"/>
      <c r="H328" s="584"/>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5"/>
      <c r="AL328" s="585"/>
      <c r="AM328" s="585"/>
      <c r="AN328" s="585"/>
      <c r="AO328" s="585"/>
      <c r="AP328" s="585"/>
      <c r="AQ328" s="585"/>
      <c r="AR328" s="585"/>
      <c r="AS328" s="585"/>
      <c r="AT328" s="585"/>
      <c r="AU328" s="585"/>
      <c r="AV328" s="585"/>
      <c r="AW328" s="585"/>
      <c r="AX328" s="585"/>
      <c r="AY328" s="585"/>
      <c r="AZ328" s="585"/>
      <c r="BA328" s="585"/>
      <c r="BB328" s="586"/>
      <c r="BC328" s="544"/>
      <c r="BD328" s="545"/>
      <c r="BE328" s="545"/>
      <c r="BF328" s="545"/>
      <c r="BG328" s="545"/>
      <c r="BH328" s="545"/>
      <c r="BI328" s="545"/>
      <c r="BJ328" s="545"/>
      <c r="BK328" s="545"/>
      <c r="BL328" s="545"/>
      <c r="BM328" s="545"/>
      <c r="BN328" s="545"/>
      <c r="BO328" s="545"/>
      <c r="BP328" s="545"/>
      <c r="BQ328" s="545"/>
      <c r="BR328" s="546"/>
      <c r="BS328" s="544"/>
      <c r="BT328" s="545"/>
      <c r="BU328" s="545"/>
      <c r="BV328" s="545"/>
      <c r="BW328" s="545"/>
      <c r="BX328" s="545"/>
      <c r="BY328" s="545"/>
      <c r="BZ328" s="545"/>
      <c r="CA328" s="545"/>
      <c r="CB328" s="545"/>
      <c r="CC328" s="545"/>
      <c r="CD328" s="545"/>
      <c r="CE328" s="545"/>
      <c r="CF328" s="545"/>
      <c r="CG328" s="545"/>
      <c r="CH328" s="546"/>
      <c r="CI328" s="544"/>
      <c r="CJ328" s="545"/>
      <c r="CK328" s="545"/>
      <c r="CL328" s="545"/>
      <c r="CM328" s="545"/>
      <c r="CN328" s="545"/>
      <c r="CO328" s="545"/>
      <c r="CP328" s="545"/>
      <c r="CQ328" s="545"/>
      <c r="CR328" s="545"/>
      <c r="CS328" s="545"/>
      <c r="CT328" s="545"/>
      <c r="CU328" s="545"/>
      <c r="CV328" s="545"/>
      <c r="CW328" s="545"/>
      <c r="CX328" s="545"/>
      <c r="CY328" s="545"/>
      <c r="CZ328" s="546"/>
      <c r="DA328" s="214"/>
    </row>
    <row r="329" spans="1:105" s="16" customFormat="1" ht="15" hidden="1" customHeight="1" x14ac:dyDescent="0.3">
      <c r="A329" s="633" t="s">
        <v>292</v>
      </c>
      <c r="B329" s="634"/>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4"/>
      <c r="AL329" s="634"/>
      <c r="AM329" s="634"/>
      <c r="AN329" s="634"/>
      <c r="AO329" s="634"/>
      <c r="AP329" s="634"/>
      <c r="AQ329" s="634"/>
      <c r="AR329" s="634"/>
      <c r="AS329" s="634"/>
      <c r="AT329" s="634"/>
      <c r="AU329" s="634"/>
      <c r="AV329" s="634"/>
      <c r="AW329" s="634"/>
      <c r="AX329" s="634"/>
      <c r="AY329" s="634"/>
      <c r="AZ329" s="634"/>
      <c r="BA329" s="634"/>
      <c r="BB329" s="635"/>
      <c r="BC329" s="582" t="s">
        <v>4</v>
      </c>
      <c r="BD329" s="582"/>
      <c r="BE329" s="582"/>
      <c r="BF329" s="582"/>
      <c r="BG329" s="582"/>
      <c r="BH329" s="582"/>
      <c r="BI329" s="582"/>
      <c r="BJ329" s="582"/>
      <c r="BK329" s="582"/>
      <c r="BL329" s="582"/>
      <c r="BM329" s="582"/>
      <c r="BN329" s="582"/>
      <c r="BO329" s="582"/>
      <c r="BP329" s="582"/>
      <c r="BQ329" s="582"/>
      <c r="BR329" s="582"/>
      <c r="BS329" s="582" t="s">
        <v>4</v>
      </c>
      <c r="BT329" s="582"/>
      <c r="BU329" s="582"/>
      <c r="BV329" s="582"/>
      <c r="BW329" s="582"/>
      <c r="BX329" s="582"/>
      <c r="BY329" s="582"/>
      <c r="BZ329" s="582"/>
      <c r="CA329" s="582"/>
      <c r="CB329" s="582"/>
      <c r="CC329" s="582"/>
      <c r="CD329" s="582"/>
      <c r="CE329" s="582"/>
      <c r="CF329" s="582"/>
      <c r="CG329" s="582"/>
      <c r="CH329" s="582"/>
      <c r="CI329" s="544"/>
      <c r="CJ329" s="545"/>
      <c r="CK329" s="545"/>
      <c r="CL329" s="545"/>
      <c r="CM329" s="545"/>
      <c r="CN329" s="545"/>
      <c r="CO329" s="545"/>
      <c r="CP329" s="545"/>
      <c r="CQ329" s="545"/>
      <c r="CR329" s="545"/>
      <c r="CS329" s="545"/>
      <c r="CT329" s="545"/>
      <c r="CU329" s="545"/>
      <c r="CV329" s="545"/>
      <c r="CW329" s="545"/>
      <c r="CX329" s="545"/>
      <c r="CY329" s="545"/>
      <c r="CZ329" s="546"/>
      <c r="DA329" s="214"/>
    </row>
    <row r="330" spans="1:105" s="16" customFormat="1" ht="15" hidden="1" customHeight="1" x14ac:dyDescent="0.3">
      <c r="A330" s="648" t="s">
        <v>258</v>
      </c>
      <c r="B330" s="649"/>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9"/>
      <c r="AL330" s="649"/>
      <c r="AM330" s="649"/>
      <c r="AN330" s="649"/>
      <c r="AO330" s="649"/>
      <c r="AP330" s="649"/>
      <c r="AQ330" s="649"/>
      <c r="AR330" s="649"/>
      <c r="AS330" s="649"/>
      <c r="AT330" s="649"/>
      <c r="AU330" s="649"/>
      <c r="AV330" s="649"/>
      <c r="AW330" s="649"/>
      <c r="AX330" s="649"/>
      <c r="AY330" s="649"/>
      <c r="AZ330" s="649"/>
      <c r="BA330" s="649"/>
      <c r="BB330" s="649"/>
      <c r="BC330" s="649"/>
      <c r="BD330" s="649"/>
      <c r="BE330" s="649"/>
      <c r="BF330" s="649"/>
      <c r="BG330" s="649"/>
      <c r="BH330" s="649"/>
      <c r="BI330" s="649"/>
      <c r="BJ330" s="649"/>
      <c r="BK330" s="649"/>
      <c r="BL330" s="649"/>
      <c r="BM330" s="649"/>
      <c r="BN330" s="649"/>
      <c r="BO330" s="649"/>
      <c r="BP330" s="649"/>
      <c r="BQ330" s="649"/>
      <c r="BR330" s="649"/>
      <c r="BS330" s="649"/>
      <c r="BT330" s="649"/>
      <c r="BU330" s="649"/>
      <c r="BV330" s="649"/>
      <c r="BW330" s="649"/>
      <c r="BX330" s="649"/>
      <c r="BY330" s="649"/>
      <c r="BZ330" s="649"/>
      <c r="CA330" s="649"/>
      <c r="CB330" s="649"/>
      <c r="CC330" s="649"/>
      <c r="CD330" s="649"/>
      <c r="CE330" s="649"/>
      <c r="CF330" s="649"/>
      <c r="CG330" s="649"/>
      <c r="CH330" s="649"/>
      <c r="CI330" s="649"/>
      <c r="CJ330" s="649"/>
      <c r="CK330" s="649"/>
      <c r="CL330" s="649"/>
      <c r="CM330" s="649"/>
      <c r="CN330" s="649"/>
      <c r="CO330" s="649"/>
      <c r="CP330" s="649"/>
      <c r="CQ330" s="649"/>
      <c r="CR330" s="649"/>
      <c r="CS330" s="649"/>
      <c r="CT330" s="649"/>
      <c r="CU330" s="649"/>
      <c r="CV330" s="649"/>
      <c r="CW330" s="649"/>
      <c r="CX330" s="649"/>
      <c r="CY330" s="649"/>
      <c r="CZ330" s="649"/>
      <c r="DA330" s="214"/>
    </row>
    <row r="331" spans="1:105" s="16" customFormat="1" ht="15" hidden="1" customHeight="1" x14ac:dyDescent="0.3">
      <c r="A331" s="630"/>
      <c r="B331" s="631"/>
      <c r="C331" s="631"/>
      <c r="D331" s="631"/>
      <c r="E331" s="631"/>
      <c r="F331" s="631"/>
      <c r="G331" s="632"/>
      <c r="H331" s="584"/>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5"/>
      <c r="AL331" s="585"/>
      <c r="AM331" s="585"/>
      <c r="AN331" s="585"/>
      <c r="AO331" s="585"/>
      <c r="AP331" s="585"/>
      <c r="AQ331" s="585"/>
      <c r="AR331" s="585"/>
      <c r="AS331" s="585"/>
      <c r="AT331" s="585"/>
      <c r="AU331" s="585"/>
      <c r="AV331" s="585"/>
      <c r="AW331" s="585"/>
      <c r="AX331" s="585"/>
      <c r="AY331" s="585"/>
      <c r="AZ331" s="585"/>
      <c r="BA331" s="585"/>
      <c r="BB331" s="586"/>
      <c r="BC331" s="544"/>
      <c r="BD331" s="545"/>
      <c r="BE331" s="545"/>
      <c r="BF331" s="545"/>
      <c r="BG331" s="545"/>
      <c r="BH331" s="545"/>
      <c r="BI331" s="545"/>
      <c r="BJ331" s="545"/>
      <c r="BK331" s="545"/>
      <c r="BL331" s="545"/>
      <c r="BM331" s="545"/>
      <c r="BN331" s="545"/>
      <c r="BO331" s="545"/>
      <c r="BP331" s="545"/>
      <c r="BQ331" s="545"/>
      <c r="BR331" s="546"/>
      <c r="BS331" s="544"/>
      <c r="BT331" s="545"/>
      <c r="BU331" s="545"/>
      <c r="BV331" s="545"/>
      <c r="BW331" s="545"/>
      <c r="BX331" s="545"/>
      <c r="BY331" s="545"/>
      <c r="BZ331" s="545"/>
      <c r="CA331" s="545"/>
      <c r="CB331" s="545"/>
      <c r="CC331" s="545"/>
      <c r="CD331" s="545"/>
      <c r="CE331" s="545"/>
      <c r="CF331" s="545"/>
      <c r="CG331" s="545"/>
      <c r="CH331" s="546"/>
      <c r="CI331" s="544"/>
      <c r="CJ331" s="545"/>
      <c r="CK331" s="545"/>
      <c r="CL331" s="545"/>
      <c r="CM331" s="545"/>
      <c r="CN331" s="545"/>
      <c r="CO331" s="545"/>
      <c r="CP331" s="545"/>
      <c r="CQ331" s="545"/>
      <c r="CR331" s="545"/>
      <c r="CS331" s="545"/>
      <c r="CT331" s="545"/>
      <c r="CU331" s="545"/>
      <c r="CV331" s="545"/>
      <c r="CW331" s="545"/>
      <c r="CX331" s="545"/>
      <c r="CY331" s="545"/>
      <c r="CZ331" s="546"/>
      <c r="DA331" s="214"/>
    </row>
    <row r="332" spans="1:105" s="16" customFormat="1" ht="15" hidden="1" customHeight="1" x14ac:dyDescent="0.3">
      <c r="A332" s="633" t="s">
        <v>292</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4"/>
      <c r="AL332" s="634"/>
      <c r="AM332" s="634"/>
      <c r="AN332" s="634"/>
      <c r="AO332" s="634"/>
      <c r="AP332" s="634"/>
      <c r="AQ332" s="634"/>
      <c r="AR332" s="634"/>
      <c r="AS332" s="634"/>
      <c r="AT332" s="634"/>
      <c r="AU332" s="634"/>
      <c r="AV332" s="634"/>
      <c r="AW332" s="634"/>
      <c r="AX332" s="634"/>
      <c r="AY332" s="634"/>
      <c r="AZ332" s="634"/>
      <c r="BA332" s="634"/>
      <c r="BB332" s="635"/>
      <c r="BC332" s="582" t="s">
        <v>4</v>
      </c>
      <c r="BD332" s="582"/>
      <c r="BE332" s="582"/>
      <c r="BF332" s="582"/>
      <c r="BG332" s="582"/>
      <c r="BH332" s="582"/>
      <c r="BI332" s="582"/>
      <c r="BJ332" s="582"/>
      <c r="BK332" s="582"/>
      <c r="BL332" s="582"/>
      <c r="BM332" s="582"/>
      <c r="BN332" s="582"/>
      <c r="BO332" s="582"/>
      <c r="BP332" s="582"/>
      <c r="BQ332" s="582"/>
      <c r="BR332" s="582"/>
      <c r="BS332" s="582" t="s">
        <v>4</v>
      </c>
      <c r="BT332" s="582"/>
      <c r="BU332" s="582"/>
      <c r="BV332" s="582"/>
      <c r="BW332" s="582"/>
      <c r="BX332" s="582"/>
      <c r="BY332" s="582"/>
      <c r="BZ332" s="582"/>
      <c r="CA332" s="582"/>
      <c r="CB332" s="582"/>
      <c r="CC332" s="582"/>
      <c r="CD332" s="582"/>
      <c r="CE332" s="582"/>
      <c r="CF332" s="582"/>
      <c r="CG332" s="582"/>
      <c r="CH332" s="582"/>
      <c r="CI332" s="544"/>
      <c r="CJ332" s="545"/>
      <c r="CK332" s="545"/>
      <c r="CL332" s="545"/>
      <c r="CM332" s="545"/>
      <c r="CN332" s="545"/>
      <c r="CO332" s="545"/>
      <c r="CP332" s="545"/>
      <c r="CQ332" s="545"/>
      <c r="CR332" s="545"/>
      <c r="CS332" s="545"/>
      <c r="CT332" s="545"/>
      <c r="CU332" s="545"/>
      <c r="CV332" s="545"/>
      <c r="CW332" s="545"/>
      <c r="CX332" s="545"/>
      <c r="CY332" s="545"/>
      <c r="CZ332" s="546"/>
      <c r="DA332" s="214"/>
    </row>
    <row r="333" spans="1:105" s="16" customFormat="1" ht="15" hidden="1" customHeight="1" x14ac:dyDescent="0.3">
      <c r="A333" s="553" t="s">
        <v>56</v>
      </c>
      <c r="B333" s="554"/>
      <c r="C333" s="554"/>
      <c r="D333" s="554"/>
      <c r="E333" s="554"/>
      <c r="F333" s="554"/>
      <c r="G333" s="554"/>
      <c r="H333" s="554"/>
      <c r="I333" s="554"/>
      <c r="J333" s="554"/>
      <c r="K333" s="554"/>
      <c r="L333" s="554"/>
      <c r="M333" s="554"/>
      <c r="N333" s="554"/>
      <c r="O333" s="554"/>
      <c r="P333" s="554"/>
      <c r="Q333" s="554"/>
      <c r="R333" s="554"/>
      <c r="S333" s="554"/>
      <c r="T333" s="554"/>
      <c r="U333" s="554"/>
      <c r="V333" s="554"/>
      <c r="W333" s="554"/>
      <c r="X333" s="554"/>
      <c r="Y333" s="554"/>
      <c r="Z333" s="554"/>
      <c r="AA333" s="554"/>
      <c r="AB333" s="554"/>
      <c r="AC333" s="554"/>
      <c r="AD333" s="554"/>
      <c r="AE333" s="554"/>
      <c r="AF333" s="554"/>
      <c r="AG333" s="554"/>
      <c r="AH333" s="554"/>
      <c r="AI333" s="554"/>
      <c r="AJ333" s="554"/>
      <c r="AK333" s="554"/>
      <c r="AL333" s="554"/>
      <c r="AM333" s="554"/>
      <c r="AN333" s="554"/>
      <c r="AO333" s="554"/>
      <c r="AP333" s="554"/>
      <c r="AQ333" s="554"/>
      <c r="AR333" s="554"/>
      <c r="AS333" s="554"/>
      <c r="AT333" s="554"/>
      <c r="AU333" s="554"/>
      <c r="AV333" s="554"/>
      <c r="AW333" s="554"/>
      <c r="AX333" s="554"/>
      <c r="AY333" s="554"/>
      <c r="AZ333" s="554"/>
      <c r="BA333" s="554"/>
      <c r="BB333" s="555"/>
      <c r="BC333" s="582" t="s">
        <v>4</v>
      </c>
      <c r="BD333" s="582"/>
      <c r="BE333" s="582"/>
      <c r="BF333" s="582"/>
      <c r="BG333" s="582"/>
      <c r="BH333" s="582"/>
      <c r="BI333" s="582"/>
      <c r="BJ333" s="582"/>
      <c r="BK333" s="582"/>
      <c r="BL333" s="582"/>
      <c r="BM333" s="582"/>
      <c r="BN333" s="582"/>
      <c r="BO333" s="582"/>
      <c r="BP333" s="582"/>
      <c r="BQ333" s="582"/>
      <c r="BR333" s="582"/>
      <c r="BS333" s="582" t="s">
        <v>4</v>
      </c>
      <c r="BT333" s="582"/>
      <c r="BU333" s="582"/>
      <c r="BV333" s="582"/>
      <c r="BW333" s="582"/>
      <c r="BX333" s="582"/>
      <c r="BY333" s="582"/>
      <c r="BZ333" s="582"/>
      <c r="CA333" s="582"/>
      <c r="CB333" s="582"/>
      <c r="CC333" s="582"/>
      <c r="CD333" s="582"/>
      <c r="CE333" s="582"/>
      <c r="CF333" s="582"/>
      <c r="CG333" s="582"/>
      <c r="CH333" s="582"/>
      <c r="CI333" s="582"/>
      <c r="CJ333" s="582"/>
      <c r="CK333" s="582"/>
      <c r="CL333" s="582"/>
      <c r="CM333" s="582"/>
      <c r="CN333" s="582"/>
      <c r="CO333" s="582"/>
      <c r="CP333" s="582"/>
      <c r="CQ333" s="582"/>
      <c r="CR333" s="582"/>
      <c r="CS333" s="582"/>
      <c r="CT333" s="582"/>
      <c r="CU333" s="582"/>
      <c r="CV333" s="582"/>
      <c r="CW333" s="582"/>
      <c r="CX333" s="582"/>
      <c r="CY333" s="582"/>
      <c r="CZ333" s="582"/>
      <c r="DA333" s="214"/>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594" t="s">
        <v>286</v>
      </c>
      <c r="B335" s="594"/>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4"/>
      <c r="AL335" s="594"/>
      <c r="AM335" s="594"/>
      <c r="AN335" s="594"/>
      <c r="AO335" s="594"/>
      <c r="AP335" s="594"/>
      <c r="AQ335" s="594"/>
      <c r="AR335" s="594"/>
      <c r="AS335" s="594"/>
      <c r="AT335" s="594"/>
      <c r="AU335" s="594"/>
      <c r="AV335" s="594"/>
      <c r="AW335" s="594"/>
      <c r="AX335" s="594"/>
      <c r="AY335" s="594"/>
      <c r="AZ335" s="594"/>
      <c r="BA335" s="594"/>
      <c r="BB335" s="594"/>
      <c r="BC335" s="594"/>
      <c r="BD335" s="594"/>
      <c r="BE335" s="594"/>
      <c r="BF335" s="594"/>
      <c r="BG335" s="594"/>
      <c r="BH335" s="594"/>
      <c r="BI335" s="594"/>
      <c r="BJ335" s="594"/>
      <c r="BK335" s="594"/>
      <c r="BL335" s="594"/>
      <c r="BM335" s="594"/>
      <c r="BN335" s="594"/>
      <c r="BO335" s="594"/>
      <c r="BP335" s="594"/>
      <c r="BQ335" s="594"/>
      <c r="BR335" s="594"/>
      <c r="BS335" s="594"/>
      <c r="BT335" s="594"/>
      <c r="BU335" s="594"/>
      <c r="BV335" s="594"/>
      <c r="BW335" s="594"/>
      <c r="BX335" s="594"/>
      <c r="BY335" s="594"/>
      <c r="BZ335" s="594"/>
      <c r="CA335" s="594"/>
      <c r="CB335" s="594"/>
      <c r="CC335" s="594"/>
      <c r="CD335" s="594"/>
      <c r="CE335" s="594"/>
      <c r="CF335" s="594"/>
      <c r="CG335" s="594"/>
      <c r="CH335" s="594"/>
      <c r="CI335" s="594"/>
      <c r="CJ335" s="594"/>
      <c r="CK335" s="594"/>
      <c r="CL335" s="594"/>
      <c r="CM335" s="594"/>
      <c r="CN335" s="594"/>
      <c r="CO335" s="594"/>
      <c r="CP335" s="594"/>
      <c r="CQ335" s="594"/>
      <c r="CR335" s="594"/>
      <c r="CS335" s="594"/>
      <c r="CT335" s="594"/>
      <c r="CU335" s="594"/>
      <c r="CV335" s="594"/>
      <c r="CW335" s="594"/>
      <c r="CX335" s="594"/>
      <c r="CY335" s="594"/>
      <c r="CZ335" s="594"/>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595" t="s">
        <v>587</v>
      </c>
      <c r="X337" s="595"/>
      <c r="Y337" s="595"/>
      <c r="Z337" s="595"/>
      <c r="AA337" s="595"/>
      <c r="AB337" s="595"/>
      <c r="AC337" s="595"/>
      <c r="AD337" s="595"/>
      <c r="AE337" s="595"/>
      <c r="AF337" s="595"/>
      <c r="AG337" s="595"/>
      <c r="AH337" s="595"/>
      <c r="AI337" s="595"/>
      <c r="AJ337" s="595"/>
      <c r="AK337" s="595"/>
      <c r="AL337" s="595"/>
      <c r="AM337" s="595"/>
      <c r="AN337" s="595"/>
      <c r="AO337" s="595"/>
      <c r="AP337" s="595"/>
      <c r="AQ337" s="595"/>
      <c r="AR337" s="595"/>
      <c r="AS337" s="595"/>
      <c r="AT337" s="595"/>
      <c r="AU337" s="595"/>
      <c r="AV337" s="595"/>
      <c r="AW337" s="595"/>
      <c r="AX337" s="595"/>
      <c r="AY337" s="595"/>
      <c r="AZ337" s="595"/>
      <c r="BA337" s="595"/>
      <c r="BB337" s="595"/>
      <c r="BC337" s="595"/>
      <c r="BD337" s="595"/>
      <c r="BE337" s="595"/>
      <c r="BF337" s="595"/>
      <c r="BG337" s="595"/>
      <c r="BH337" s="595"/>
      <c r="BI337" s="595"/>
      <c r="BJ337" s="595"/>
      <c r="BK337" s="595"/>
      <c r="BL337" s="595"/>
      <c r="BM337" s="595"/>
      <c r="BN337" s="595"/>
      <c r="BO337" s="595"/>
      <c r="BP337" s="595"/>
      <c r="BQ337" s="595"/>
      <c r="BR337" s="595"/>
      <c r="BS337" s="595"/>
      <c r="BT337" s="595"/>
      <c r="BU337" s="595"/>
      <c r="BV337" s="595"/>
      <c r="BW337" s="595"/>
      <c r="BX337" s="595"/>
      <c r="BY337" s="595"/>
      <c r="BZ337" s="595"/>
      <c r="CA337" s="595"/>
      <c r="CB337" s="595"/>
      <c r="CC337" s="595"/>
      <c r="CD337" s="595"/>
      <c r="CE337" s="595"/>
      <c r="CF337" s="595"/>
      <c r="CG337" s="595"/>
      <c r="CH337" s="595"/>
      <c r="CI337" s="595"/>
      <c r="CJ337" s="595"/>
      <c r="CK337" s="595"/>
      <c r="CL337" s="595"/>
      <c r="CM337" s="595"/>
      <c r="CN337" s="595"/>
      <c r="CO337" s="595"/>
      <c r="CP337" s="595"/>
      <c r="CQ337" s="595"/>
      <c r="CR337" s="595"/>
      <c r="CS337" s="595"/>
      <c r="CT337" s="595"/>
      <c r="CU337" s="595"/>
      <c r="CV337" s="595"/>
      <c r="CW337" s="595"/>
      <c r="CX337" s="595"/>
      <c r="CY337" s="595"/>
      <c r="CZ337" s="595"/>
      <c r="DA337" s="230">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75" t="s">
        <v>49</v>
      </c>
      <c r="B339" s="476"/>
      <c r="C339" s="476"/>
      <c r="D339" s="476"/>
      <c r="E339" s="476"/>
      <c r="F339" s="476"/>
      <c r="G339" s="477"/>
      <c r="H339" s="475" t="s">
        <v>0</v>
      </c>
      <c r="I339" s="476"/>
      <c r="J339" s="476"/>
      <c r="K339" s="476"/>
      <c r="L339" s="476"/>
      <c r="M339" s="476"/>
      <c r="N339" s="476"/>
      <c r="O339" s="476"/>
      <c r="P339" s="476"/>
      <c r="Q339" s="476"/>
      <c r="R339" s="476"/>
      <c r="S339" s="476"/>
      <c r="T339" s="476"/>
      <c r="U339" s="476"/>
      <c r="V339" s="476"/>
      <c r="W339" s="476"/>
      <c r="X339" s="476"/>
      <c r="Y339" s="476"/>
      <c r="Z339" s="476"/>
      <c r="AA339" s="476"/>
      <c r="AB339" s="476"/>
      <c r="AC339" s="476"/>
      <c r="AD339" s="476"/>
      <c r="AE339" s="476"/>
      <c r="AF339" s="476"/>
      <c r="AG339" s="476"/>
      <c r="AH339" s="476"/>
      <c r="AI339" s="476"/>
      <c r="AJ339" s="476"/>
      <c r="AK339" s="476"/>
      <c r="AL339" s="476"/>
      <c r="AM339" s="476"/>
      <c r="AN339" s="476"/>
      <c r="AO339" s="476"/>
      <c r="AP339" s="476"/>
      <c r="AQ339" s="476"/>
      <c r="AR339" s="476"/>
      <c r="AS339" s="476"/>
      <c r="AT339" s="476"/>
      <c r="AU339" s="476"/>
      <c r="AV339" s="476"/>
      <c r="AW339" s="476"/>
      <c r="AX339" s="476"/>
      <c r="AY339" s="476"/>
      <c r="AZ339" s="476"/>
      <c r="BA339" s="476"/>
      <c r="BB339" s="477"/>
      <c r="BC339" s="597" t="s">
        <v>94</v>
      </c>
      <c r="BD339" s="598"/>
      <c r="BE339" s="598"/>
      <c r="BF339" s="598"/>
      <c r="BG339" s="598"/>
      <c r="BH339" s="598"/>
      <c r="BI339" s="598"/>
      <c r="BJ339" s="598"/>
      <c r="BK339" s="598"/>
      <c r="BL339" s="598"/>
      <c r="BM339" s="598"/>
      <c r="BN339" s="598"/>
      <c r="BO339" s="598"/>
      <c r="BP339" s="598"/>
      <c r="BQ339" s="598"/>
      <c r="BR339" s="599"/>
      <c r="BS339" s="597" t="s">
        <v>310</v>
      </c>
      <c r="BT339" s="598"/>
      <c r="BU339" s="598"/>
      <c r="BV339" s="598"/>
      <c r="BW339" s="598"/>
      <c r="BX339" s="598"/>
      <c r="BY339" s="598"/>
      <c r="BZ339" s="598"/>
      <c r="CA339" s="598"/>
      <c r="CB339" s="598"/>
      <c r="CC339" s="598"/>
      <c r="CD339" s="598"/>
      <c r="CE339" s="598"/>
      <c r="CF339" s="598"/>
      <c r="CG339" s="598"/>
      <c r="CH339" s="599"/>
      <c r="CI339" s="597" t="s">
        <v>309</v>
      </c>
      <c r="CJ339" s="598"/>
      <c r="CK339" s="598"/>
      <c r="CL339" s="598"/>
      <c r="CM339" s="598"/>
      <c r="CN339" s="598"/>
      <c r="CO339" s="598"/>
      <c r="CP339" s="598"/>
      <c r="CQ339" s="598"/>
      <c r="CR339" s="598"/>
      <c r="CS339" s="598"/>
      <c r="CT339" s="598"/>
      <c r="CU339" s="598"/>
      <c r="CV339" s="598"/>
      <c r="CW339" s="598"/>
      <c r="CX339" s="598"/>
      <c r="CY339" s="598"/>
      <c r="CZ339" s="599"/>
    </row>
    <row r="340" spans="1:105" s="20" customFormat="1" hidden="1" x14ac:dyDescent="0.25">
      <c r="A340" s="591">
        <v>1</v>
      </c>
      <c r="B340" s="591"/>
      <c r="C340" s="591"/>
      <c r="D340" s="591"/>
      <c r="E340" s="591"/>
      <c r="F340" s="591"/>
      <c r="G340" s="591"/>
      <c r="H340" s="591">
        <v>2</v>
      </c>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1"/>
      <c r="AL340" s="591"/>
      <c r="AM340" s="591"/>
      <c r="AN340" s="591"/>
      <c r="AO340" s="591"/>
      <c r="AP340" s="591"/>
      <c r="AQ340" s="591"/>
      <c r="AR340" s="591"/>
      <c r="AS340" s="591"/>
      <c r="AT340" s="591"/>
      <c r="AU340" s="591"/>
      <c r="AV340" s="591"/>
      <c r="AW340" s="591"/>
      <c r="AX340" s="591"/>
      <c r="AY340" s="591"/>
      <c r="AZ340" s="591"/>
      <c r="BA340" s="591"/>
      <c r="BB340" s="591"/>
      <c r="BC340" s="591">
        <v>3</v>
      </c>
      <c r="BD340" s="591"/>
      <c r="BE340" s="591"/>
      <c r="BF340" s="591"/>
      <c r="BG340" s="591"/>
      <c r="BH340" s="591"/>
      <c r="BI340" s="591"/>
      <c r="BJ340" s="591"/>
      <c r="BK340" s="591"/>
      <c r="BL340" s="591"/>
      <c r="BM340" s="591"/>
      <c r="BN340" s="591"/>
      <c r="BO340" s="591"/>
      <c r="BP340" s="591"/>
      <c r="BQ340" s="591"/>
      <c r="BR340" s="591"/>
      <c r="BS340" s="591">
        <v>4</v>
      </c>
      <c r="BT340" s="591"/>
      <c r="BU340" s="591"/>
      <c r="BV340" s="591"/>
      <c r="BW340" s="591"/>
      <c r="BX340" s="591"/>
      <c r="BY340" s="591"/>
      <c r="BZ340" s="591"/>
      <c r="CA340" s="591"/>
      <c r="CB340" s="591"/>
      <c r="CC340" s="591"/>
      <c r="CD340" s="591"/>
      <c r="CE340" s="591"/>
      <c r="CF340" s="591"/>
      <c r="CG340" s="591"/>
      <c r="CH340" s="591"/>
      <c r="CI340" s="591">
        <v>5</v>
      </c>
      <c r="CJ340" s="591"/>
      <c r="CK340" s="591"/>
      <c r="CL340" s="591"/>
      <c r="CM340" s="591"/>
      <c r="CN340" s="591"/>
      <c r="CO340" s="591"/>
      <c r="CP340" s="591"/>
      <c r="CQ340" s="591"/>
      <c r="CR340" s="591"/>
      <c r="CS340" s="591"/>
      <c r="CT340" s="591"/>
      <c r="CU340" s="591"/>
      <c r="CV340" s="591"/>
      <c r="CW340" s="591"/>
      <c r="CX340" s="591"/>
      <c r="CY340" s="591"/>
      <c r="CZ340" s="591"/>
    </row>
    <row r="341" spans="1:105" s="20" customFormat="1" hidden="1" x14ac:dyDescent="0.25">
      <c r="A341" s="656" t="s">
        <v>537</v>
      </c>
      <c r="B341" s="657"/>
      <c r="C341" s="657"/>
      <c r="D341" s="657"/>
      <c r="E341" s="657"/>
      <c r="F341" s="657"/>
      <c r="G341" s="657"/>
      <c r="H341" s="657"/>
      <c r="I341" s="657"/>
      <c r="J341" s="657"/>
      <c r="K341" s="657"/>
      <c r="L341" s="657"/>
      <c r="M341" s="657"/>
      <c r="N341" s="657"/>
      <c r="O341" s="657"/>
      <c r="P341" s="657"/>
      <c r="Q341" s="657"/>
      <c r="R341" s="657"/>
      <c r="S341" s="657"/>
      <c r="T341" s="657"/>
      <c r="U341" s="657"/>
      <c r="V341" s="657"/>
      <c r="W341" s="657"/>
      <c r="X341" s="657"/>
      <c r="Y341" s="657"/>
      <c r="Z341" s="657"/>
      <c r="AA341" s="657"/>
      <c r="AB341" s="657"/>
      <c r="AC341" s="657"/>
      <c r="AD341" s="657"/>
      <c r="AE341" s="657"/>
      <c r="AF341" s="657"/>
      <c r="AG341" s="657"/>
      <c r="AH341" s="657"/>
      <c r="AI341" s="657"/>
      <c r="AJ341" s="657"/>
      <c r="AK341" s="657"/>
      <c r="AL341" s="657"/>
      <c r="AM341" s="657"/>
      <c r="AN341" s="657"/>
      <c r="AO341" s="65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57"/>
      <c r="BQ341" s="657"/>
      <c r="BR341" s="657"/>
      <c r="BS341" s="657"/>
      <c r="BT341" s="657"/>
      <c r="BU341" s="657"/>
      <c r="BV341" s="657"/>
      <c r="BW341" s="657"/>
      <c r="BX341" s="657"/>
      <c r="BY341" s="657"/>
      <c r="BZ341" s="657"/>
      <c r="CA341" s="657"/>
      <c r="CB341" s="657"/>
      <c r="CC341" s="657"/>
      <c r="CD341" s="657"/>
      <c r="CE341" s="657"/>
      <c r="CF341" s="657"/>
      <c r="CG341" s="657"/>
      <c r="CH341" s="657"/>
      <c r="CI341" s="657"/>
      <c r="CJ341" s="657"/>
      <c r="CK341" s="657"/>
      <c r="CL341" s="657"/>
      <c r="CM341" s="657"/>
      <c r="CN341" s="657"/>
      <c r="CO341" s="657"/>
      <c r="CP341" s="657"/>
      <c r="CQ341" s="657"/>
      <c r="CR341" s="657"/>
      <c r="CS341" s="657"/>
      <c r="CT341" s="657"/>
      <c r="CU341" s="657"/>
      <c r="CV341" s="657"/>
      <c r="CW341" s="657"/>
      <c r="CX341" s="657"/>
      <c r="CY341" s="657"/>
      <c r="CZ341" s="658"/>
    </row>
    <row r="342" spans="1:105" s="20" customFormat="1" ht="26.25" hidden="1" customHeight="1" x14ac:dyDescent="0.25">
      <c r="A342" s="630" t="s">
        <v>441</v>
      </c>
      <c r="B342" s="631"/>
      <c r="C342" s="631"/>
      <c r="D342" s="631"/>
      <c r="E342" s="631"/>
      <c r="F342" s="631"/>
      <c r="G342" s="632"/>
      <c r="H342" s="584" t="s">
        <v>592</v>
      </c>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5"/>
      <c r="AL342" s="585"/>
      <c r="AM342" s="585"/>
      <c r="AN342" s="585"/>
      <c r="AO342" s="705"/>
      <c r="AP342" s="705"/>
      <c r="AQ342" s="705"/>
      <c r="AR342" s="705"/>
      <c r="AS342" s="705"/>
      <c r="AT342" s="705"/>
      <c r="AU342" s="705"/>
      <c r="AV342" s="705"/>
      <c r="AW342" s="705"/>
      <c r="AX342" s="705"/>
      <c r="AY342" s="705"/>
      <c r="AZ342" s="705"/>
      <c r="BA342" s="705"/>
      <c r="BB342" s="706"/>
      <c r="BC342" s="675">
        <v>1</v>
      </c>
      <c r="BD342" s="676"/>
      <c r="BE342" s="676"/>
      <c r="BF342" s="676"/>
      <c r="BG342" s="676"/>
      <c r="BH342" s="676"/>
      <c r="BI342" s="676"/>
      <c r="BJ342" s="676"/>
      <c r="BK342" s="676"/>
      <c r="BL342" s="676"/>
      <c r="BM342" s="676"/>
      <c r="BN342" s="676"/>
      <c r="BO342" s="676"/>
      <c r="BP342" s="676"/>
      <c r="BQ342" s="676"/>
      <c r="BR342" s="677"/>
      <c r="BS342" s="627">
        <f>CI342/BC342</f>
        <v>0</v>
      </c>
      <c r="BT342" s="628"/>
      <c r="BU342" s="628"/>
      <c r="BV342" s="628"/>
      <c r="BW342" s="628"/>
      <c r="BX342" s="628"/>
      <c r="BY342" s="628"/>
      <c r="BZ342" s="628"/>
      <c r="CA342" s="628"/>
      <c r="CB342" s="628"/>
      <c r="CC342" s="628"/>
      <c r="CD342" s="628"/>
      <c r="CE342" s="628"/>
      <c r="CF342" s="628"/>
      <c r="CG342" s="628"/>
      <c r="CH342" s="629"/>
      <c r="CI342" s="627"/>
      <c r="CJ342" s="628"/>
      <c r="CK342" s="628"/>
      <c r="CL342" s="628"/>
      <c r="CM342" s="628"/>
      <c r="CN342" s="628"/>
      <c r="CO342" s="628"/>
      <c r="CP342" s="628"/>
      <c r="CQ342" s="628"/>
      <c r="CR342" s="628"/>
      <c r="CS342" s="628"/>
      <c r="CT342" s="628"/>
      <c r="CU342" s="628"/>
      <c r="CV342" s="628"/>
      <c r="CW342" s="628"/>
      <c r="CX342" s="628"/>
      <c r="CY342" s="628"/>
      <c r="CZ342" s="629"/>
    </row>
    <row r="343" spans="1:105" s="20" customFormat="1" hidden="1" x14ac:dyDescent="0.25">
      <c r="A343" s="633" t="s">
        <v>292</v>
      </c>
      <c r="B343" s="634"/>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34"/>
      <c r="AL343" s="634"/>
      <c r="AM343" s="634"/>
      <c r="AN343" s="634"/>
      <c r="AO343" s="634"/>
      <c r="AP343" s="634"/>
      <c r="AQ343" s="634"/>
      <c r="AR343" s="634"/>
      <c r="AS343" s="634"/>
      <c r="AT343" s="634"/>
      <c r="AU343" s="634"/>
      <c r="AV343" s="634"/>
      <c r="AW343" s="634"/>
      <c r="AX343" s="634"/>
      <c r="AY343" s="634"/>
      <c r="AZ343" s="634"/>
      <c r="BA343" s="634"/>
      <c r="BB343" s="635"/>
      <c r="BC343" s="544" t="s">
        <v>4</v>
      </c>
      <c r="BD343" s="545"/>
      <c r="BE343" s="545"/>
      <c r="BF343" s="545"/>
      <c r="BG343" s="545"/>
      <c r="BH343" s="545"/>
      <c r="BI343" s="545"/>
      <c r="BJ343" s="545"/>
      <c r="BK343" s="545"/>
      <c r="BL343" s="545"/>
      <c r="BM343" s="545"/>
      <c r="BN343" s="545"/>
      <c r="BO343" s="545"/>
      <c r="BP343" s="545"/>
      <c r="BQ343" s="545"/>
      <c r="BR343" s="546"/>
      <c r="BS343" s="544" t="s">
        <v>4</v>
      </c>
      <c r="BT343" s="545"/>
      <c r="BU343" s="545"/>
      <c r="BV343" s="545"/>
      <c r="BW343" s="545"/>
      <c r="BX343" s="545"/>
      <c r="BY343" s="545"/>
      <c r="BZ343" s="545"/>
      <c r="CA343" s="545"/>
      <c r="CB343" s="545"/>
      <c r="CC343" s="545"/>
      <c r="CD343" s="545"/>
      <c r="CE343" s="545"/>
      <c r="CF343" s="545"/>
      <c r="CG343" s="545"/>
      <c r="CH343" s="546"/>
      <c r="CI343" s="636">
        <f>SUM(CI342)</f>
        <v>0</v>
      </c>
      <c r="CJ343" s="637"/>
      <c r="CK343" s="637"/>
      <c r="CL343" s="637"/>
      <c r="CM343" s="637"/>
      <c r="CN343" s="637"/>
      <c r="CO343" s="637"/>
      <c r="CP343" s="637"/>
      <c r="CQ343" s="637"/>
      <c r="CR343" s="637"/>
      <c r="CS343" s="637"/>
      <c r="CT343" s="637"/>
      <c r="CU343" s="637"/>
      <c r="CV343" s="637"/>
      <c r="CW343" s="637"/>
      <c r="CX343" s="637"/>
      <c r="CY343" s="637"/>
      <c r="CZ343" s="638"/>
    </row>
    <row r="344" spans="1:105" s="20" customFormat="1" hidden="1" x14ac:dyDescent="0.25">
      <c r="A344" s="553" t="s">
        <v>56</v>
      </c>
      <c r="B344" s="554"/>
      <c r="C344" s="554"/>
      <c r="D344" s="554"/>
      <c r="E344" s="554"/>
      <c r="F344" s="554"/>
      <c r="G344" s="554"/>
      <c r="H344" s="554"/>
      <c r="I344" s="554"/>
      <c r="J344" s="554"/>
      <c r="K344" s="554"/>
      <c r="L344" s="554"/>
      <c r="M344" s="554"/>
      <c r="N344" s="554"/>
      <c r="O344" s="554"/>
      <c r="P344" s="554"/>
      <c r="Q344" s="554"/>
      <c r="R344" s="554"/>
      <c r="S344" s="554"/>
      <c r="T344" s="554"/>
      <c r="U344" s="554"/>
      <c r="V344" s="554"/>
      <c r="W344" s="554"/>
      <c r="X344" s="554"/>
      <c r="Y344" s="554"/>
      <c r="Z344" s="554"/>
      <c r="AA344" s="554"/>
      <c r="AB344" s="554"/>
      <c r="AC344" s="554"/>
      <c r="AD344" s="554"/>
      <c r="AE344" s="554"/>
      <c r="AF344" s="554"/>
      <c r="AG344" s="554"/>
      <c r="AH344" s="554"/>
      <c r="AI344" s="554"/>
      <c r="AJ344" s="554"/>
      <c r="AK344" s="554"/>
      <c r="AL344" s="554"/>
      <c r="AM344" s="554"/>
      <c r="AN344" s="554"/>
      <c r="AO344" s="554"/>
      <c r="AP344" s="554"/>
      <c r="AQ344" s="554"/>
      <c r="AR344" s="554"/>
      <c r="AS344" s="554"/>
      <c r="AT344" s="554"/>
      <c r="AU344" s="554"/>
      <c r="AV344" s="554"/>
      <c r="AW344" s="554"/>
      <c r="AX344" s="554"/>
      <c r="AY344" s="554"/>
      <c r="AZ344" s="554"/>
      <c r="BA344" s="554"/>
      <c r="BB344" s="555"/>
      <c r="BC344" s="544" t="s">
        <v>4</v>
      </c>
      <c r="BD344" s="545"/>
      <c r="BE344" s="545"/>
      <c r="BF344" s="545"/>
      <c r="BG344" s="545"/>
      <c r="BH344" s="545"/>
      <c r="BI344" s="545"/>
      <c r="BJ344" s="545"/>
      <c r="BK344" s="545"/>
      <c r="BL344" s="545"/>
      <c r="BM344" s="545"/>
      <c r="BN344" s="545"/>
      <c r="BO344" s="545"/>
      <c r="BP344" s="545"/>
      <c r="BQ344" s="545"/>
      <c r="BR344" s="546"/>
      <c r="BS344" s="544" t="s">
        <v>4</v>
      </c>
      <c r="BT344" s="545"/>
      <c r="BU344" s="545"/>
      <c r="BV344" s="545"/>
      <c r="BW344" s="545"/>
      <c r="BX344" s="545"/>
      <c r="BY344" s="545"/>
      <c r="BZ344" s="545"/>
      <c r="CA344" s="545"/>
      <c r="CB344" s="545"/>
      <c r="CC344" s="545"/>
      <c r="CD344" s="545"/>
      <c r="CE344" s="545"/>
      <c r="CF344" s="545"/>
      <c r="CG344" s="545"/>
      <c r="CH344" s="546"/>
      <c r="CI344" s="636">
        <f>CI343+CI323+CI317</f>
        <v>0</v>
      </c>
      <c r="CJ344" s="637"/>
      <c r="CK344" s="637"/>
      <c r="CL344" s="637"/>
      <c r="CM344" s="637"/>
      <c r="CN344" s="637"/>
      <c r="CO344" s="637"/>
      <c r="CP344" s="637"/>
      <c r="CQ344" s="637"/>
      <c r="CR344" s="637"/>
      <c r="CS344" s="637"/>
      <c r="CT344" s="637"/>
      <c r="CU344" s="637"/>
      <c r="CV344" s="637"/>
      <c r="CW344" s="637"/>
      <c r="CX344" s="637"/>
      <c r="CY344" s="637"/>
      <c r="CZ344" s="638"/>
    </row>
    <row r="345" spans="1:105" s="20" customFormat="1" hidden="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9"/>
      <c r="CL345" s="229"/>
      <c r="CM345" s="229"/>
      <c r="CN345" s="229"/>
      <c r="CO345" s="229"/>
      <c r="CP345" s="229"/>
      <c r="CQ345" s="229"/>
      <c r="CR345" s="229"/>
      <c r="CS345" s="229"/>
      <c r="CT345" s="229"/>
      <c r="CU345" s="229"/>
      <c r="CV345" s="229"/>
      <c r="CW345" s="229"/>
      <c r="CX345" s="229"/>
      <c r="CY345" s="229"/>
      <c r="CZ345" s="229"/>
    </row>
    <row r="346" spans="1:105" s="20" customFormat="1" x14ac:dyDescent="0.25">
      <c r="A346" s="594" t="s">
        <v>287</v>
      </c>
      <c r="B346" s="594"/>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4"/>
      <c r="AL346" s="594"/>
      <c r="AM346" s="594"/>
      <c r="AN346" s="594"/>
      <c r="AO346" s="594"/>
      <c r="AP346" s="594"/>
      <c r="AQ346" s="594"/>
      <c r="AR346" s="594"/>
      <c r="AS346" s="594"/>
      <c r="AT346" s="594"/>
      <c r="AU346" s="594"/>
      <c r="AV346" s="594"/>
      <c r="AW346" s="594"/>
      <c r="AX346" s="594"/>
      <c r="AY346" s="594"/>
      <c r="AZ346" s="594"/>
      <c r="BA346" s="594"/>
      <c r="BB346" s="594"/>
      <c r="BC346" s="594"/>
      <c r="BD346" s="594"/>
      <c r="BE346" s="594"/>
      <c r="BF346" s="594"/>
      <c r="BG346" s="594"/>
      <c r="BH346" s="594"/>
      <c r="BI346" s="594"/>
      <c r="BJ346" s="594"/>
      <c r="BK346" s="594"/>
      <c r="BL346" s="594"/>
      <c r="BM346" s="594"/>
      <c r="BN346" s="594"/>
      <c r="BO346" s="594"/>
      <c r="BP346" s="594"/>
      <c r="BQ346" s="594"/>
      <c r="BR346" s="594"/>
      <c r="BS346" s="594"/>
      <c r="BT346" s="594"/>
      <c r="BU346" s="594"/>
      <c r="BV346" s="594"/>
      <c r="BW346" s="594"/>
      <c r="BX346" s="594"/>
      <c r="BY346" s="594"/>
      <c r="BZ346" s="594"/>
      <c r="CA346" s="594"/>
      <c r="CB346" s="594"/>
      <c r="CC346" s="594"/>
      <c r="CD346" s="594"/>
      <c r="CE346" s="594"/>
      <c r="CF346" s="594"/>
      <c r="CG346" s="594"/>
      <c r="CH346" s="594"/>
      <c r="CI346" s="594"/>
      <c r="CJ346" s="594"/>
      <c r="CK346" s="594"/>
      <c r="CL346" s="594"/>
      <c r="CM346" s="594"/>
      <c r="CN346" s="594"/>
      <c r="CO346" s="594"/>
      <c r="CP346" s="594"/>
      <c r="CQ346" s="594"/>
      <c r="CR346" s="594"/>
      <c r="CS346" s="594"/>
      <c r="CT346" s="594"/>
      <c r="CU346" s="594"/>
      <c r="CV346" s="594"/>
      <c r="CW346" s="594"/>
      <c r="CX346" s="594"/>
      <c r="CY346" s="594"/>
      <c r="CZ346" s="594"/>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95" t="s">
        <v>587</v>
      </c>
      <c r="X348" s="595"/>
      <c r="Y348" s="595"/>
      <c r="Z348" s="595"/>
      <c r="AA348" s="595"/>
      <c r="AB348" s="595"/>
      <c r="AC348" s="595"/>
      <c r="AD348" s="595"/>
      <c r="AE348" s="595"/>
      <c r="AF348" s="595"/>
      <c r="AG348" s="595"/>
      <c r="AH348" s="595"/>
      <c r="AI348" s="595"/>
      <c r="AJ348" s="595"/>
      <c r="AK348" s="595"/>
      <c r="AL348" s="595"/>
      <c r="AM348" s="595"/>
      <c r="AN348" s="595"/>
      <c r="AO348" s="595"/>
      <c r="AP348" s="595"/>
      <c r="AQ348" s="595"/>
      <c r="AR348" s="595"/>
      <c r="AS348" s="595"/>
      <c r="AT348" s="595"/>
      <c r="AU348" s="595"/>
      <c r="AV348" s="595"/>
      <c r="AW348" s="595"/>
      <c r="AX348" s="595"/>
      <c r="AY348" s="595"/>
      <c r="AZ348" s="595"/>
      <c r="BA348" s="595"/>
      <c r="BB348" s="595"/>
      <c r="BC348" s="595"/>
      <c r="BD348" s="595"/>
      <c r="BE348" s="595"/>
      <c r="BF348" s="595"/>
      <c r="BG348" s="595"/>
      <c r="BH348" s="595"/>
      <c r="BI348" s="595"/>
      <c r="BJ348" s="595"/>
      <c r="BK348" s="595"/>
      <c r="BL348" s="595"/>
      <c r="BM348" s="595"/>
      <c r="BN348" s="595"/>
      <c r="BO348" s="595"/>
      <c r="BP348" s="595"/>
      <c r="BQ348" s="595"/>
      <c r="BR348" s="595"/>
      <c r="BS348" s="595"/>
      <c r="BT348" s="595"/>
      <c r="BU348" s="595"/>
      <c r="BV348" s="595"/>
      <c r="BW348" s="595"/>
      <c r="BX348" s="595"/>
      <c r="BY348" s="595"/>
      <c r="BZ348" s="595"/>
      <c r="CA348" s="595"/>
      <c r="CB348" s="595"/>
      <c r="CC348" s="595"/>
      <c r="CD348" s="595"/>
      <c r="CE348" s="595"/>
      <c r="CF348" s="595"/>
      <c r="CG348" s="595"/>
      <c r="CH348" s="595"/>
      <c r="CI348" s="595"/>
      <c r="CJ348" s="595"/>
      <c r="CK348" s="595"/>
      <c r="CL348" s="595"/>
      <c r="CM348" s="595"/>
      <c r="CN348" s="595"/>
      <c r="CO348" s="595"/>
      <c r="CP348" s="595"/>
      <c r="CQ348" s="595"/>
      <c r="CR348" s="595"/>
      <c r="CS348" s="595"/>
      <c r="CT348" s="595"/>
      <c r="CU348" s="595"/>
      <c r="CV348" s="595"/>
      <c r="CW348" s="595"/>
      <c r="CX348" s="595"/>
      <c r="CY348" s="595"/>
      <c r="CZ348" s="595"/>
      <c r="DA348" s="230">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75" t="s">
        <v>49</v>
      </c>
      <c r="B350" s="476"/>
      <c r="C350" s="476"/>
      <c r="D350" s="476"/>
      <c r="E350" s="476"/>
      <c r="F350" s="476"/>
      <c r="G350" s="477"/>
      <c r="H350" s="475" t="s">
        <v>0</v>
      </c>
      <c r="I350" s="476"/>
      <c r="J350" s="476"/>
      <c r="K350" s="476"/>
      <c r="L350" s="476"/>
      <c r="M350" s="476"/>
      <c r="N350" s="476"/>
      <c r="O350" s="476"/>
      <c r="P350" s="476"/>
      <c r="Q350" s="476"/>
      <c r="R350" s="476"/>
      <c r="S350" s="476"/>
      <c r="T350" s="476"/>
      <c r="U350" s="476"/>
      <c r="V350" s="476"/>
      <c r="W350" s="476"/>
      <c r="X350" s="476"/>
      <c r="Y350" s="476"/>
      <c r="Z350" s="476"/>
      <c r="AA350" s="476"/>
      <c r="AB350" s="476"/>
      <c r="AC350" s="476"/>
      <c r="AD350" s="476"/>
      <c r="AE350" s="476"/>
      <c r="AF350" s="476"/>
      <c r="AG350" s="476"/>
      <c r="AH350" s="476"/>
      <c r="AI350" s="476"/>
      <c r="AJ350" s="476"/>
      <c r="AK350" s="476"/>
      <c r="AL350" s="476"/>
      <c r="AM350" s="476"/>
      <c r="AN350" s="477"/>
      <c r="AO350" s="475" t="s">
        <v>88</v>
      </c>
      <c r="AP350" s="476"/>
      <c r="AQ350" s="476"/>
      <c r="AR350" s="476"/>
      <c r="AS350" s="476"/>
      <c r="AT350" s="476"/>
      <c r="AU350" s="476"/>
      <c r="AV350" s="476"/>
      <c r="AW350" s="476"/>
      <c r="AX350" s="476"/>
      <c r="AY350" s="476"/>
      <c r="AZ350" s="476"/>
      <c r="BA350" s="476"/>
      <c r="BB350" s="476"/>
      <c r="BC350" s="476"/>
      <c r="BD350" s="477"/>
      <c r="BE350" s="475" t="s">
        <v>89</v>
      </c>
      <c r="BF350" s="476"/>
      <c r="BG350" s="476"/>
      <c r="BH350" s="476"/>
      <c r="BI350" s="476"/>
      <c r="BJ350" s="476"/>
      <c r="BK350" s="476"/>
      <c r="BL350" s="476"/>
      <c r="BM350" s="476"/>
      <c r="BN350" s="476"/>
      <c r="BO350" s="476"/>
      <c r="BP350" s="476"/>
      <c r="BQ350" s="476"/>
      <c r="BR350" s="476"/>
      <c r="BS350" s="476"/>
      <c r="BT350" s="477"/>
      <c r="BU350" s="475" t="s">
        <v>90</v>
      </c>
      <c r="BV350" s="476"/>
      <c r="BW350" s="476"/>
      <c r="BX350" s="476"/>
      <c r="BY350" s="476"/>
      <c r="BZ350" s="476"/>
      <c r="CA350" s="476"/>
      <c r="CB350" s="476"/>
      <c r="CC350" s="476"/>
      <c r="CD350" s="476"/>
      <c r="CE350" s="476"/>
      <c r="CF350" s="476"/>
      <c r="CG350" s="476"/>
      <c r="CH350" s="476"/>
      <c r="CI350" s="476"/>
      <c r="CJ350" s="477"/>
      <c r="CK350" s="475" t="s">
        <v>98</v>
      </c>
      <c r="CL350" s="476"/>
      <c r="CM350" s="476"/>
      <c r="CN350" s="476"/>
      <c r="CO350" s="476"/>
      <c r="CP350" s="476"/>
      <c r="CQ350" s="476"/>
      <c r="CR350" s="476"/>
      <c r="CS350" s="476"/>
      <c r="CT350" s="476"/>
      <c r="CU350" s="476"/>
      <c r="CV350" s="476"/>
      <c r="CW350" s="476"/>
      <c r="CX350" s="476"/>
      <c r="CY350" s="476"/>
      <c r="CZ350" s="477"/>
      <c r="DA350" s="218"/>
    </row>
    <row r="351" spans="1:105" s="15" customFormat="1" ht="13.2" x14ac:dyDescent="0.3">
      <c r="A351" s="591">
        <v>1</v>
      </c>
      <c r="B351" s="591"/>
      <c r="C351" s="591"/>
      <c r="D351" s="591"/>
      <c r="E351" s="591"/>
      <c r="F351" s="591"/>
      <c r="G351" s="591"/>
      <c r="H351" s="591">
        <v>2</v>
      </c>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1"/>
      <c r="AL351" s="591"/>
      <c r="AM351" s="591"/>
      <c r="AN351" s="591"/>
      <c r="AO351" s="591">
        <v>3</v>
      </c>
      <c r="AP351" s="591"/>
      <c r="AQ351" s="591"/>
      <c r="AR351" s="591"/>
      <c r="AS351" s="591"/>
      <c r="AT351" s="591"/>
      <c r="AU351" s="591"/>
      <c r="AV351" s="591"/>
      <c r="AW351" s="591"/>
      <c r="AX351" s="591"/>
      <c r="AY351" s="591"/>
      <c r="AZ351" s="591"/>
      <c r="BA351" s="591"/>
      <c r="BB351" s="591"/>
      <c r="BC351" s="591"/>
      <c r="BD351" s="591"/>
      <c r="BE351" s="591">
        <v>4</v>
      </c>
      <c r="BF351" s="591"/>
      <c r="BG351" s="591"/>
      <c r="BH351" s="591"/>
      <c r="BI351" s="591"/>
      <c r="BJ351" s="591"/>
      <c r="BK351" s="591"/>
      <c r="BL351" s="591"/>
      <c r="BM351" s="591"/>
      <c r="BN351" s="591"/>
      <c r="BO351" s="591"/>
      <c r="BP351" s="591"/>
      <c r="BQ351" s="591"/>
      <c r="BR351" s="591"/>
      <c r="BS351" s="591"/>
      <c r="BT351" s="591"/>
      <c r="BU351" s="591">
        <v>5</v>
      </c>
      <c r="BV351" s="591"/>
      <c r="BW351" s="591"/>
      <c r="BX351" s="591"/>
      <c r="BY351" s="591"/>
      <c r="BZ351" s="591"/>
      <c r="CA351" s="591"/>
      <c r="CB351" s="591"/>
      <c r="CC351" s="591"/>
      <c r="CD351" s="591"/>
      <c r="CE351" s="591"/>
      <c r="CF351" s="591"/>
      <c r="CG351" s="591"/>
      <c r="CH351" s="591"/>
      <c r="CI351" s="591"/>
      <c r="CJ351" s="591"/>
      <c r="CK351" s="591">
        <v>6</v>
      </c>
      <c r="CL351" s="591"/>
      <c r="CM351" s="591"/>
      <c r="CN351" s="591"/>
      <c r="CO351" s="591"/>
      <c r="CP351" s="591"/>
      <c r="CQ351" s="591"/>
      <c r="CR351" s="591"/>
      <c r="CS351" s="591"/>
      <c r="CT351" s="591"/>
      <c r="CU351" s="591"/>
      <c r="CV351" s="591"/>
      <c r="CW351" s="591"/>
      <c r="CX351" s="591"/>
      <c r="CY351" s="591"/>
      <c r="CZ351" s="591"/>
      <c r="DA351" s="219"/>
    </row>
    <row r="352" spans="1:105" s="16" customFormat="1" ht="15" customHeight="1" x14ac:dyDescent="0.3">
      <c r="A352" s="656" t="s">
        <v>537</v>
      </c>
      <c r="B352" s="657"/>
      <c r="C352" s="657"/>
      <c r="D352" s="657"/>
      <c r="E352" s="657"/>
      <c r="F352" s="657"/>
      <c r="G352" s="657"/>
      <c r="H352" s="657"/>
      <c r="I352" s="657"/>
      <c r="J352" s="657"/>
      <c r="K352" s="657"/>
      <c r="L352" s="657"/>
      <c r="M352" s="657"/>
      <c r="N352" s="657"/>
      <c r="O352" s="657"/>
      <c r="P352" s="657"/>
      <c r="Q352" s="657"/>
      <c r="R352" s="657"/>
      <c r="S352" s="657"/>
      <c r="T352" s="657"/>
      <c r="U352" s="657"/>
      <c r="V352" s="657"/>
      <c r="W352" s="657"/>
      <c r="X352" s="657"/>
      <c r="Y352" s="657"/>
      <c r="Z352" s="657"/>
      <c r="AA352" s="657"/>
      <c r="AB352" s="657"/>
      <c r="AC352" s="657"/>
      <c r="AD352" s="657"/>
      <c r="AE352" s="657"/>
      <c r="AF352" s="657"/>
      <c r="AG352" s="657"/>
      <c r="AH352" s="657"/>
      <c r="AI352" s="657"/>
      <c r="AJ352" s="657"/>
      <c r="AK352" s="657"/>
      <c r="AL352" s="657"/>
      <c r="AM352" s="657"/>
      <c r="AN352" s="657"/>
      <c r="AO352" s="65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57"/>
      <c r="BQ352" s="657"/>
      <c r="BR352" s="657"/>
      <c r="BS352" s="657"/>
      <c r="BT352" s="657"/>
      <c r="BU352" s="657"/>
      <c r="BV352" s="657"/>
      <c r="BW352" s="657"/>
      <c r="BX352" s="657"/>
      <c r="BY352" s="657"/>
      <c r="BZ352" s="657"/>
      <c r="CA352" s="657"/>
      <c r="CB352" s="657"/>
      <c r="CC352" s="657"/>
      <c r="CD352" s="657"/>
      <c r="CE352" s="657"/>
      <c r="CF352" s="657"/>
      <c r="CG352" s="657"/>
      <c r="CH352" s="657"/>
      <c r="CI352" s="657"/>
      <c r="CJ352" s="657"/>
      <c r="CK352" s="657"/>
      <c r="CL352" s="657"/>
      <c r="CM352" s="657"/>
      <c r="CN352" s="657"/>
      <c r="CO352" s="657"/>
      <c r="CP352" s="657"/>
      <c r="CQ352" s="657"/>
      <c r="CR352" s="657"/>
      <c r="CS352" s="657"/>
      <c r="CT352" s="657"/>
      <c r="CU352" s="657"/>
      <c r="CV352" s="657"/>
      <c r="CW352" s="657"/>
      <c r="CX352" s="657"/>
      <c r="CY352" s="657"/>
      <c r="CZ352" s="658"/>
      <c r="DA352" s="214"/>
    </row>
    <row r="353" spans="1:105" s="16" customFormat="1" ht="15" hidden="1" customHeight="1" x14ac:dyDescent="0.3">
      <c r="A353" s="630" t="s">
        <v>441</v>
      </c>
      <c r="B353" s="631"/>
      <c r="C353" s="631"/>
      <c r="D353" s="631"/>
      <c r="E353" s="631"/>
      <c r="F353" s="631"/>
      <c r="G353" s="632"/>
      <c r="H353" s="584" t="s">
        <v>593</v>
      </c>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5"/>
      <c r="AL353" s="585"/>
      <c r="AM353" s="585"/>
      <c r="AN353" s="586"/>
      <c r="AO353" s="627"/>
      <c r="AP353" s="628"/>
      <c r="AQ353" s="628"/>
      <c r="AR353" s="628"/>
      <c r="AS353" s="628"/>
      <c r="AT353" s="628"/>
      <c r="AU353" s="628"/>
      <c r="AV353" s="628"/>
      <c r="AW353" s="628"/>
      <c r="AX353" s="628"/>
      <c r="AY353" s="628"/>
      <c r="AZ353" s="628"/>
      <c r="BA353" s="628"/>
      <c r="BB353" s="628"/>
      <c r="BC353" s="628"/>
      <c r="BD353" s="629"/>
      <c r="BE353" s="627"/>
      <c r="BF353" s="628"/>
      <c r="BG353" s="628"/>
      <c r="BH353" s="628"/>
      <c r="BI353" s="628"/>
      <c r="BJ353" s="628"/>
      <c r="BK353" s="628"/>
      <c r="BL353" s="628"/>
      <c r="BM353" s="628"/>
      <c r="BN353" s="628"/>
      <c r="BO353" s="628"/>
      <c r="BP353" s="628"/>
      <c r="BQ353" s="628"/>
      <c r="BR353" s="628"/>
      <c r="BS353" s="628"/>
      <c r="BT353" s="629"/>
      <c r="BU353" s="696"/>
      <c r="BV353" s="697"/>
      <c r="BW353" s="697"/>
      <c r="BX353" s="697"/>
      <c r="BY353" s="697"/>
      <c r="BZ353" s="697"/>
      <c r="CA353" s="697"/>
      <c r="CB353" s="697"/>
      <c r="CC353" s="697"/>
      <c r="CD353" s="697"/>
      <c r="CE353" s="697"/>
      <c r="CF353" s="697"/>
      <c r="CG353" s="697"/>
      <c r="CH353" s="697"/>
      <c r="CI353" s="697"/>
      <c r="CJ353" s="698"/>
      <c r="CK353" s="627"/>
      <c r="CL353" s="628"/>
      <c r="CM353" s="628"/>
      <c r="CN353" s="628"/>
      <c r="CO353" s="628"/>
      <c r="CP353" s="628"/>
      <c r="CQ353" s="628"/>
      <c r="CR353" s="628"/>
      <c r="CS353" s="628"/>
      <c r="CT353" s="628"/>
      <c r="CU353" s="628"/>
      <c r="CV353" s="628"/>
      <c r="CW353" s="628"/>
      <c r="CX353" s="628"/>
      <c r="CY353" s="628"/>
      <c r="CZ353" s="629"/>
      <c r="DA353" s="214"/>
    </row>
    <row r="354" spans="1:105" s="16" customFormat="1" ht="15" hidden="1" customHeight="1" x14ac:dyDescent="0.3">
      <c r="A354" s="630" t="s">
        <v>444</v>
      </c>
      <c r="B354" s="631"/>
      <c r="C354" s="631"/>
      <c r="D354" s="631"/>
      <c r="E354" s="631"/>
      <c r="F354" s="631"/>
      <c r="G354" s="632"/>
      <c r="H354" s="584" t="s">
        <v>594</v>
      </c>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5"/>
      <c r="AL354" s="585"/>
      <c r="AM354" s="585"/>
      <c r="AN354" s="586"/>
      <c r="AO354" s="627"/>
      <c r="AP354" s="628"/>
      <c r="AQ354" s="628"/>
      <c r="AR354" s="628"/>
      <c r="AS354" s="628"/>
      <c r="AT354" s="628"/>
      <c r="AU354" s="628"/>
      <c r="AV354" s="628"/>
      <c r="AW354" s="628"/>
      <c r="AX354" s="628"/>
      <c r="AY354" s="628"/>
      <c r="AZ354" s="628"/>
      <c r="BA354" s="628"/>
      <c r="BB354" s="628"/>
      <c r="BC354" s="628"/>
      <c r="BD354" s="629"/>
      <c r="BE354" s="627"/>
      <c r="BF354" s="628"/>
      <c r="BG354" s="628"/>
      <c r="BH354" s="628"/>
      <c r="BI354" s="628"/>
      <c r="BJ354" s="628"/>
      <c r="BK354" s="628"/>
      <c r="BL354" s="628"/>
      <c r="BM354" s="628"/>
      <c r="BN354" s="628"/>
      <c r="BO354" s="628"/>
      <c r="BP354" s="628"/>
      <c r="BQ354" s="628"/>
      <c r="BR354" s="628"/>
      <c r="BS354" s="628"/>
      <c r="BT354" s="629"/>
      <c r="BU354" s="696"/>
      <c r="BV354" s="697"/>
      <c r="BW354" s="697"/>
      <c r="BX354" s="697"/>
      <c r="BY354" s="697"/>
      <c r="BZ354" s="697"/>
      <c r="CA354" s="697"/>
      <c r="CB354" s="697"/>
      <c r="CC354" s="697"/>
      <c r="CD354" s="697"/>
      <c r="CE354" s="697"/>
      <c r="CF354" s="697"/>
      <c r="CG354" s="697"/>
      <c r="CH354" s="697"/>
      <c r="CI354" s="697"/>
      <c r="CJ354" s="698"/>
      <c r="CK354" s="627"/>
      <c r="CL354" s="628"/>
      <c r="CM354" s="628"/>
      <c r="CN354" s="628"/>
      <c r="CO354" s="628"/>
      <c r="CP354" s="628"/>
      <c r="CQ354" s="628"/>
      <c r="CR354" s="628"/>
      <c r="CS354" s="628"/>
      <c r="CT354" s="628"/>
      <c r="CU354" s="628"/>
      <c r="CV354" s="628"/>
      <c r="CW354" s="628"/>
      <c r="CX354" s="628"/>
      <c r="CY354" s="628"/>
      <c r="CZ354" s="629"/>
      <c r="DA354" s="214"/>
    </row>
    <row r="355" spans="1:105" s="16" customFormat="1" ht="15" customHeight="1" x14ac:dyDescent="0.3">
      <c r="A355" s="728" t="s">
        <v>441</v>
      </c>
      <c r="B355" s="729"/>
      <c r="C355" s="729"/>
      <c r="D355" s="729"/>
      <c r="E355" s="729"/>
      <c r="F355" s="729"/>
      <c r="G355" s="730"/>
      <c r="H355" s="587" t="s">
        <v>824</v>
      </c>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8"/>
      <c r="AL355" s="588"/>
      <c r="AM355" s="588"/>
      <c r="AN355" s="589"/>
      <c r="AO355" s="693">
        <v>2400</v>
      </c>
      <c r="AP355" s="694"/>
      <c r="AQ355" s="694"/>
      <c r="AR355" s="694"/>
      <c r="AS355" s="694"/>
      <c r="AT355" s="694"/>
      <c r="AU355" s="694"/>
      <c r="AV355" s="694"/>
      <c r="AW355" s="694"/>
      <c r="AX355" s="694"/>
      <c r="AY355" s="694"/>
      <c r="AZ355" s="694"/>
      <c r="BA355" s="694"/>
      <c r="BB355" s="694"/>
      <c r="BC355" s="694"/>
      <c r="BD355" s="695"/>
      <c r="BE355" s="693">
        <v>25.52</v>
      </c>
      <c r="BF355" s="694"/>
      <c r="BG355" s="694"/>
      <c r="BH355" s="694"/>
      <c r="BI355" s="694"/>
      <c r="BJ355" s="694"/>
      <c r="BK355" s="694"/>
      <c r="BL355" s="694"/>
      <c r="BM355" s="694"/>
      <c r="BN355" s="694"/>
      <c r="BO355" s="694"/>
      <c r="BP355" s="694"/>
      <c r="BQ355" s="694"/>
      <c r="BR355" s="694"/>
      <c r="BS355" s="694"/>
      <c r="BT355" s="695"/>
      <c r="BU355" s="752">
        <v>0.04</v>
      </c>
      <c r="BV355" s="753"/>
      <c r="BW355" s="753"/>
      <c r="BX355" s="753"/>
      <c r="BY355" s="753"/>
      <c r="BZ355" s="753"/>
      <c r="CA355" s="753"/>
      <c r="CB355" s="753"/>
      <c r="CC355" s="753"/>
      <c r="CD355" s="753"/>
      <c r="CE355" s="753"/>
      <c r="CF355" s="753"/>
      <c r="CG355" s="753"/>
      <c r="CH355" s="753"/>
      <c r="CI355" s="753"/>
      <c r="CJ355" s="754"/>
      <c r="CK355" s="693">
        <f>ROUND(AO355*BE355*BU355+(AO355*BE355),2)+0.01</f>
        <v>63697.93</v>
      </c>
      <c r="CL355" s="694"/>
      <c r="CM355" s="694"/>
      <c r="CN355" s="694"/>
      <c r="CO355" s="694"/>
      <c r="CP355" s="694"/>
      <c r="CQ355" s="694"/>
      <c r="CR355" s="694"/>
      <c r="CS355" s="694"/>
      <c r="CT355" s="694"/>
      <c r="CU355" s="694"/>
      <c r="CV355" s="694"/>
      <c r="CW355" s="694"/>
      <c r="CX355" s="694"/>
      <c r="CY355" s="694"/>
      <c r="CZ355" s="695"/>
      <c r="DA355" s="214">
        <v>0.01</v>
      </c>
    </row>
    <row r="356" spans="1:105" s="16" customFormat="1" ht="15" hidden="1" customHeight="1" x14ac:dyDescent="0.3">
      <c r="A356" s="728" t="s">
        <v>444</v>
      </c>
      <c r="B356" s="729"/>
      <c r="C356" s="729"/>
      <c r="D356" s="729"/>
      <c r="E356" s="729"/>
      <c r="F356" s="729"/>
      <c r="G356" s="730"/>
      <c r="H356" s="587" t="s">
        <v>595</v>
      </c>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8"/>
      <c r="AL356" s="588"/>
      <c r="AM356" s="588"/>
      <c r="AN356" s="589"/>
      <c r="AO356" s="693"/>
      <c r="AP356" s="694"/>
      <c r="AQ356" s="694"/>
      <c r="AR356" s="694"/>
      <c r="AS356" s="694"/>
      <c r="AT356" s="694"/>
      <c r="AU356" s="694"/>
      <c r="AV356" s="694"/>
      <c r="AW356" s="694"/>
      <c r="AX356" s="694"/>
      <c r="AY356" s="694"/>
      <c r="AZ356" s="694"/>
      <c r="BA356" s="694"/>
      <c r="BB356" s="694"/>
      <c r="BC356" s="694"/>
      <c r="BD356" s="695"/>
      <c r="BE356" s="693"/>
      <c r="BF356" s="694"/>
      <c r="BG356" s="694"/>
      <c r="BH356" s="694"/>
      <c r="BI356" s="694"/>
      <c r="BJ356" s="694"/>
      <c r="BK356" s="694"/>
      <c r="BL356" s="694"/>
      <c r="BM356" s="694"/>
      <c r="BN356" s="694"/>
      <c r="BO356" s="694"/>
      <c r="BP356" s="694"/>
      <c r="BQ356" s="694"/>
      <c r="BR356" s="694"/>
      <c r="BS356" s="694"/>
      <c r="BT356" s="695"/>
      <c r="BU356" s="752"/>
      <c r="BV356" s="753"/>
      <c r="BW356" s="753"/>
      <c r="BX356" s="753"/>
      <c r="BY356" s="753"/>
      <c r="BZ356" s="753"/>
      <c r="CA356" s="753"/>
      <c r="CB356" s="753"/>
      <c r="CC356" s="753"/>
      <c r="CD356" s="753"/>
      <c r="CE356" s="753"/>
      <c r="CF356" s="753"/>
      <c r="CG356" s="753"/>
      <c r="CH356" s="753"/>
      <c r="CI356" s="753"/>
      <c r="CJ356" s="754"/>
      <c r="CK356" s="764">
        <f t="shared" ref="CK356:CK359" si="3">ROUND(AO356*BE356*BU356+(AO356*BE356),2)</f>
        <v>0</v>
      </c>
      <c r="CL356" s="765"/>
      <c r="CM356" s="765"/>
      <c r="CN356" s="765"/>
      <c r="CO356" s="765"/>
      <c r="CP356" s="765"/>
      <c r="CQ356" s="765"/>
      <c r="CR356" s="765"/>
      <c r="CS356" s="765"/>
      <c r="CT356" s="765"/>
      <c r="CU356" s="765"/>
      <c r="CV356" s="765"/>
      <c r="CW356" s="765"/>
      <c r="CX356" s="765"/>
      <c r="CY356" s="765"/>
      <c r="CZ356" s="766"/>
      <c r="DA356" s="214"/>
    </row>
    <row r="357" spans="1:105" s="16" customFormat="1" ht="15" customHeight="1" x14ac:dyDescent="0.3">
      <c r="A357" s="728" t="s">
        <v>444</v>
      </c>
      <c r="B357" s="729"/>
      <c r="C357" s="729"/>
      <c r="D357" s="729"/>
      <c r="E357" s="729"/>
      <c r="F357" s="729"/>
      <c r="G357" s="730"/>
      <c r="H357" s="587" t="s">
        <v>596</v>
      </c>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8"/>
      <c r="AL357" s="588"/>
      <c r="AM357" s="588"/>
      <c r="AN357" s="589"/>
      <c r="AO357" s="693">
        <v>2400</v>
      </c>
      <c r="AP357" s="694"/>
      <c r="AQ357" s="694"/>
      <c r="AR357" s="694"/>
      <c r="AS357" s="694"/>
      <c r="AT357" s="694"/>
      <c r="AU357" s="694"/>
      <c r="AV357" s="694"/>
      <c r="AW357" s="694"/>
      <c r="AX357" s="694"/>
      <c r="AY357" s="694"/>
      <c r="AZ357" s="694"/>
      <c r="BA357" s="694"/>
      <c r="BB357" s="694"/>
      <c r="BC357" s="694"/>
      <c r="BD357" s="695"/>
      <c r="BE357" s="693">
        <v>46.91</v>
      </c>
      <c r="BF357" s="694"/>
      <c r="BG357" s="694"/>
      <c r="BH357" s="694"/>
      <c r="BI357" s="694"/>
      <c r="BJ357" s="694"/>
      <c r="BK357" s="694"/>
      <c r="BL357" s="694"/>
      <c r="BM357" s="694"/>
      <c r="BN357" s="694"/>
      <c r="BO357" s="694"/>
      <c r="BP357" s="694"/>
      <c r="BQ357" s="694"/>
      <c r="BR357" s="694"/>
      <c r="BS357" s="694"/>
      <c r="BT357" s="695"/>
      <c r="BU357" s="752">
        <v>0.04</v>
      </c>
      <c r="BV357" s="753"/>
      <c r="BW357" s="753"/>
      <c r="BX357" s="753"/>
      <c r="BY357" s="753"/>
      <c r="BZ357" s="753"/>
      <c r="CA357" s="753"/>
      <c r="CB357" s="753"/>
      <c r="CC357" s="753"/>
      <c r="CD357" s="753"/>
      <c r="CE357" s="753"/>
      <c r="CF357" s="753"/>
      <c r="CG357" s="753"/>
      <c r="CH357" s="753"/>
      <c r="CI357" s="753"/>
      <c r="CJ357" s="754"/>
      <c r="CK357" s="693">
        <f>ROUND(AO357*BE357*BU357+(AO357*BE357),2)-0.5</f>
        <v>117086.86</v>
      </c>
      <c r="CL357" s="694"/>
      <c r="CM357" s="694"/>
      <c r="CN357" s="694"/>
      <c r="CO357" s="694"/>
      <c r="CP357" s="694"/>
      <c r="CQ357" s="694"/>
      <c r="CR357" s="694"/>
      <c r="CS357" s="694"/>
      <c r="CT357" s="694"/>
      <c r="CU357" s="694"/>
      <c r="CV357" s="694"/>
      <c r="CW357" s="694"/>
      <c r="CX357" s="694"/>
      <c r="CY357" s="694"/>
      <c r="CZ357" s="695"/>
      <c r="DA357" s="214">
        <v>-0.5</v>
      </c>
    </row>
    <row r="358" spans="1:105" s="16" customFormat="1" ht="39.6" customHeight="1" x14ac:dyDescent="0.3">
      <c r="A358" s="728" t="s">
        <v>446</v>
      </c>
      <c r="B358" s="729"/>
      <c r="C358" s="729"/>
      <c r="D358" s="729"/>
      <c r="E358" s="729"/>
      <c r="F358" s="729"/>
      <c r="G358" s="730"/>
      <c r="H358" s="587" t="s">
        <v>597</v>
      </c>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8"/>
      <c r="AL358" s="588"/>
      <c r="AM358" s="588"/>
      <c r="AN358" s="589"/>
      <c r="AO358" s="693">
        <v>2400</v>
      </c>
      <c r="AP358" s="694"/>
      <c r="AQ358" s="694"/>
      <c r="AR358" s="694"/>
      <c r="AS358" s="694"/>
      <c r="AT358" s="694"/>
      <c r="AU358" s="694"/>
      <c r="AV358" s="694"/>
      <c r="AW358" s="694"/>
      <c r="AX358" s="694"/>
      <c r="AY358" s="694"/>
      <c r="AZ358" s="694"/>
      <c r="BA358" s="694"/>
      <c r="BB358" s="694"/>
      <c r="BC358" s="694"/>
      <c r="BD358" s="695"/>
      <c r="BE358" s="693">
        <v>23.44</v>
      </c>
      <c r="BF358" s="694"/>
      <c r="BG358" s="694"/>
      <c r="BH358" s="694"/>
      <c r="BI358" s="694"/>
      <c r="BJ358" s="694"/>
      <c r="BK358" s="694"/>
      <c r="BL358" s="694"/>
      <c r="BM358" s="694"/>
      <c r="BN358" s="694"/>
      <c r="BO358" s="694"/>
      <c r="BP358" s="694"/>
      <c r="BQ358" s="694"/>
      <c r="BR358" s="694"/>
      <c r="BS358" s="694"/>
      <c r="BT358" s="695"/>
      <c r="BU358" s="752">
        <v>0.04</v>
      </c>
      <c r="BV358" s="753"/>
      <c r="BW358" s="753"/>
      <c r="BX358" s="753"/>
      <c r="BY358" s="753"/>
      <c r="BZ358" s="753"/>
      <c r="CA358" s="753"/>
      <c r="CB358" s="753"/>
      <c r="CC358" s="753"/>
      <c r="CD358" s="753"/>
      <c r="CE358" s="753"/>
      <c r="CF358" s="753"/>
      <c r="CG358" s="753"/>
      <c r="CH358" s="753"/>
      <c r="CI358" s="753"/>
      <c r="CJ358" s="754"/>
      <c r="CK358" s="693">
        <f>ROUND(AO358*BE358*BU358+(AO358*BE358),2)-0.01</f>
        <v>58506.229999999996</v>
      </c>
      <c r="CL358" s="694"/>
      <c r="CM358" s="694"/>
      <c r="CN358" s="694"/>
      <c r="CO358" s="694"/>
      <c r="CP358" s="694"/>
      <c r="CQ358" s="694"/>
      <c r="CR358" s="694"/>
      <c r="CS358" s="694"/>
      <c r="CT358" s="694"/>
      <c r="CU358" s="694"/>
      <c r="CV358" s="694"/>
      <c r="CW358" s="694"/>
      <c r="CX358" s="694"/>
      <c r="CY358" s="694"/>
      <c r="CZ358" s="695"/>
      <c r="DA358" s="220">
        <v>-0.01</v>
      </c>
    </row>
    <row r="359" spans="1:105" s="16" customFormat="1" ht="46.5" hidden="1" customHeight="1" x14ac:dyDescent="0.3">
      <c r="A359" s="728" t="s">
        <v>551</v>
      </c>
      <c r="B359" s="729"/>
      <c r="C359" s="729"/>
      <c r="D359" s="729"/>
      <c r="E359" s="729"/>
      <c r="F359" s="729"/>
      <c r="G359" s="730"/>
      <c r="H359" s="587" t="s">
        <v>598</v>
      </c>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8"/>
      <c r="AL359" s="588"/>
      <c r="AM359" s="588"/>
      <c r="AN359" s="589"/>
      <c r="AO359" s="693"/>
      <c r="AP359" s="694"/>
      <c r="AQ359" s="694"/>
      <c r="AR359" s="694"/>
      <c r="AS359" s="694"/>
      <c r="AT359" s="694"/>
      <c r="AU359" s="694"/>
      <c r="AV359" s="694"/>
      <c r="AW359" s="694"/>
      <c r="AX359" s="694"/>
      <c r="AY359" s="694"/>
      <c r="AZ359" s="694"/>
      <c r="BA359" s="694"/>
      <c r="BB359" s="694"/>
      <c r="BC359" s="694"/>
      <c r="BD359" s="695"/>
      <c r="BE359" s="693">
        <v>94.711068600000004</v>
      </c>
      <c r="BF359" s="694"/>
      <c r="BG359" s="694"/>
      <c r="BH359" s="694"/>
      <c r="BI359" s="694"/>
      <c r="BJ359" s="694"/>
      <c r="BK359" s="694"/>
      <c r="BL359" s="694"/>
      <c r="BM359" s="694"/>
      <c r="BN359" s="694"/>
      <c r="BO359" s="694"/>
      <c r="BP359" s="694"/>
      <c r="BQ359" s="694"/>
      <c r="BR359" s="694"/>
      <c r="BS359" s="694"/>
      <c r="BT359" s="695"/>
      <c r="BU359" s="752">
        <v>8.3000000000000004E-2</v>
      </c>
      <c r="BV359" s="753"/>
      <c r="BW359" s="753"/>
      <c r="BX359" s="753"/>
      <c r="BY359" s="753"/>
      <c r="BZ359" s="753"/>
      <c r="CA359" s="753"/>
      <c r="CB359" s="753"/>
      <c r="CC359" s="753"/>
      <c r="CD359" s="753"/>
      <c r="CE359" s="753"/>
      <c r="CF359" s="753"/>
      <c r="CG359" s="753"/>
      <c r="CH359" s="753"/>
      <c r="CI359" s="753"/>
      <c r="CJ359" s="754"/>
      <c r="CK359" s="764">
        <f t="shared" si="3"/>
        <v>0</v>
      </c>
      <c r="CL359" s="765"/>
      <c r="CM359" s="765"/>
      <c r="CN359" s="765"/>
      <c r="CO359" s="765"/>
      <c r="CP359" s="765"/>
      <c r="CQ359" s="765"/>
      <c r="CR359" s="765"/>
      <c r="CS359" s="765"/>
      <c r="CT359" s="765"/>
      <c r="CU359" s="765"/>
      <c r="CV359" s="765"/>
      <c r="CW359" s="765"/>
      <c r="CX359" s="765"/>
      <c r="CY359" s="765"/>
      <c r="CZ359" s="766"/>
      <c r="DA359" s="214"/>
    </row>
    <row r="360" spans="1:105" s="16" customFormat="1" ht="39" customHeight="1" x14ac:dyDescent="0.3">
      <c r="A360" s="728" t="s">
        <v>599</v>
      </c>
      <c r="B360" s="729"/>
      <c r="C360" s="729"/>
      <c r="D360" s="729"/>
      <c r="E360" s="729"/>
      <c r="F360" s="729"/>
      <c r="G360" s="730"/>
      <c r="H360" s="587" t="s">
        <v>600</v>
      </c>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8"/>
      <c r="AL360" s="588"/>
      <c r="AM360" s="588"/>
      <c r="AN360" s="589"/>
      <c r="AO360" s="693">
        <v>225</v>
      </c>
      <c r="AP360" s="694"/>
      <c r="AQ360" s="694"/>
      <c r="AR360" s="694"/>
      <c r="AS360" s="694"/>
      <c r="AT360" s="694"/>
      <c r="AU360" s="694"/>
      <c r="AV360" s="694"/>
      <c r="AW360" s="694"/>
      <c r="AX360" s="694"/>
      <c r="AY360" s="694"/>
      <c r="AZ360" s="694"/>
      <c r="BA360" s="694"/>
      <c r="BB360" s="694"/>
      <c r="BC360" s="694"/>
      <c r="BD360" s="695"/>
      <c r="BE360" s="693">
        <v>1034.53</v>
      </c>
      <c r="BF360" s="694"/>
      <c r="BG360" s="694"/>
      <c r="BH360" s="694"/>
      <c r="BI360" s="694"/>
      <c r="BJ360" s="694"/>
      <c r="BK360" s="694"/>
      <c r="BL360" s="694"/>
      <c r="BM360" s="694"/>
      <c r="BN360" s="694"/>
      <c r="BO360" s="694"/>
      <c r="BP360" s="694"/>
      <c r="BQ360" s="694"/>
      <c r="BR360" s="694"/>
      <c r="BS360" s="694"/>
      <c r="BT360" s="695"/>
      <c r="BU360" s="752">
        <v>0.04</v>
      </c>
      <c r="BV360" s="753"/>
      <c r="BW360" s="753"/>
      <c r="BX360" s="753"/>
      <c r="BY360" s="753"/>
      <c r="BZ360" s="753"/>
      <c r="CA360" s="753"/>
      <c r="CB360" s="753"/>
      <c r="CC360" s="753"/>
      <c r="CD360" s="753"/>
      <c r="CE360" s="753"/>
      <c r="CF360" s="753"/>
      <c r="CG360" s="753"/>
      <c r="CH360" s="753"/>
      <c r="CI360" s="753"/>
      <c r="CJ360" s="754"/>
      <c r="CK360" s="693">
        <f>ROUND(AO360*BE360*BU360+(AO360*BE360),2)+0.01</f>
        <v>242080.03</v>
      </c>
      <c r="CL360" s="694"/>
      <c r="CM360" s="694"/>
      <c r="CN360" s="694"/>
      <c r="CO360" s="694"/>
      <c r="CP360" s="694"/>
      <c r="CQ360" s="694"/>
      <c r="CR360" s="694"/>
      <c r="CS360" s="694"/>
      <c r="CT360" s="694"/>
      <c r="CU360" s="694"/>
      <c r="CV360" s="694"/>
      <c r="CW360" s="694"/>
      <c r="CX360" s="694"/>
      <c r="CY360" s="694"/>
      <c r="CZ360" s="695"/>
      <c r="DA360" s="214">
        <v>0.01</v>
      </c>
    </row>
    <row r="361" spans="1:105" s="16" customFormat="1" ht="15" customHeight="1" x14ac:dyDescent="0.3">
      <c r="A361" s="616" t="s">
        <v>292</v>
      </c>
      <c r="B361" s="617"/>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7"/>
      <c r="AL361" s="617"/>
      <c r="AM361" s="617"/>
      <c r="AN361" s="618"/>
      <c r="AO361" s="619" t="s">
        <v>4</v>
      </c>
      <c r="AP361" s="620"/>
      <c r="AQ361" s="620"/>
      <c r="AR361" s="620"/>
      <c r="AS361" s="620"/>
      <c r="AT361" s="620"/>
      <c r="AU361" s="620"/>
      <c r="AV361" s="620"/>
      <c r="AW361" s="620"/>
      <c r="AX361" s="620"/>
      <c r="AY361" s="620"/>
      <c r="AZ361" s="620"/>
      <c r="BA361" s="620"/>
      <c r="BB361" s="620"/>
      <c r="BC361" s="620"/>
      <c r="BD361" s="621"/>
      <c r="BE361" s="619" t="s">
        <v>4</v>
      </c>
      <c r="BF361" s="620"/>
      <c r="BG361" s="620"/>
      <c r="BH361" s="620"/>
      <c r="BI361" s="620"/>
      <c r="BJ361" s="620"/>
      <c r="BK361" s="620"/>
      <c r="BL361" s="620"/>
      <c r="BM361" s="620"/>
      <c r="BN361" s="620"/>
      <c r="BO361" s="620"/>
      <c r="BP361" s="620"/>
      <c r="BQ361" s="620"/>
      <c r="BR361" s="620"/>
      <c r="BS361" s="620"/>
      <c r="BT361" s="621"/>
      <c r="BU361" s="619" t="s">
        <v>4</v>
      </c>
      <c r="BV361" s="620"/>
      <c r="BW361" s="620"/>
      <c r="BX361" s="620"/>
      <c r="BY361" s="620"/>
      <c r="BZ361" s="620"/>
      <c r="CA361" s="620"/>
      <c r="CB361" s="620"/>
      <c r="CC361" s="620"/>
      <c r="CD361" s="620"/>
      <c r="CE361" s="620"/>
      <c r="CF361" s="620"/>
      <c r="CG361" s="620"/>
      <c r="CH361" s="620"/>
      <c r="CI361" s="620"/>
      <c r="CJ361" s="621"/>
      <c r="CK361" s="682">
        <f>SUM(CK355:CZ360)</f>
        <v>481371.05000000005</v>
      </c>
      <c r="CL361" s="683"/>
      <c r="CM361" s="683"/>
      <c r="CN361" s="683"/>
      <c r="CO361" s="683"/>
      <c r="CP361" s="683"/>
      <c r="CQ361" s="683"/>
      <c r="CR361" s="683"/>
      <c r="CS361" s="683"/>
      <c r="CT361" s="683"/>
      <c r="CU361" s="683"/>
      <c r="CV361" s="683"/>
      <c r="CW361" s="683"/>
      <c r="CX361" s="683"/>
      <c r="CY361" s="683"/>
      <c r="CZ361" s="684"/>
      <c r="DA361" s="214"/>
    </row>
    <row r="362" spans="1:105" s="16" customFormat="1" ht="15" customHeight="1" x14ac:dyDescent="0.3">
      <c r="A362" s="758" t="s">
        <v>591</v>
      </c>
      <c r="B362" s="759"/>
      <c r="C362" s="759"/>
      <c r="D362" s="759"/>
      <c r="E362" s="759"/>
      <c r="F362" s="759"/>
      <c r="G362" s="759"/>
      <c r="H362" s="759"/>
      <c r="I362" s="759"/>
      <c r="J362" s="759"/>
      <c r="K362" s="759"/>
      <c r="L362" s="759"/>
      <c r="M362" s="759"/>
      <c r="N362" s="759"/>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c r="CB362" s="759"/>
      <c r="CC362" s="759"/>
      <c r="CD362" s="759"/>
      <c r="CE362" s="759"/>
      <c r="CF362" s="759"/>
      <c r="CG362" s="759"/>
      <c r="CH362" s="759"/>
      <c r="CI362" s="759"/>
      <c r="CJ362" s="759"/>
      <c r="CK362" s="759"/>
      <c r="CL362" s="759"/>
      <c r="CM362" s="759"/>
      <c r="CN362" s="759"/>
      <c r="CO362" s="759"/>
      <c r="CP362" s="759"/>
      <c r="CQ362" s="759"/>
      <c r="CR362" s="759"/>
      <c r="CS362" s="759"/>
      <c r="CT362" s="759"/>
      <c r="CU362" s="759"/>
      <c r="CV362" s="759"/>
      <c r="CW362" s="759"/>
      <c r="CX362" s="759"/>
      <c r="CY362" s="759"/>
      <c r="CZ362" s="760"/>
      <c r="DA362" s="214"/>
    </row>
    <row r="363" spans="1:105" s="16" customFormat="1" ht="15" hidden="1" customHeight="1" x14ac:dyDescent="0.3">
      <c r="A363" s="728" t="s">
        <v>441</v>
      </c>
      <c r="B363" s="729"/>
      <c r="C363" s="729"/>
      <c r="D363" s="729"/>
      <c r="E363" s="729"/>
      <c r="F363" s="729"/>
      <c r="G363" s="730"/>
      <c r="H363" s="587" t="s">
        <v>593</v>
      </c>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8"/>
      <c r="AL363" s="588"/>
      <c r="AM363" s="588"/>
      <c r="AN363" s="589"/>
      <c r="AO363" s="619"/>
      <c r="AP363" s="620"/>
      <c r="AQ363" s="620"/>
      <c r="AR363" s="620"/>
      <c r="AS363" s="620"/>
      <c r="AT363" s="620"/>
      <c r="AU363" s="620"/>
      <c r="AV363" s="620"/>
      <c r="AW363" s="620"/>
      <c r="AX363" s="620"/>
      <c r="AY363" s="620"/>
      <c r="AZ363" s="620"/>
      <c r="BA363" s="620"/>
      <c r="BB363" s="620"/>
      <c r="BC363" s="620"/>
      <c r="BD363" s="621"/>
      <c r="BE363" s="693"/>
      <c r="BF363" s="694"/>
      <c r="BG363" s="694"/>
      <c r="BH363" s="694"/>
      <c r="BI363" s="694"/>
      <c r="BJ363" s="694"/>
      <c r="BK363" s="694"/>
      <c r="BL363" s="694"/>
      <c r="BM363" s="694"/>
      <c r="BN363" s="694"/>
      <c r="BO363" s="694"/>
      <c r="BP363" s="694"/>
      <c r="BQ363" s="694"/>
      <c r="BR363" s="694"/>
      <c r="BS363" s="694"/>
      <c r="BT363" s="695"/>
      <c r="BU363" s="752"/>
      <c r="BV363" s="753"/>
      <c r="BW363" s="753"/>
      <c r="BX363" s="753"/>
      <c r="BY363" s="753"/>
      <c r="BZ363" s="753"/>
      <c r="CA363" s="753"/>
      <c r="CB363" s="753"/>
      <c r="CC363" s="753"/>
      <c r="CD363" s="753"/>
      <c r="CE363" s="753"/>
      <c r="CF363" s="753"/>
      <c r="CG363" s="753"/>
      <c r="CH363" s="753"/>
      <c r="CI363" s="753"/>
      <c r="CJ363" s="754"/>
      <c r="CK363" s="693"/>
      <c r="CL363" s="694"/>
      <c r="CM363" s="694"/>
      <c r="CN363" s="694"/>
      <c r="CO363" s="694"/>
      <c r="CP363" s="694"/>
      <c r="CQ363" s="694"/>
      <c r="CR363" s="694"/>
      <c r="CS363" s="694"/>
      <c r="CT363" s="694"/>
      <c r="CU363" s="694"/>
      <c r="CV363" s="694"/>
      <c r="CW363" s="694"/>
      <c r="CX363" s="694"/>
      <c r="CY363" s="694"/>
      <c r="CZ363" s="695"/>
      <c r="DA363" s="214"/>
    </row>
    <row r="364" spans="1:105" s="16" customFormat="1" ht="43.95" customHeight="1" x14ac:dyDescent="0.3">
      <c r="A364" s="728" t="s">
        <v>441</v>
      </c>
      <c r="B364" s="729"/>
      <c r="C364" s="729"/>
      <c r="D364" s="729"/>
      <c r="E364" s="729"/>
      <c r="F364" s="729"/>
      <c r="G364" s="730"/>
      <c r="H364" s="587" t="s">
        <v>927</v>
      </c>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8"/>
      <c r="AL364" s="588"/>
      <c r="AM364" s="588"/>
      <c r="AN364" s="589"/>
      <c r="AO364" s="693">
        <v>70</v>
      </c>
      <c r="AP364" s="694"/>
      <c r="AQ364" s="694"/>
      <c r="AR364" s="694"/>
      <c r="AS364" s="694"/>
      <c r="AT364" s="694"/>
      <c r="AU364" s="694"/>
      <c r="AV364" s="694"/>
      <c r="AW364" s="694"/>
      <c r="AX364" s="694"/>
      <c r="AY364" s="694"/>
      <c r="AZ364" s="694"/>
      <c r="BA364" s="694"/>
      <c r="BB364" s="694"/>
      <c r="BC364" s="694"/>
      <c r="BD364" s="695"/>
      <c r="BE364" s="693">
        <v>1034.53</v>
      </c>
      <c r="BF364" s="694"/>
      <c r="BG364" s="694"/>
      <c r="BH364" s="694"/>
      <c r="BI364" s="694"/>
      <c r="BJ364" s="694"/>
      <c r="BK364" s="694"/>
      <c r="BL364" s="694"/>
      <c r="BM364" s="694"/>
      <c r="BN364" s="694"/>
      <c r="BO364" s="694"/>
      <c r="BP364" s="694"/>
      <c r="BQ364" s="694"/>
      <c r="BR364" s="694"/>
      <c r="BS364" s="694"/>
      <c r="BT364" s="695"/>
      <c r="BU364" s="752">
        <v>0.04</v>
      </c>
      <c r="BV364" s="753"/>
      <c r="BW364" s="753"/>
      <c r="BX364" s="753"/>
      <c r="BY364" s="753"/>
      <c r="BZ364" s="753"/>
      <c r="CA364" s="753"/>
      <c r="CB364" s="753"/>
      <c r="CC364" s="753"/>
      <c r="CD364" s="753"/>
      <c r="CE364" s="753"/>
      <c r="CF364" s="753"/>
      <c r="CG364" s="753"/>
      <c r="CH364" s="753"/>
      <c r="CI364" s="753"/>
      <c r="CJ364" s="754"/>
      <c r="CK364" s="693">
        <f>ROUND(AO364*BE364*BU364+(AO364*BE364),2)</f>
        <v>75313.78</v>
      </c>
      <c r="CL364" s="694"/>
      <c r="CM364" s="694"/>
      <c r="CN364" s="694"/>
      <c r="CO364" s="694"/>
      <c r="CP364" s="694"/>
      <c r="CQ364" s="694"/>
      <c r="CR364" s="694"/>
      <c r="CS364" s="694"/>
      <c r="CT364" s="694"/>
      <c r="CU364" s="694"/>
      <c r="CV364" s="694"/>
      <c r="CW364" s="694"/>
      <c r="CX364" s="694"/>
      <c r="CY364" s="694"/>
      <c r="CZ364" s="695"/>
      <c r="DA364" s="214"/>
    </row>
    <row r="365" spans="1:105" s="16" customFormat="1" ht="15" customHeight="1" x14ac:dyDescent="0.3">
      <c r="A365" s="728" t="s">
        <v>444</v>
      </c>
      <c r="B365" s="729"/>
      <c r="C365" s="729"/>
      <c r="D365" s="729"/>
      <c r="E365" s="729"/>
      <c r="F365" s="729"/>
      <c r="G365" s="730"/>
      <c r="H365" s="587" t="s">
        <v>824</v>
      </c>
      <c r="I365" s="588"/>
      <c r="J365" s="588"/>
      <c r="K365" s="588"/>
      <c r="L365" s="588"/>
      <c r="M365" s="588"/>
      <c r="N365" s="588"/>
      <c r="O365" s="588"/>
      <c r="P365" s="588"/>
      <c r="Q365" s="588"/>
      <c r="R365" s="588"/>
      <c r="S365" s="588"/>
      <c r="T365" s="588"/>
      <c r="U365" s="588"/>
      <c r="V365" s="588"/>
      <c r="W365" s="588"/>
      <c r="X365" s="588"/>
      <c r="Y365" s="588"/>
      <c r="Z365" s="588"/>
      <c r="AA365" s="588"/>
      <c r="AB365" s="588"/>
      <c r="AC365" s="588"/>
      <c r="AD365" s="588"/>
      <c r="AE365" s="588"/>
      <c r="AF365" s="588"/>
      <c r="AG365" s="588"/>
      <c r="AH365" s="588"/>
      <c r="AI365" s="588"/>
      <c r="AJ365" s="588"/>
      <c r="AK365" s="588"/>
      <c r="AL365" s="588"/>
      <c r="AM365" s="588"/>
      <c r="AN365" s="589"/>
      <c r="AO365" s="755">
        <v>2400</v>
      </c>
      <c r="AP365" s="756"/>
      <c r="AQ365" s="756"/>
      <c r="AR365" s="756"/>
      <c r="AS365" s="756"/>
      <c r="AT365" s="756"/>
      <c r="AU365" s="756"/>
      <c r="AV365" s="756"/>
      <c r="AW365" s="756"/>
      <c r="AX365" s="756"/>
      <c r="AY365" s="756"/>
      <c r="AZ365" s="756"/>
      <c r="BA365" s="756"/>
      <c r="BB365" s="756"/>
      <c r="BC365" s="756"/>
      <c r="BD365" s="757"/>
      <c r="BE365" s="693">
        <v>25.52</v>
      </c>
      <c r="BF365" s="694"/>
      <c r="BG365" s="694"/>
      <c r="BH365" s="694"/>
      <c r="BI365" s="694"/>
      <c r="BJ365" s="694"/>
      <c r="BK365" s="694"/>
      <c r="BL365" s="694"/>
      <c r="BM365" s="694"/>
      <c r="BN365" s="694"/>
      <c r="BO365" s="694"/>
      <c r="BP365" s="694"/>
      <c r="BQ365" s="694"/>
      <c r="BR365" s="694"/>
      <c r="BS365" s="694"/>
      <c r="BT365" s="695"/>
      <c r="BU365" s="752">
        <v>0.04</v>
      </c>
      <c r="BV365" s="753"/>
      <c r="BW365" s="753"/>
      <c r="BX365" s="753"/>
      <c r="BY365" s="753"/>
      <c r="BZ365" s="753"/>
      <c r="CA365" s="753"/>
      <c r="CB365" s="753"/>
      <c r="CC365" s="753"/>
      <c r="CD365" s="753"/>
      <c r="CE365" s="753"/>
      <c r="CF365" s="753"/>
      <c r="CG365" s="753"/>
      <c r="CH365" s="753"/>
      <c r="CI365" s="753"/>
      <c r="CJ365" s="754"/>
      <c r="CK365" s="693">
        <f>ROUND(AO365*BE365*BU365+(AO365*BE365),2)</f>
        <v>63697.919999999998</v>
      </c>
      <c r="CL365" s="694"/>
      <c r="CM365" s="694"/>
      <c r="CN365" s="694"/>
      <c r="CO365" s="694"/>
      <c r="CP365" s="694"/>
      <c r="CQ365" s="694"/>
      <c r="CR365" s="694"/>
      <c r="CS365" s="694"/>
      <c r="CT365" s="694"/>
      <c r="CU365" s="694"/>
      <c r="CV365" s="694"/>
      <c r="CW365" s="694"/>
      <c r="CX365" s="694"/>
      <c r="CY365" s="694"/>
      <c r="CZ365" s="695"/>
      <c r="DA365" s="214"/>
    </row>
    <row r="366" spans="1:105" s="16" customFormat="1" ht="15" hidden="1" customHeight="1" x14ac:dyDescent="0.3">
      <c r="A366" s="728" t="s">
        <v>444</v>
      </c>
      <c r="B366" s="729"/>
      <c r="C366" s="729"/>
      <c r="D366" s="729"/>
      <c r="E366" s="729"/>
      <c r="F366" s="729"/>
      <c r="G366" s="730"/>
      <c r="H366" s="587" t="s">
        <v>595</v>
      </c>
      <c r="I366" s="588"/>
      <c r="J366" s="588"/>
      <c r="K366" s="588"/>
      <c r="L366" s="588"/>
      <c r="M366" s="588"/>
      <c r="N366" s="588"/>
      <c r="O366" s="588"/>
      <c r="P366" s="588"/>
      <c r="Q366" s="588"/>
      <c r="R366" s="588"/>
      <c r="S366" s="588"/>
      <c r="T366" s="588"/>
      <c r="U366" s="588"/>
      <c r="V366" s="588"/>
      <c r="W366" s="588"/>
      <c r="X366" s="588"/>
      <c r="Y366" s="588"/>
      <c r="Z366" s="588"/>
      <c r="AA366" s="588"/>
      <c r="AB366" s="588"/>
      <c r="AC366" s="588"/>
      <c r="AD366" s="588"/>
      <c r="AE366" s="588"/>
      <c r="AF366" s="588"/>
      <c r="AG366" s="588"/>
      <c r="AH366" s="588"/>
      <c r="AI366" s="588"/>
      <c r="AJ366" s="588"/>
      <c r="AK366" s="588"/>
      <c r="AL366" s="588"/>
      <c r="AM366" s="588"/>
      <c r="AN366" s="589"/>
      <c r="AO366" s="761"/>
      <c r="AP366" s="762"/>
      <c r="AQ366" s="762"/>
      <c r="AR366" s="762"/>
      <c r="AS366" s="762"/>
      <c r="AT366" s="762"/>
      <c r="AU366" s="762"/>
      <c r="AV366" s="762"/>
      <c r="AW366" s="762"/>
      <c r="AX366" s="762"/>
      <c r="AY366" s="762"/>
      <c r="AZ366" s="762"/>
      <c r="BA366" s="762"/>
      <c r="BB366" s="762"/>
      <c r="BC366" s="762"/>
      <c r="BD366" s="763"/>
      <c r="BE366" s="693"/>
      <c r="BF366" s="694"/>
      <c r="BG366" s="694"/>
      <c r="BH366" s="694"/>
      <c r="BI366" s="694"/>
      <c r="BJ366" s="694"/>
      <c r="BK366" s="694"/>
      <c r="BL366" s="694"/>
      <c r="BM366" s="694"/>
      <c r="BN366" s="694"/>
      <c r="BO366" s="694"/>
      <c r="BP366" s="694"/>
      <c r="BQ366" s="694"/>
      <c r="BR366" s="694"/>
      <c r="BS366" s="694"/>
      <c r="BT366" s="695"/>
      <c r="BU366" s="752">
        <v>8.3000000000000004E-2</v>
      </c>
      <c r="BV366" s="753"/>
      <c r="BW366" s="753"/>
      <c r="BX366" s="753"/>
      <c r="BY366" s="753"/>
      <c r="BZ366" s="753"/>
      <c r="CA366" s="753"/>
      <c r="CB366" s="753"/>
      <c r="CC366" s="753"/>
      <c r="CD366" s="753"/>
      <c r="CE366" s="753"/>
      <c r="CF366" s="753"/>
      <c r="CG366" s="753"/>
      <c r="CH366" s="753"/>
      <c r="CI366" s="753"/>
      <c r="CJ366" s="754"/>
      <c r="CK366" s="693">
        <f t="shared" ref="CK366:CK368" si="4">ROUND(AO366*BE366*BU366+(AO366*BE366),2)</f>
        <v>0</v>
      </c>
      <c r="CL366" s="694"/>
      <c r="CM366" s="694"/>
      <c r="CN366" s="694"/>
      <c r="CO366" s="694"/>
      <c r="CP366" s="694"/>
      <c r="CQ366" s="694"/>
      <c r="CR366" s="694"/>
      <c r="CS366" s="694"/>
      <c r="CT366" s="694"/>
      <c r="CU366" s="694"/>
      <c r="CV366" s="694"/>
      <c r="CW366" s="694"/>
      <c r="CX366" s="694"/>
      <c r="CY366" s="694"/>
      <c r="CZ366" s="695"/>
      <c r="DA366" s="214"/>
    </row>
    <row r="367" spans="1:105" s="16" customFormat="1" ht="15" customHeight="1" x14ac:dyDescent="0.3">
      <c r="A367" s="728" t="s">
        <v>446</v>
      </c>
      <c r="B367" s="729"/>
      <c r="C367" s="729"/>
      <c r="D367" s="729"/>
      <c r="E367" s="729"/>
      <c r="F367" s="729"/>
      <c r="G367" s="730"/>
      <c r="H367" s="587" t="s">
        <v>596</v>
      </c>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8"/>
      <c r="AL367" s="588"/>
      <c r="AM367" s="588"/>
      <c r="AN367" s="589"/>
      <c r="AO367" s="755">
        <v>2400</v>
      </c>
      <c r="AP367" s="756"/>
      <c r="AQ367" s="756"/>
      <c r="AR367" s="756"/>
      <c r="AS367" s="756"/>
      <c r="AT367" s="756"/>
      <c r="AU367" s="756"/>
      <c r="AV367" s="756"/>
      <c r="AW367" s="756"/>
      <c r="AX367" s="756"/>
      <c r="AY367" s="756"/>
      <c r="AZ367" s="756"/>
      <c r="BA367" s="756"/>
      <c r="BB367" s="756"/>
      <c r="BC367" s="756"/>
      <c r="BD367" s="757"/>
      <c r="BE367" s="693">
        <v>46.91</v>
      </c>
      <c r="BF367" s="694"/>
      <c r="BG367" s="694"/>
      <c r="BH367" s="694"/>
      <c r="BI367" s="694"/>
      <c r="BJ367" s="694"/>
      <c r="BK367" s="694"/>
      <c r="BL367" s="694"/>
      <c r="BM367" s="694"/>
      <c r="BN367" s="694"/>
      <c r="BO367" s="694"/>
      <c r="BP367" s="694"/>
      <c r="BQ367" s="694"/>
      <c r="BR367" s="694"/>
      <c r="BS367" s="694"/>
      <c r="BT367" s="695"/>
      <c r="BU367" s="752">
        <v>0.04</v>
      </c>
      <c r="BV367" s="753"/>
      <c r="BW367" s="753"/>
      <c r="BX367" s="753"/>
      <c r="BY367" s="753"/>
      <c r="BZ367" s="753"/>
      <c r="CA367" s="753"/>
      <c r="CB367" s="753"/>
      <c r="CC367" s="753"/>
      <c r="CD367" s="753"/>
      <c r="CE367" s="753"/>
      <c r="CF367" s="753"/>
      <c r="CG367" s="753"/>
      <c r="CH367" s="753"/>
      <c r="CI367" s="753"/>
      <c r="CJ367" s="754"/>
      <c r="CK367" s="693">
        <f t="shared" si="4"/>
        <v>117087.36</v>
      </c>
      <c r="CL367" s="694"/>
      <c r="CM367" s="694"/>
      <c r="CN367" s="694"/>
      <c r="CO367" s="694"/>
      <c r="CP367" s="694"/>
      <c r="CQ367" s="694"/>
      <c r="CR367" s="694"/>
      <c r="CS367" s="694"/>
      <c r="CT367" s="694"/>
      <c r="CU367" s="694"/>
      <c r="CV367" s="694"/>
      <c r="CW367" s="694"/>
      <c r="CX367" s="694"/>
      <c r="CY367" s="694"/>
      <c r="CZ367" s="695"/>
      <c r="DA367" s="214"/>
    </row>
    <row r="368" spans="1:105" s="16" customFormat="1" ht="40.5" customHeight="1" x14ac:dyDescent="0.3">
      <c r="A368" s="728" t="s">
        <v>551</v>
      </c>
      <c r="B368" s="729"/>
      <c r="C368" s="729"/>
      <c r="D368" s="729"/>
      <c r="E368" s="729"/>
      <c r="F368" s="729"/>
      <c r="G368" s="730"/>
      <c r="H368" s="587" t="s">
        <v>597</v>
      </c>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8"/>
      <c r="AL368" s="588"/>
      <c r="AM368" s="588"/>
      <c r="AN368" s="589"/>
      <c r="AO368" s="755">
        <v>2400</v>
      </c>
      <c r="AP368" s="756"/>
      <c r="AQ368" s="756"/>
      <c r="AR368" s="756"/>
      <c r="AS368" s="756"/>
      <c r="AT368" s="756"/>
      <c r="AU368" s="756"/>
      <c r="AV368" s="756"/>
      <c r="AW368" s="756"/>
      <c r="AX368" s="756"/>
      <c r="AY368" s="756"/>
      <c r="AZ368" s="756"/>
      <c r="BA368" s="756"/>
      <c r="BB368" s="756"/>
      <c r="BC368" s="756"/>
      <c r="BD368" s="757"/>
      <c r="BE368" s="693">
        <v>23.44</v>
      </c>
      <c r="BF368" s="694"/>
      <c r="BG368" s="694"/>
      <c r="BH368" s="694"/>
      <c r="BI368" s="694"/>
      <c r="BJ368" s="694"/>
      <c r="BK368" s="694"/>
      <c r="BL368" s="694"/>
      <c r="BM368" s="694"/>
      <c r="BN368" s="694"/>
      <c r="BO368" s="694"/>
      <c r="BP368" s="694"/>
      <c r="BQ368" s="694"/>
      <c r="BR368" s="694"/>
      <c r="BS368" s="694"/>
      <c r="BT368" s="695"/>
      <c r="BU368" s="752">
        <v>0.04</v>
      </c>
      <c r="BV368" s="753"/>
      <c r="BW368" s="753"/>
      <c r="BX368" s="753"/>
      <c r="BY368" s="753"/>
      <c r="BZ368" s="753"/>
      <c r="CA368" s="753"/>
      <c r="CB368" s="753"/>
      <c r="CC368" s="753"/>
      <c r="CD368" s="753"/>
      <c r="CE368" s="753"/>
      <c r="CF368" s="753"/>
      <c r="CG368" s="753"/>
      <c r="CH368" s="753"/>
      <c r="CI368" s="753"/>
      <c r="CJ368" s="754"/>
      <c r="CK368" s="693">
        <f t="shared" si="4"/>
        <v>58506.239999999998</v>
      </c>
      <c r="CL368" s="694"/>
      <c r="CM368" s="694"/>
      <c r="CN368" s="694"/>
      <c r="CO368" s="694"/>
      <c r="CP368" s="694"/>
      <c r="CQ368" s="694"/>
      <c r="CR368" s="694"/>
      <c r="CS368" s="694"/>
      <c r="CT368" s="694"/>
      <c r="CU368" s="694"/>
      <c r="CV368" s="694"/>
      <c r="CW368" s="694"/>
      <c r="CX368" s="694"/>
      <c r="CY368" s="694"/>
      <c r="CZ368" s="695"/>
      <c r="DA368" s="214"/>
    </row>
    <row r="369" spans="1:105" s="16" customFormat="1" ht="52.5" hidden="1" customHeight="1" x14ac:dyDescent="0.3">
      <c r="A369" s="630" t="s">
        <v>599</v>
      </c>
      <c r="B369" s="631"/>
      <c r="C369" s="631"/>
      <c r="D369" s="631"/>
      <c r="E369" s="631"/>
      <c r="F369" s="631"/>
      <c r="G369" s="632"/>
      <c r="H369" s="584" t="s">
        <v>891</v>
      </c>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5"/>
      <c r="AL369" s="585"/>
      <c r="AM369" s="585"/>
      <c r="AN369" s="586"/>
      <c r="AO369" s="544"/>
      <c r="AP369" s="545"/>
      <c r="AQ369" s="545"/>
      <c r="AR369" s="545"/>
      <c r="AS369" s="545"/>
      <c r="AT369" s="545"/>
      <c r="AU369" s="545"/>
      <c r="AV369" s="545"/>
      <c r="AW369" s="545"/>
      <c r="AX369" s="545"/>
      <c r="AY369" s="545"/>
      <c r="AZ369" s="545"/>
      <c r="BA369" s="545"/>
      <c r="BB369" s="545"/>
      <c r="BC369" s="545"/>
      <c r="BD369" s="546"/>
      <c r="BE369" s="627">
        <v>0</v>
      </c>
      <c r="BF369" s="628"/>
      <c r="BG369" s="628"/>
      <c r="BH369" s="628"/>
      <c r="BI369" s="628"/>
      <c r="BJ369" s="628"/>
      <c r="BK369" s="628"/>
      <c r="BL369" s="628"/>
      <c r="BM369" s="628"/>
      <c r="BN369" s="628"/>
      <c r="BO369" s="628"/>
      <c r="BP369" s="628"/>
      <c r="BQ369" s="628"/>
      <c r="BR369" s="628"/>
      <c r="BS369" s="628"/>
      <c r="BT369" s="629"/>
      <c r="BU369" s="696"/>
      <c r="BV369" s="697"/>
      <c r="BW369" s="697"/>
      <c r="BX369" s="697"/>
      <c r="BY369" s="697"/>
      <c r="BZ369" s="697"/>
      <c r="CA369" s="697"/>
      <c r="CB369" s="697"/>
      <c r="CC369" s="697"/>
      <c r="CD369" s="697"/>
      <c r="CE369" s="697"/>
      <c r="CF369" s="697"/>
      <c r="CG369" s="697"/>
      <c r="CH369" s="697"/>
      <c r="CI369" s="697"/>
      <c r="CJ369" s="698"/>
      <c r="CK369" s="627">
        <v>0</v>
      </c>
      <c r="CL369" s="628"/>
      <c r="CM369" s="628"/>
      <c r="CN369" s="628"/>
      <c r="CO369" s="628"/>
      <c r="CP369" s="628"/>
      <c r="CQ369" s="628"/>
      <c r="CR369" s="628"/>
      <c r="CS369" s="628"/>
      <c r="CT369" s="628"/>
      <c r="CU369" s="628"/>
      <c r="CV369" s="628"/>
      <c r="CW369" s="628"/>
      <c r="CX369" s="628"/>
      <c r="CY369" s="628"/>
      <c r="CZ369" s="629"/>
      <c r="DA369" s="214"/>
    </row>
    <row r="370" spans="1:105" s="16" customFormat="1" ht="15" customHeight="1" x14ac:dyDescent="0.3">
      <c r="A370" s="553" t="s">
        <v>292</v>
      </c>
      <c r="B370" s="554"/>
      <c r="C370" s="554"/>
      <c r="D370" s="554"/>
      <c r="E370" s="554"/>
      <c r="F370" s="554"/>
      <c r="G370" s="554"/>
      <c r="H370" s="554"/>
      <c r="I370" s="554"/>
      <c r="J370" s="554"/>
      <c r="K370" s="554"/>
      <c r="L370" s="554"/>
      <c r="M370" s="554"/>
      <c r="N370" s="554"/>
      <c r="O370" s="554"/>
      <c r="P370" s="554"/>
      <c r="Q370" s="554"/>
      <c r="R370" s="554"/>
      <c r="S370" s="554"/>
      <c r="T370" s="554"/>
      <c r="U370" s="554"/>
      <c r="V370" s="554"/>
      <c r="W370" s="554"/>
      <c r="X370" s="554"/>
      <c r="Y370" s="554"/>
      <c r="Z370" s="554"/>
      <c r="AA370" s="554"/>
      <c r="AB370" s="554"/>
      <c r="AC370" s="554"/>
      <c r="AD370" s="554"/>
      <c r="AE370" s="554"/>
      <c r="AF370" s="554"/>
      <c r="AG370" s="554"/>
      <c r="AH370" s="554"/>
      <c r="AI370" s="554"/>
      <c r="AJ370" s="554"/>
      <c r="AK370" s="554"/>
      <c r="AL370" s="554"/>
      <c r="AM370" s="554"/>
      <c r="AN370" s="555"/>
      <c r="AO370" s="544" t="s">
        <v>4</v>
      </c>
      <c r="AP370" s="545"/>
      <c r="AQ370" s="545"/>
      <c r="AR370" s="545"/>
      <c r="AS370" s="545"/>
      <c r="AT370" s="545"/>
      <c r="AU370" s="545"/>
      <c r="AV370" s="545"/>
      <c r="AW370" s="545"/>
      <c r="AX370" s="545"/>
      <c r="AY370" s="545"/>
      <c r="AZ370" s="545"/>
      <c r="BA370" s="545"/>
      <c r="BB370" s="545"/>
      <c r="BC370" s="545"/>
      <c r="BD370" s="546"/>
      <c r="BE370" s="544" t="s">
        <v>4</v>
      </c>
      <c r="BF370" s="545"/>
      <c r="BG370" s="545"/>
      <c r="BH370" s="545"/>
      <c r="BI370" s="545"/>
      <c r="BJ370" s="545"/>
      <c r="BK370" s="545"/>
      <c r="BL370" s="545"/>
      <c r="BM370" s="545"/>
      <c r="BN370" s="545"/>
      <c r="BO370" s="545"/>
      <c r="BP370" s="545"/>
      <c r="BQ370" s="545"/>
      <c r="BR370" s="545"/>
      <c r="BS370" s="545"/>
      <c r="BT370" s="546"/>
      <c r="BU370" s="544" t="s">
        <v>4</v>
      </c>
      <c r="BV370" s="545"/>
      <c r="BW370" s="545"/>
      <c r="BX370" s="545"/>
      <c r="BY370" s="545"/>
      <c r="BZ370" s="545"/>
      <c r="CA370" s="545"/>
      <c r="CB370" s="545"/>
      <c r="CC370" s="545"/>
      <c r="CD370" s="545"/>
      <c r="CE370" s="545"/>
      <c r="CF370" s="545"/>
      <c r="CG370" s="545"/>
      <c r="CH370" s="545"/>
      <c r="CI370" s="545"/>
      <c r="CJ370" s="546"/>
      <c r="CK370" s="636">
        <f>SUM(CK363:CZ369)</f>
        <v>314605.3</v>
      </c>
      <c r="CL370" s="654"/>
      <c r="CM370" s="654"/>
      <c r="CN370" s="654"/>
      <c r="CO370" s="654"/>
      <c r="CP370" s="654"/>
      <c r="CQ370" s="654"/>
      <c r="CR370" s="654"/>
      <c r="CS370" s="654"/>
      <c r="CT370" s="654"/>
      <c r="CU370" s="654"/>
      <c r="CV370" s="654"/>
      <c r="CW370" s="654"/>
      <c r="CX370" s="654"/>
      <c r="CY370" s="654"/>
      <c r="CZ370" s="655"/>
      <c r="DA370" s="214"/>
    </row>
    <row r="371" spans="1:105" s="16" customFormat="1" ht="15" customHeight="1" x14ac:dyDescent="0.3">
      <c r="A371" s="553" t="s">
        <v>56</v>
      </c>
      <c r="B371" s="554"/>
      <c r="C371" s="554"/>
      <c r="D371" s="554"/>
      <c r="E371" s="554"/>
      <c r="F371" s="554"/>
      <c r="G371" s="554"/>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554"/>
      <c r="AM371" s="554"/>
      <c r="AN371" s="555"/>
      <c r="AO371" s="544" t="s">
        <v>4</v>
      </c>
      <c r="AP371" s="545"/>
      <c r="AQ371" s="545"/>
      <c r="AR371" s="545"/>
      <c r="AS371" s="545"/>
      <c r="AT371" s="545"/>
      <c r="AU371" s="545"/>
      <c r="AV371" s="545"/>
      <c r="AW371" s="545"/>
      <c r="AX371" s="545"/>
      <c r="AY371" s="545"/>
      <c r="AZ371" s="545"/>
      <c r="BA371" s="545"/>
      <c r="BB371" s="545"/>
      <c r="BC371" s="545"/>
      <c r="BD371" s="546"/>
      <c r="BE371" s="544" t="s">
        <v>4</v>
      </c>
      <c r="BF371" s="545"/>
      <c r="BG371" s="545"/>
      <c r="BH371" s="545"/>
      <c r="BI371" s="545"/>
      <c r="BJ371" s="545"/>
      <c r="BK371" s="545"/>
      <c r="BL371" s="545"/>
      <c r="BM371" s="545"/>
      <c r="BN371" s="545"/>
      <c r="BO371" s="545"/>
      <c r="BP371" s="545"/>
      <c r="BQ371" s="545"/>
      <c r="BR371" s="545"/>
      <c r="BS371" s="545"/>
      <c r="BT371" s="546"/>
      <c r="BU371" s="544" t="s">
        <v>4</v>
      </c>
      <c r="BV371" s="545"/>
      <c r="BW371" s="545"/>
      <c r="BX371" s="545"/>
      <c r="BY371" s="545"/>
      <c r="BZ371" s="545"/>
      <c r="CA371" s="545"/>
      <c r="CB371" s="545"/>
      <c r="CC371" s="545"/>
      <c r="CD371" s="545"/>
      <c r="CE371" s="545"/>
      <c r="CF371" s="545"/>
      <c r="CG371" s="545"/>
      <c r="CH371" s="545"/>
      <c r="CI371" s="545"/>
      <c r="CJ371" s="546"/>
      <c r="CK371" s="636">
        <f>CK361+CK370</f>
        <v>795976.35000000009</v>
      </c>
      <c r="CL371" s="637"/>
      <c r="CM371" s="637"/>
      <c r="CN371" s="637"/>
      <c r="CO371" s="637"/>
      <c r="CP371" s="637"/>
      <c r="CQ371" s="637"/>
      <c r="CR371" s="637"/>
      <c r="CS371" s="637"/>
      <c r="CT371" s="637"/>
      <c r="CU371" s="637"/>
      <c r="CV371" s="637"/>
      <c r="CW371" s="637"/>
      <c r="CX371" s="637"/>
      <c r="CY371" s="637"/>
      <c r="CZ371" s="638"/>
      <c r="DA371" s="220"/>
    </row>
    <row r="372" spans="1:105" ht="12" customHeight="1" x14ac:dyDescent="0.25"/>
    <row r="373" spans="1:105" s="20" customFormat="1" hidden="1" x14ac:dyDescent="0.25">
      <c r="A373" s="594" t="s">
        <v>601</v>
      </c>
      <c r="B373" s="594"/>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4"/>
      <c r="AL373" s="594"/>
      <c r="AM373" s="594"/>
      <c r="AN373" s="594"/>
      <c r="AO373" s="594"/>
      <c r="AP373" s="594"/>
      <c r="AQ373" s="594"/>
      <c r="AR373" s="594"/>
      <c r="AS373" s="594"/>
      <c r="AT373" s="594"/>
      <c r="AU373" s="594"/>
      <c r="AV373" s="594"/>
      <c r="AW373" s="594"/>
      <c r="AX373" s="594"/>
      <c r="AY373" s="594"/>
      <c r="AZ373" s="594"/>
      <c r="BA373" s="594"/>
      <c r="BB373" s="594"/>
      <c r="BC373" s="594"/>
      <c r="BD373" s="594"/>
      <c r="BE373" s="594"/>
      <c r="BF373" s="594"/>
      <c r="BG373" s="594"/>
      <c r="BH373" s="594"/>
      <c r="BI373" s="594"/>
      <c r="BJ373" s="594"/>
      <c r="BK373" s="594"/>
      <c r="BL373" s="594"/>
      <c r="BM373" s="594"/>
      <c r="BN373" s="594"/>
      <c r="BO373" s="594"/>
      <c r="BP373" s="594"/>
      <c r="BQ373" s="594"/>
      <c r="BR373" s="594"/>
      <c r="BS373" s="594"/>
      <c r="BT373" s="594"/>
      <c r="BU373" s="594"/>
      <c r="BV373" s="594"/>
      <c r="BW373" s="594"/>
      <c r="BX373" s="594"/>
      <c r="BY373" s="594"/>
      <c r="BZ373" s="594"/>
      <c r="CA373" s="594"/>
      <c r="CB373" s="594"/>
      <c r="CC373" s="594"/>
      <c r="CD373" s="594"/>
      <c r="CE373" s="594"/>
      <c r="CF373" s="594"/>
      <c r="CG373" s="594"/>
      <c r="CH373" s="594"/>
      <c r="CI373" s="594"/>
      <c r="CJ373" s="594"/>
      <c r="CK373" s="594"/>
      <c r="CL373" s="594"/>
      <c r="CM373" s="594"/>
      <c r="CN373" s="594"/>
      <c r="CO373" s="594"/>
      <c r="CP373" s="594"/>
      <c r="CQ373" s="594"/>
      <c r="CR373" s="594"/>
      <c r="CS373" s="594"/>
      <c r="CT373" s="594"/>
      <c r="CU373" s="594"/>
      <c r="CV373" s="594"/>
      <c r="CW373" s="594"/>
      <c r="CX373" s="594"/>
      <c r="CY373" s="594"/>
      <c r="CZ373" s="594"/>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595" t="s">
        <v>602</v>
      </c>
      <c r="X375" s="595"/>
      <c r="Y375" s="595"/>
      <c r="Z375" s="595"/>
      <c r="AA375" s="595"/>
      <c r="AB375" s="595"/>
      <c r="AC375" s="595"/>
      <c r="AD375" s="595"/>
      <c r="AE375" s="595"/>
      <c r="AF375" s="595"/>
      <c r="AG375" s="595"/>
      <c r="AH375" s="595"/>
      <c r="AI375" s="595"/>
      <c r="AJ375" s="595"/>
      <c r="AK375" s="595"/>
      <c r="AL375" s="595"/>
      <c r="AM375" s="595"/>
      <c r="AN375" s="595"/>
      <c r="AO375" s="595"/>
      <c r="AP375" s="595"/>
      <c r="AQ375" s="595"/>
      <c r="AR375" s="595"/>
      <c r="AS375" s="595"/>
      <c r="AT375" s="595"/>
      <c r="AU375" s="595"/>
      <c r="AV375" s="595"/>
      <c r="AW375" s="595"/>
      <c r="AX375" s="595"/>
      <c r="AY375" s="595"/>
      <c r="AZ375" s="595"/>
      <c r="BA375" s="595"/>
      <c r="BB375" s="595"/>
      <c r="BC375" s="595"/>
      <c r="BD375" s="595"/>
      <c r="BE375" s="595"/>
      <c r="BF375" s="595"/>
      <c r="BG375" s="595"/>
      <c r="BH375" s="595"/>
      <c r="BI375" s="595"/>
      <c r="BJ375" s="595"/>
      <c r="BK375" s="595"/>
      <c r="BL375" s="595"/>
      <c r="BM375" s="595"/>
      <c r="BN375" s="595"/>
      <c r="BO375" s="595"/>
      <c r="BP375" s="595"/>
      <c r="BQ375" s="595"/>
      <c r="BR375" s="595"/>
      <c r="BS375" s="595"/>
      <c r="BT375" s="595"/>
      <c r="BU375" s="595"/>
      <c r="BV375" s="595"/>
      <c r="BW375" s="595"/>
      <c r="BX375" s="595"/>
      <c r="BY375" s="595"/>
      <c r="BZ375" s="595"/>
      <c r="CA375" s="595"/>
      <c r="CB375" s="595"/>
      <c r="CC375" s="595"/>
      <c r="CD375" s="595"/>
      <c r="CE375" s="595"/>
      <c r="CF375" s="595"/>
      <c r="CG375" s="595"/>
      <c r="CH375" s="595"/>
      <c r="CI375" s="595"/>
      <c r="CJ375" s="595"/>
      <c r="CK375" s="595"/>
      <c r="CL375" s="595"/>
      <c r="CM375" s="595"/>
      <c r="CN375" s="595"/>
      <c r="CO375" s="595"/>
      <c r="CP375" s="595"/>
      <c r="CQ375" s="595"/>
      <c r="CR375" s="595"/>
      <c r="CS375" s="595"/>
      <c r="CT375" s="595"/>
      <c r="CU375" s="595"/>
      <c r="CV375" s="595"/>
      <c r="CW375" s="595"/>
      <c r="CX375" s="595"/>
      <c r="CY375" s="595"/>
      <c r="CZ375" s="595"/>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75" t="s">
        <v>49</v>
      </c>
      <c r="B377" s="476"/>
      <c r="C377" s="476"/>
      <c r="D377" s="476"/>
      <c r="E377" s="476"/>
      <c r="F377" s="476"/>
      <c r="G377" s="477"/>
      <c r="H377" s="475" t="s">
        <v>0</v>
      </c>
      <c r="I377" s="476"/>
      <c r="J377" s="476"/>
      <c r="K377" s="476"/>
      <c r="L377" s="476"/>
      <c r="M377" s="476"/>
      <c r="N377" s="476"/>
      <c r="O377" s="476"/>
      <c r="P377" s="476"/>
      <c r="Q377" s="476"/>
      <c r="R377" s="476"/>
      <c r="S377" s="476"/>
      <c r="T377" s="476"/>
      <c r="U377" s="476"/>
      <c r="V377" s="476"/>
      <c r="W377" s="476"/>
      <c r="X377" s="476"/>
      <c r="Y377" s="476"/>
      <c r="Z377" s="476"/>
      <c r="AA377" s="476"/>
      <c r="AB377" s="476"/>
      <c r="AC377" s="476"/>
      <c r="AD377" s="476"/>
      <c r="AE377" s="476"/>
      <c r="AF377" s="476"/>
      <c r="AG377" s="476"/>
      <c r="AH377" s="476"/>
      <c r="AI377" s="476"/>
      <c r="AJ377" s="476"/>
      <c r="AK377" s="476"/>
      <c r="AL377" s="476"/>
      <c r="AM377" s="476"/>
      <c r="AN377" s="477"/>
      <c r="AO377" s="475" t="s">
        <v>88</v>
      </c>
      <c r="AP377" s="476"/>
      <c r="AQ377" s="476"/>
      <c r="AR377" s="476"/>
      <c r="AS377" s="476"/>
      <c r="AT377" s="476"/>
      <c r="AU377" s="476"/>
      <c r="AV377" s="476"/>
      <c r="AW377" s="476"/>
      <c r="AX377" s="476"/>
      <c r="AY377" s="476"/>
      <c r="AZ377" s="476"/>
      <c r="BA377" s="476"/>
      <c r="BB377" s="476"/>
      <c r="BC377" s="476"/>
      <c r="BD377" s="477"/>
      <c r="BE377" s="475" t="s">
        <v>89</v>
      </c>
      <c r="BF377" s="476"/>
      <c r="BG377" s="476"/>
      <c r="BH377" s="476"/>
      <c r="BI377" s="476"/>
      <c r="BJ377" s="476"/>
      <c r="BK377" s="476"/>
      <c r="BL377" s="476"/>
      <c r="BM377" s="476"/>
      <c r="BN377" s="476"/>
      <c r="BO377" s="476"/>
      <c r="BP377" s="476"/>
      <c r="BQ377" s="476"/>
      <c r="BR377" s="476"/>
      <c r="BS377" s="476"/>
      <c r="BT377" s="477"/>
      <c r="BU377" s="475" t="s">
        <v>90</v>
      </c>
      <c r="BV377" s="476"/>
      <c r="BW377" s="476"/>
      <c r="BX377" s="476"/>
      <c r="BY377" s="476"/>
      <c r="BZ377" s="476"/>
      <c r="CA377" s="476"/>
      <c r="CB377" s="476"/>
      <c r="CC377" s="476"/>
      <c r="CD377" s="476"/>
      <c r="CE377" s="476"/>
      <c r="CF377" s="476"/>
      <c r="CG377" s="476"/>
      <c r="CH377" s="476"/>
      <c r="CI377" s="476"/>
      <c r="CJ377" s="477"/>
      <c r="CK377" s="475" t="s">
        <v>98</v>
      </c>
      <c r="CL377" s="476"/>
      <c r="CM377" s="476"/>
      <c r="CN377" s="476"/>
      <c r="CO377" s="476"/>
      <c r="CP377" s="476"/>
      <c r="CQ377" s="476"/>
      <c r="CR377" s="476"/>
      <c r="CS377" s="476"/>
      <c r="CT377" s="476"/>
      <c r="CU377" s="476"/>
      <c r="CV377" s="476"/>
      <c r="CW377" s="476"/>
      <c r="CX377" s="476"/>
      <c r="CY377" s="476"/>
      <c r="CZ377" s="477"/>
      <c r="DA377" s="218"/>
    </row>
    <row r="378" spans="1:105" s="15" customFormat="1" ht="13.2" hidden="1" x14ac:dyDescent="0.3">
      <c r="A378" s="661">
        <v>1</v>
      </c>
      <c r="B378" s="662"/>
      <c r="C378" s="662"/>
      <c r="D378" s="662"/>
      <c r="E378" s="662"/>
      <c r="F378" s="662"/>
      <c r="G378" s="663"/>
      <c r="H378" s="661">
        <v>2</v>
      </c>
      <c r="I378" s="662"/>
      <c r="J378" s="662"/>
      <c r="K378" s="662"/>
      <c r="L378" s="662"/>
      <c r="M378" s="662"/>
      <c r="N378" s="662"/>
      <c r="O378" s="662"/>
      <c r="P378" s="662"/>
      <c r="Q378" s="662"/>
      <c r="R378" s="662"/>
      <c r="S378" s="662"/>
      <c r="T378" s="662"/>
      <c r="U378" s="662"/>
      <c r="V378" s="662"/>
      <c r="W378" s="662"/>
      <c r="X378" s="662"/>
      <c r="Y378" s="662"/>
      <c r="Z378" s="662"/>
      <c r="AA378" s="662"/>
      <c r="AB378" s="662"/>
      <c r="AC378" s="662"/>
      <c r="AD378" s="662"/>
      <c r="AE378" s="662"/>
      <c r="AF378" s="662"/>
      <c r="AG378" s="662"/>
      <c r="AH378" s="662"/>
      <c r="AI378" s="662"/>
      <c r="AJ378" s="662"/>
      <c r="AK378" s="662"/>
      <c r="AL378" s="662"/>
      <c r="AM378" s="662"/>
      <c r="AN378" s="663"/>
      <c r="AO378" s="661">
        <v>3</v>
      </c>
      <c r="AP378" s="662"/>
      <c r="AQ378" s="662"/>
      <c r="AR378" s="662"/>
      <c r="AS378" s="662"/>
      <c r="AT378" s="662"/>
      <c r="AU378" s="662"/>
      <c r="AV378" s="662"/>
      <c r="AW378" s="662"/>
      <c r="AX378" s="662"/>
      <c r="AY378" s="662"/>
      <c r="AZ378" s="662"/>
      <c r="BA378" s="662"/>
      <c r="BB378" s="662"/>
      <c r="BC378" s="662"/>
      <c r="BD378" s="663"/>
      <c r="BE378" s="661">
        <v>4</v>
      </c>
      <c r="BF378" s="662"/>
      <c r="BG378" s="662"/>
      <c r="BH378" s="662"/>
      <c r="BI378" s="662"/>
      <c r="BJ378" s="662"/>
      <c r="BK378" s="662"/>
      <c r="BL378" s="662"/>
      <c r="BM378" s="662"/>
      <c r="BN378" s="662"/>
      <c r="BO378" s="662"/>
      <c r="BP378" s="662"/>
      <c r="BQ378" s="662"/>
      <c r="BR378" s="662"/>
      <c r="BS378" s="662"/>
      <c r="BT378" s="663"/>
      <c r="BU378" s="661">
        <v>5</v>
      </c>
      <c r="BV378" s="662"/>
      <c r="BW378" s="662"/>
      <c r="BX378" s="662"/>
      <c r="BY378" s="662"/>
      <c r="BZ378" s="662"/>
      <c r="CA378" s="662"/>
      <c r="CB378" s="662"/>
      <c r="CC378" s="662"/>
      <c r="CD378" s="662"/>
      <c r="CE378" s="662"/>
      <c r="CF378" s="662"/>
      <c r="CG378" s="662"/>
      <c r="CH378" s="662"/>
      <c r="CI378" s="662"/>
      <c r="CJ378" s="663"/>
      <c r="CK378" s="661">
        <v>6</v>
      </c>
      <c r="CL378" s="662"/>
      <c r="CM378" s="662"/>
      <c r="CN378" s="662"/>
      <c r="CO378" s="662"/>
      <c r="CP378" s="662"/>
      <c r="CQ378" s="662"/>
      <c r="CR378" s="662"/>
      <c r="CS378" s="662"/>
      <c r="CT378" s="662"/>
      <c r="CU378" s="662"/>
      <c r="CV378" s="662"/>
      <c r="CW378" s="662"/>
      <c r="CX378" s="662"/>
      <c r="CY378" s="662"/>
      <c r="CZ378" s="663"/>
      <c r="DA378" s="219"/>
    </row>
    <row r="379" spans="1:105" s="16" customFormat="1" ht="15" hidden="1" customHeight="1" x14ac:dyDescent="0.3">
      <c r="A379" s="648" t="s">
        <v>569</v>
      </c>
      <c r="B379" s="649"/>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9"/>
      <c r="AL379" s="649"/>
      <c r="AM379" s="649"/>
      <c r="AN379" s="649"/>
      <c r="AO379" s="649"/>
      <c r="AP379" s="649"/>
      <c r="AQ379" s="649"/>
      <c r="AR379" s="649"/>
      <c r="AS379" s="649"/>
      <c r="AT379" s="649"/>
      <c r="AU379" s="649"/>
      <c r="AV379" s="649"/>
      <c r="AW379" s="649"/>
      <c r="AX379" s="649"/>
      <c r="AY379" s="649"/>
      <c r="AZ379" s="649"/>
      <c r="BA379" s="649"/>
      <c r="BB379" s="649"/>
      <c r="BC379" s="649"/>
      <c r="BD379" s="649"/>
      <c r="BE379" s="649"/>
      <c r="BF379" s="649"/>
      <c r="BG379" s="649"/>
      <c r="BH379" s="649"/>
      <c r="BI379" s="649"/>
      <c r="BJ379" s="649"/>
      <c r="BK379" s="649"/>
      <c r="BL379" s="649"/>
      <c r="BM379" s="649"/>
      <c r="BN379" s="649"/>
      <c r="BO379" s="649"/>
      <c r="BP379" s="649"/>
      <c r="BQ379" s="649"/>
      <c r="BR379" s="649"/>
      <c r="BS379" s="649"/>
      <c r="BT379" s="649"/>
      <c r="BU379" s="649"/>
      <c r="BV379" s="649"/>
      <c r="BW379" s="649"/>
      <c r="BX379" s="649"/>
      <c r="BY379" s="649"/>
      <c r="BZ379" s="649"/>
      <c r="CA379" s="649"/>
      <c r="CB379" s="649"/>
      <c r="CC379" s="649"/>
      <c r="CD379" s="649"/>
      <c r="CE379" s="649"/>
      <c r="CF379" s="649"/>
      <c r="CG379" s="649"/>
      <c r="CH379" s="649"/>
      <c r="CI379" s="649"/>
      <c r="CJ379" s="649"/>
      <c r="CK379" s="649"/>
      <c r="CL379" s="649"/>
      <c r="CM379" s="649"/>
      <c r="CN379" s="649"/>
      <c r="CO379" s="649"/>
      <c r="CP379" s="649"/>
      <c r="CQ379" s="649"/>
      <c r="CR379" s="649"/>
      <c r="CS379" s="649"/>
      <c r="CT379" s="649"/>
      <c r="CU379" s="649"/>
      <c r="CV379" s="649"/>
      <c r="CW379" s="649"/>
      <c r="CX379" s="649"/>
      <c r="CY379" s="649"/>
      <c r="CZ379" s="649"/>
      <c r="DA379" s="214"/>
    </row>
    <row r="380" spans="1:105" s="16" customFormat="1" ht="15" hidden="1" customHeight="1" x14ac:dyDescent="0.3">
      <c r="A380" s="630"/>
      <c r="B380" s="631"/>
      <c r="C380" s="631"/>
      <c r="D380" s="631"/>
      <c r="E380" s="631"/>
      <c r="F380" s="631"/>
      <c r="G380" s="632"/>
      <c r="H380" s="584"/>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5"/>
      <c r="AL380" s="585"/>
      <c r="AM380" s="585"/>
      <c r="AN380" s="586"/>
      <c r="AO380" s="627"/>
      <c r="AP380" s="628"/>
      <c r="AQ380" s="628"/>
      <c r="AR380" s="628"/>
      <c r="AS380" s="628"/>
      <c r="AT380" s="628"/>
      <c r="AU380" s="628"/>
      <c r="AV380" s="628"/>
      <c r="AW380" s="628"/>
      <c r="AX380" s="628"/>
      <c r="AY380" s="628"/>
      <c r="AZ380" s="628"/>
      <c r="BA380" s="628"/>
      <c r="BB380" s="628"/>
      <c r="BC380" s="628"/>
      <c r="BD380" s="629"/>
      <c r="BE380" s="627"/>
      <c r="BF380" s="628"/>
      <c r="BG380" s="628"/>
      <c r="BH380" s="628"/>
      <c r="BI380" s="628"/>
      <c r="BJ380" s="628"/>
      <c r="BK380" s="628"/>
      <c r="BL380" s="628"/>
      <c r="BM380" s="628"/>
      <c r="BN380" s="628"/>
      <c r="BO380" s="628"/>
      <c r="BP380" s="628"/>
      <c r="BQ380" s="628"/>
      <c r="BR380" s="628"/>
      <c r="BS380" s="628"/>
      <c r="BT380" s="629"/>
      <c r="BU380" s="696"/>
      <c r="BV380" s="697"/>
      <c r="BW380" s="697"/>
      <c r="BX380" s="697"/>
      <c r="BY380" s="697"/>
      <c r="BZ380" s="697"/>
      <c r="CA380" s="697"/>
      <c r="CB380" s="697"/>
      <c r="CC380" s="697"/>
      <c r="CD380" s="697"/>
      <c r="CE380" s="697"/>
      <c r="CF380" s="697"/>
      <c r="CG380" s="697"/>
      <c r="CH380" s="697"/>
      <c r="CI380" s="697"/>
      <c r="CJ380" s="698"/>
      <c r="CK380" s="627"/>
      <c r="CL380" s="628"/>
      <c r="CM380" s="628"/>
      <c r="CN380" s="628"/>
      <c r="CO380" s="628"/>
      <c r="CP380" s="628"/>
      <c r="CQ380" s="628"/>
      <c r="CR380" s="628"/>
      <c r="CS380" s="628"/>
      <c r="CT380" s="628"/>
      <c r="CU380" s="628"/>
      <c r="CV380" s="628"/>
      <c r="CW380" s="628"/>
      <c r="CX380" s="628"/>
      <c r="CY380" s="628"/>
      <c r="CZ380" s="629"/>
      <c r="DA380" s="240"/>
    </row>
    <row r="381" spans="1:105" s="16" customFormat="1" ht="15" hidden="1" customHeight="1" x14ac:dyDescent="0.3">
      <c r="A381" s="630"/>
      <c r="B381" s="631"/>
      <c r="C381" s="631"/>
      <c r="D381" s="631"/>
      <c r="E381" s="631"/>
      <c r="F381" s="631"/>
      <c r="G381" s="632"/>
      <c r="H381" s="584"/>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5"/>
      <c r="AL381" s="585"/>
      <c r="AM381" s="585"/>
      <c r="AN381" s="586"/>
      <c r="AO381" s="627"/>
      <c r="AP381" s="628"/>
      <c r="AQ381" s="628"/>
      <c r="AR381" s="628"/>
      <c r="AS381" s="628"/>
      <c r="AT381" s="628"/>
      <c r="AU381" s="628"/>
      <c r="AV381" s="628"/>
      <c r="AW381" s="628"/>
      <c r="AX381" s="628"/>
      <c r="AY381" s="628"/>
      <c r="AZ381" s="628"/>
      <c r="BA381" s="628"/>
      <c r="BB381" s="628"/>
      <c r="BC381" s="628"/>
      <c r="BD381" s="629"/>
      <c r="BE381" s="627"/>
      <c r="BF381" s="628"/>
      <c r="BG381" s="628"/>
      <c r="BH381" s="628"/>
      <c r="BI381" s="628"/>
      <c r="BJ381" s="628"/>
      <c r="BK381" s="628"/>
      <c r="BL381" s="628"/>
      <c r="BM381" s="628"/>
      <c r="BN381" s="628"/>
      <c r="BO381" s="628"/>
      <c r="BP381" s="628"/>
      <c r="BQ381" s="628"/>
      <c r="BR381" s="628"/>
      <c r="BS381" s="628"/>
      <c r="BT381" s="629"/>
      <c r="BU381" s="696"/>
      <c r="BV381" s="697"/>
      <c r="BW381" s="697"/>
      <c r="BX381" s="697"/>
      <c r="BY381" s="697"/>
      <c r="BZ381" s="697"/>
      <c r="CA381" s="697"/>
      <c r="CB381" s="697"/>
      <c r="CC381" s="697"/>
      <c r="CD381" s="697"/>
      <c r="CE381" s="697"/>
      <c r="CF381" s="697"/>
      <c r="CG381" s="697"/>
      <c r="CH381" s="697"/>
      <c r="CI381" s="697"/>
      <c r="CJ381" s="698"/>
      <c r="CK381" s="627"/>
      <c r="CL381" s="628"/>
      <c r="CM381" s="628"/>
      <c r="CN381" s="628"/>
      <c r="CO381" s="628"/>
      <c r="CP381" s="628"/>
      <c r="CQ381" s="628"/>
      <c r="CR381" s="628"/>
      <c r="CS381" s="628"/>
      <c r="CT381" s="628"/>
      <c r="CU381" s="628"/>
      <c r="CV381" s="628"/>
      <c r="CW381" s="628"/>
      <c r="CX381" s="628"/>
      <c r="CY381" s="628"/>
      <c r="CZ381" s="629"/>
      <c r="DA381" s="240"/>
    </row>
    <row r="382" spans="1:105" s="16" customFormat="1" ht="15" hidden="1" customHeight="1" x14ac:dyDescent="0.3">
      <c r="A382" s="630"/>
      <c r="B382" s="631"/>
      <c r="C382" s="631"/>
      <c r="D382" s="631"/>
      <c r="E382" s="631"/>
      <c r="F382" s="631"/>
      <c r="G382" s="632"/>
      <c r="H382" s="584"/>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5"/>
      <c r="AL382" s="585"/>
      <c r="AM382" s="585"/>
      <c r="AN382" s="586"/>
      <c r="AO382" s="627"/>
      <c r="AP382" s="628"/>
      <c r="AQ382" s="628"/>
      <c r="AR382" s="628"/>
      <c r="AS382" s="628"/>
      <c r="AT382" s="628"/>
      <c r="AU382" s="628"/>
      <c r="AV382" s="628"/>
      <c r="AW382" s="628"/>
      <c r="AX382" s="628"/>
      <c r="AY382" s="628"/>
      <c r="AZ382" s="628"/>
      <c r="BA382" s="628"/>
      <c r="BB382" s="628"/>
      <c r="BC382" s="628"/>
      <c r="BD382" s="629"/>
      <c r="BE382" s="627"/>
      <c r="BF382" s="628"/>
      <c r="BG382" s="628"/>
      <c r="BH382" s="628"/>
      <c r="BI382" s="628"/>
      <c r="BJ382" s="628"/>
      <c r="BK382" s="628"/>
      <c r="BL382" s="628"/>
      <c r="BM382" s="628"/>
      <c r="BN382" s="628"/>
      <c r="BO382" s="628"/>
      <c r="BP382" s="628"/>
      <c r="BQ382" s="628"/>
      <c r="BR382" s="628"/>
      <c r="BS382" s="628"/>
      <c r="BT382" s="629"/>
      <c r="BU382" s="696"/>
      <c r="BV382" s="697"/>
      <c r="BW382" s="697"/>
      <c r="BX382" s="697"/>
      <c r="BY382" s="697"/>
      <c r="BZ382" s="697"/>
      <c r="CA382" s="697"/>
      <c r="CB382" s="697"/>
      <c r="CC382" s="697"/>
      <c r="CD382" s="697"/>
      <c r="CE382" s="697"/>
      <c r="CF382" s="697"/>
      <c r="CG382" s="697"/>
      <c r="CH382" s="697"/>
      <c r="CI382" s="697"/>
      <c r="CJ382" s="698"/>
      <c r="CK382" s="627"/>
      <c r="CL382" s="628"/>
      <c r="CM382" s="628"/>
      <c r="CN382" s="628"/>
      <c r="CO382" s="628"/>
      <c r="CP382" s="628"/>
      <c r="CQ382" s="628"/>
      <c r="CR382" s="628"/>
      <c r="CS382" s="628"/>
      <c r="CT382" s="628"/>
      <c r="CU382" s="628"/>
      <c r="CV382" s="628"/>
      <c r="CW382" s="628"/>
      <c r="CX382" s="628"/>
      <c r="CY382" s="628"/>
      <c r="CZ382" s="629"/>
      <c r="DA382" s="240"/>
    </row>
    <row r="383" spans="1:105" s="16" customFormat="1" ht="15" hidden="1" customHeight="1" x14ac:dyDescent="0.3">
      <c r="A383" s="630"/>
      <c r="B383" s="631"/>
      <c r="C383" s="631"/>
      <c r="D383" s="631"/>
      <c r="E383" s="631"/>
      <c r="F383" s="631"/>
      <c r="G383" s="632"/>
      <c r="H383" s="584"/>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5"/>
      <c r="AL383" s="585"/>
      <c r="AM383" s="585"/>
      <c r="AN383" s="586"/>
      <c r="AO383" s="627"/>
      <c r="AP383" s="628"/>
      <c r="AQ383" s="628"/>
      <c r="AR383" s="628"/>
      <c r="AS383" s="628"/>
      <c r="AT383" s="628"/>
      <c r="AU383" s="628"/>
      <c r="AV383" s="628"/>
      <c r="AW383" s="628"/>
      <c r="AX383" s="628"/>
      <c r="AY383" s="628"/>
      <c r="AZ383" s="628"/>
      <c r="BA383" s="628"/>
      <c r="BB383" s="628"/>
      <c r="BC383" s="628"/>
      <c r="BD383" s="629"/>
      <c r="BE383" s="627"/>
      <c r="BF383" s="628"/>
      <c r="BG383" s="628"/>
      <c r="BH383" s="628"/>
      <c r="BI383" s="628"/>
      <c r="BJ383" s="628"/>
      <c r="BK383" s="628"/>
      <c r="BL383" s="628"/>
      <c r="BM383" s="628"/>
      <c r="BN383" s="628"/>
      <c r="BO383" s="628"/>
      <c r="BP383" s="628"/>
      <c r="BQ383" s="628"/>
      <c r="BR383" s="628"/>
      <c r="BS383" s="628"/>
      <c r="BT383" s="629"/>
      <c r="BU383" s="696"/>
      <c r="BV383" s="697"/>
      <c r="BW383" s="697"/>
      <c r="BX383" s="697"/>
      <c r="BY383" s="697"/>
      <c r="BZ383" s="697"/>
      <c r="CA383" s="697"/>
      <c r="CB383" s="697"/>
      <c r="CC383" s="697"/>
      <c r="CD383" s="697"/>
      <c r="CE383" s="697"/>
      <c r="CF383" s="697"/>
      <c r="CG383" s="697"/>
      <c r="CH383" s="697"/>
      <c r="CI383" s="697"/>
      <c r="CJ383" s="698"/>
      <c r="CK383" s="627"/>
      <c r="CL383" s="628"/>
      <c r="CM383" s="628"/>
      <c r="CN383" s="628"/>
      <c r="CO383" s="628"/>
      <c r="CP383" s="628"/>
      <c r="CQ383" s="628"/>
      <c r="CR383" s="628"/>
      <c r="CS383" s="628"/>
      <c r="CT383" s="628"/>
      <c r="CU383" s="628"/>
      <c r="CV383" s="628"/>
      <c r="CW383" s="628"/>
      <c r="CX383" s="628"/>
      <c r="CY383" s="628"/>
      <c r="CZ383" s="629"/>
      <c r="DA383" s="240"/>
    </row>
    <row r="384" spans="1:105" s="16" customFormat="1" ht="15" hidden="1" customHeight="1" x14ac:dyDescent="0.3">
      <c r="A384" s="553" t="s">
        <v>292</v>
      </c>
      <c r="B384" s="554"/>
      <c r="C384" s="554"/>
      <c r="D384" s="554"/>
      <c r="E384" s="554"/>
      <c r="F384" s="554"/>
      <c r="G384" s="554"/>
      <c r="H384" s="554"/>
      <c r="I384" s="554"/>
      <c r="J384" s="554"/>
      <c r="K384" s="554"/>
      <c r="L384" s="554"/>
      <c r="M384" s="554"/>
      <c r="N384" s="554"/>
      <c r="O384" s="554"/>
      <c r="P384" s="554"/>
      <c r="Q384" s="554"/>
      <c r="R384" s="554"/>
      <c r="S384" s="554"/>
      <c r="T384" s="554"/>
      <c r="U384" s="554"/>
      <c r="V384" s="554"/>
      <c r="W384" s="554"/>
      <c r="X384" s="554"/>
      <c r="Y384" s="554"/>
      <c r="Z384" s="554"/>
      <c r="AA384" s="554"/>
      <c r="AB384" s="554"/>
      <c r="AC384" s="554"/>
      <c r="AD384" s="554"/>
      <c r="AE384" s="554"/>
      <c r="AF384" s="554"/>
      <c r="AG384" s="554"/>
      <c r="AH384" s="554"/>
      <c r="AI384" s="554"/>
      <c r="AJ384" s="554"/>
      <c r="AK384" s="554"/>
      <c r="AL384" s="554"/>
      <c r="AM384" s="554"/>
      <c r="AN384" s="555"/>
      <c r="AO384" s="544" t="s">
        <v>4</v>
      </c>
      <c r="AP384" s="545"/>
      <c r="AQ384" s="545"/>
      <c r="AR384" s="545"/>
      <c r="AS384" s="545"/>
      <c r="AT384" s="545"/>
      <c r="AU384" s="545"/>
      <c r="AV384" s="545"/>
      <c r="AW384" s="545"/>
      <c r="AX384" s="545"/>
      <c r="AY384" s="545"/>
      <c r="AZ384" s="545"/>
      <c r="BA384" s="545"/>
      <c r="BB384" s="545"/>
      <c r="BC384" s="545"/>
      <c r="BD384" s="546"/>
      <c r="BE384" s="544" t="s">
        <v>4</v>
      </c>
      <c r="BF384" s="545"/>
      <c r="BG384" s="545"/>
      <c r="BH384" s="545"/>
      <c r="BI384" s="545"/>
      <c r="BJ384" s="545"/>
      <c r="BK384" s="545"/>
      <c r="BL384" s="545"/>
      <c r="BM384" s="545"/>
      <c r="BN384" s="545"/>
      <c r="BO384" s="545"/>
      <c r="BP384" s="545"/>
      <c r="BQ384" s="545"/>
      <c r="BR384" s="545"/>
      <c r="BS384" s="545"/>
      <c r="BT384" s="546"/>
      <c r="BU384" s="544" t="s">
        <v>4</v>
      </c>
      <c r="BV384" s="545"/>
      <c r="BW384" s="545"/>
      <c r="BX384" s="545"/>
      <c r="BY384" s="545"/>
      <c r="BZ384" s="545"/>
      <c r="CA384" s="545"/>
      <c r="CB384" s="545"/>
      <c r="CC384" s="545"/>
      <c r="CD384" s="545"/>
      <c r="CE384" s="545"/>
      <c r="CF384" s="545"/>
      <c r="CG384" s="545"/>
      <c r="CH384" s="545"/>
      <c r="CI384" s="545"/>
      <c r="CJ384" s="546"/>
      <c r="CK384" s="636">
        <f>CK380+CK381+CK382+CK383</f>
        <v>0</v>
      </c>
      <c r="CL384" s="654"/>
      <c r="CM384" s="654"/>
      <c r="CN384" s="654"/>
      <c r="CO384" s="654"/>
      <c r="CP384" s="654"/>
      <c r="CQ384" s="654"/>
      <c r="CR384" s="654"/>
      <c r="CS384" s="654"/>
      <c r="CT384" s="654"/>
      <c r="CU384" s="654"/>
      <c r="CV384" s="654"/>
      <c r="CW384" s="654"/>
      <c r="CX384" s="654"/>
      <c r="CY384" s="654"/>
      <c r="CZ384" s="655"/>
      <c r="DA384" s="214"/>
    </row>
    <row r="385" spans="1:105" s="16" customFormat="1" ht="15" hidden="1" customHeight="1" x14ac:dyDescent="0.3">
      <c r="A385" s="648" t="s">
        <v>258</v>
      </c>
      <c r="B385" s="649"/>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9"/>
      <c r="AL385" s="649"/>
      <c r="AM385" s="649"/>
      <c r="AN385" s="649"/>
      <c r="AO385" s="649"/>
      <c r="AP385" s="649"/>
      <c r="AQ385" s="649"/>
      <c r="AR385" s="649"/>
      <c r="AS385" s="649"/>
      <c r="AT385" s="649"/>
      <c r="AU385" s="649"/>
      <c r="AV385" s="649"/>
      <c r="AW385" s="649"/>
      <c r="AX385" s="649"/>
      <c r="AY385" s="649"/>
      <c r="AZ385" s="649"/>
      <c r="BA385" s="649"/>
      <c r="BB385" s="649"/>
      <c r="BC385" s="649"/>
      <c r="BD385" s="649"/>
      <c r="BE385" s="649"/>
      <c r="BF385" s="649"/>
      <c r="BG385" s="649"/>
      <c r="BH385" s="649"/>
      <c r="BI385" s="649"/>
      <c r="BJ385" s="649"/>
      <c r="BK385" s="649"/>
      <c r="BL385" s="649"/>
      <c r="BM385" s="649"/>
      <c r="BN385" s="649"/>
      <c r="BO385" s="649"/>
      <c r="BP385" s="649"/>
      <c r="BQ385" s="649"/>
      <c r="BR385" s="649"/>
      <c r="BS385" s="649"/>
      <c r="BT385" s="649"/>
      <c r="BU385" s="649"/>
      <c r="BV385" s="649"/>
      <c r="BW385" s="649"/>
      <c r="BX385" s="649"/>
      <c r="BY385" s="649"/>
      <c r="BZ385" s="649"/>
      <c r="CA385" s="649"/>
      <c r="CB385" s="649"/>
      <c r="CC385" s="649"/>
      <c r="CD385" s="649"/>
      <c r="CE385" s="649"/>
      <c r="CF385" s="649"/>
      <c r="CG385" s="649"/>
      <c r="CH385" s="649"/>
      <c r="CI385" s="649"/>
      <c r="CJ385" s="649"/>
      <c r="CK385" s="649"/>
      <c r="CL385" s="649"/>
      <c r="CM385" s="649"/>
      <c r="CN385" s="649"/>
      <c r="CO385" s="649"/>
      <c r="CP385" s="649"/>
      <c r="CQ385" s="649"/>
      <c r="CR385" s="649"/>
      <c r="CS385" s="649"/>
      <c r="CT385" s="649"/>
      <c r="CU385" s="649"/>
      <c r="CV385" s="649"/>
      <c r="CW385" s="649"/>
      <c r="CX385" s="649"/>
      <c r="CY385" s="649"/>
      <c r="CZ385" s="649"/>
      <c r="DA385" s="214"/>
    </row>
    <row r="386" spans="1:105" s="16" customFormat="1" ht="15" hidden="1" customHeight="1" x14ac:dyDescent="0.3">
      <c r="A386" s="630"/>
      <c r="B386" s="631"/>
      <c r="C386" s="631"/>
      <c r="D386" s="631"/>
      <c r="E386" s="631"/>
      <c r="F386" s="631"/>
      <c r="G386" s="632"/>
      <c r="H386" s="584"/>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5"/>
      <c r="AL386" s="585"/>
      <c r="AM386" s="585"/>
      <c r="AN386" s="585"/>
      <c r="AO386" s="585"/>
      <c r="AP386" s="585"/>
      <c r="AQ386" s="585"/>
      <c r="AR386" s="585"/>
      <c r="AS386" s="585"/>
      <c r="AT386" s="585"/>
      <c r="AU386" s="585"/>
      <c r="AV386" s="585"/>
      <c r="AW386" s="585"/>
      <c r="AX386" s="585"/>
      <c r="AY386" s="585"/>
      <c r="AZ386" s="585"/>
      <c r="BA386" s="585"/>
      <c r="BB386" s="586"/>
      <c r="BC386" s="544"/>
      <c r="BD386" s="545"/>
      <c r="BE386" s="545"/>
      <c r="BF386" s="545"/>
      <c r="BG386" s="545"/>
      <c r="BH386" s="545"/>
      <c r="BI386" s="545"/>
      <c r="BJ386" s="545"/>
      <c r="BK386" s="545"/>
      <c r="BL386" s="545"/>
      <c r="BM386" s="545"/>
      <c r="BN386" s="545"/>
      <c r="BO386" s="545"/>
      <c r="BP386" s="545"/>
      <c r="BQ386" s="545"/>
      <c r="BR386" s="546"/>
      <c r="BS386" s="544"/>
      <c r="BT386" s="545"/>
      <c r="BU386" s="545"/>
      <c r="BV386" s="545"/>
      <c r="BW386" s="545"/>
      <c r="BX386" s="545"/>
      <c r="BY386" s="545"/>
      <c r="BZ386" s="545"/>
      <c r="CA386" s="545"/>
      <c r="CB386" s="545"/>
      <c r="CC386" s="545"/>
      <c r="CD386" s="545"/>
      <c r="CE386" s="545"/>
      <c r="CF386" s="545"/>
      <c r="CG386" s="545"/>
      <c r="CH386" s="546"/>
      <c r="CI386" s="544"/>
      <c r="CJ386" s="545"/>
      <c r="CK386" s="545"/>
      <c r="CL386" s="545"/>
      <c r="CM386" s="545"/>
      <c r="CN386" s="545"/>
      <c r="CO386" s="545"/>
      <c r="CP386" s="545"/>
      <c r="CQ386" s="545"/>
      <c r="CR386" s="545"/>
      <c r="CS386" s="545"/>
      <c r="CT386" s="545"/>
      <c r="CU386" s="545"/>
      <c r="CV386" s="545"/>
      <c r="CW386" s="545"/>
      <c r="CX386" s="545"/>
      <c r="CY386" s="545"/>
      <c r="CZ386" s="546"/>
      <c r="DA386" s="214"/>
    </row>
    <row r="387" spans="1:105" s="16" customFormat="1" ht="15" hidden="1" customHeight="1" x14ac:dyDescent="0.3">
      <c r="A387" s="633" t="s">
        <v>292</v>
      </c>
      <c r="B387" s="634"/>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4"/>
      <c r="AL387" s="634"/>
      <c r="AM387" s="634"/>
      <c r="AN387" s="634"/>
      <c r="AO387" s="634"/>
      <c r="AP387" s="634"/>
      <c r="AQ387" s="634"/>
      <c r="AR387" s="634"/>
      <c r="AS387" s="634"/>
      <c r="AT387" s="634"/>
      <c r="AU387" s="634"/>
      <c r="AV387" s="634"/>
      <c r="AW387" s="634"/>
      <c r="AX387" s="634"/>
      <c r="AY387" s="634"/>
      <c r="AZ387" s="634"/>
      <c r="BA387" s="634"/>
      <c r="BB387" s="635"/>
      <c r="BC387" s="582" t="s">
        <v>4</v>
      </c>
      <c r="BD387" s="582"/>
      <c r="BE387" s="582"/>
      <c r="BF387" s="582"/>
      <c r="BG387" s="582"/>
      <c r="BH387" s="582"/>
      <c r="BI387" s="582"/>
      <c r="BJ387" s="582"/>
      <c r="BK387" s="582"/>
      <c r="BL387" s="582"/>
      <c r="BM387" s="582"/>
      <c r="BN387" s="582"/>
      <c r="BO387" s="582"/>
      <c r="BP387" s="582"/>
      <c r="BQ387" s="582"/>
      <c r="BR387" s="582"/>
      <c r="BS387" s="582" t="s">
        <v>4</v>
      </c>
      <c r="BT387" s="582"/>
      <c r="BU387" s="582"/>
      <c r="BV387" s="582"/>
      <c r="BW387" s="582"/>
      <c r="BX387" s="582"/>
      <c r="BY387" s="582"/>
      <c r="BZ387" s="582"/>
      <c r="CA387" s="582"/>
      <c r="CB387" s="582"/>
      <c r="CC387" s="582"/>
      <c r="CD387" s="582"/>
      <c r="CE387" s="582"/>
      <c r="CF387" s="582"/>
      <c r="CG387" s="582"/>
      <c r="CH387" s="582"/>
      <c r="CI387" s="544"/>
      <c r="CJ387" s="545"/>
      <c r="CK387" s="545"/>
      <c r="CL387" s="545"/>
      <c r="CM387" s="545"/>
      <c r="CN387" s="545"/>
      <c r="CO387" s="545"/>
      <c r="CP387" s="545"/>
      <c r="CQ387" s="545"/>
      <c r="CR387" s="545"/>
      <c r="CS387" s="545"/>
      <c r="CT387" s="545"/>
      <c r="CU387" s="545"/>
      <c r="CV387" s="545"/>
      <c r="CW387" s="545"/>
      <c r="CX387" s="545"/>
      <c r="CY387" s="545"/>
      <c r="CZ387" s="546"/>
      <c r="DA387" s="214"/>
    </row>
    <row r="388" spans="1:105" s="16" customFormat="1" ht="15" hidden="1" customHeight="1" x14ac:dyDescent="0.3">
      <c r="A388" s="553" t="s">
        <v>56</v>
      </c>
      <c r="B388" s="554"/>
      <c r="C388" s="554"/>
      <c r="D388" s="554"/>
      <c r="E388" s="554"/>
      <c r="F388" s="554"/>
      <c r="G388" s="554"/>
      <c r="H388" s="554"/>
      <c r="I388" s="554"/>
      <c r="J388" s="554"/>
      <c r="K388" s="554"/>
      <c r="L388" s="554"/>
      <c r="M388" s="554"/>
      <c r="N388" s="554"/>
      <c r="O388" s="554"/>
      <c r="P388" s="554"/>
      <c r="Q388" s="554"/>
      <c r="R388" s="554"/>
      <c r="S388" s="554"/>
      <c r="T388" s="554"/>
      <c r="U388" s="554"/>
      <c r="V388" s="554"/>
      <c r="W388" s="554"/>
      <c r="X388" s="554"/>
      <c r="Y388" s="554"/>
      <c r="Z388" s="554"/>
      <c r="AA388" s="554"/>
      <c r="AB388" s="554"/>
      <c r="AC388" s="554"/>
      <c r="AD388" s="554"/>
      <c r="AE388" s="554"/>
      <c r="AF388" s="554"/>
      <c r="AG388" s="554"/>
      <c r="AH388" s="554"/>
      <c r="AI388" s="554"/>
      <c r="AJ388" s="554"/>
      <c r="AK388" s="554"/>
      <c r="AL388" s="554"/>
      <c r="AM388" s="554"/>
      <c r="AN388" s="555"/>
      <c r="AO388" s="544" t="s">
        <v>4</v>
      </c>
      <c r="AP388" s="545"/>
      <c r="AQ388" s="545"/>
      <c r="AR388" s="545"/>
      <c r="AS388" s="545"/>
      <c r="AT388" s="545"/>
      <c r="AU388" s="545"/>
      <c r="AV388" s="545"/>
      <c r="AW388" s="545"/>
      <c r="AX388" s="545"/>
      <c r="AY388" s="545"/>
      <c r="AZ388" s="545"/>
      <c r="BA388" s="545"/>
      <c r="BB388" s="545"/>
      <c r="BC388" s="545"/>
      <c r="BD388" s="546"/>
      <c r="BE388" s="544" t="s">
        <v>4</v>
      </c>
      <c r="BF388" s="545"/>
      <c r="BG388" s="545"/>
      <c r="BH388" s="545"/>
      <c r="BI388" s="545"/>
      <c r="BJ388" s="545"/>
      <c r="BK388" s="545"/>
      <c r="BL388" s="545"/>
      <c r="BM388" s="545"/>
      <c r="BN388" s="545"/>
      <c r="BO388" s="545"/>
      <c r="BP388" s="545"/>
      <c r="BQ388" s="545"/>
      <c r="BR388" s="545"/>
      <c r="BS388" s="545"/>
      <c r="BT388" s="546"/>
      <c r="BU388" s="544" t="s">
        <v>4</v>
      </c>
      <c r="BV388" s="545"/>
      <c r="BW388" s="545"/>
      <c r="BX388" s="545"/>
      <c r="BY388" s="545"/>
      <c r="BZ388" s="545"/>
      <c r="CA388" s="545"/>
      <c r="CB388" s="545"/>
      <c r="CC388" s="545"/>
      <c r="CD388" s="545"/>
      <c r="CE388" s="545"/>
      <c r="CF388" s="545"/>
      <c r="CG388" s="545"/>
      <c r="CH388" s="545"/>
      <c r="CI388" s="545"/>
      <c r="CJ388" s="546"/>
      <c r="CK388" s="636">
        <f>CK384</f>
        <v>0</v>
      </c>
      <c r="CL388" s="637"/>
      <c r="CM388" s="637"/>
      <c r="CN388" s="637"/>
      <c r="CO388" s="637"/>
      <c r="CP388" s="637"/>
      <c r="CQ388" s="637"/>
      <c r="CR388" s="637"/>
      <c r="CS388" s="637"/>
      <c r="CT388" s="637"/>
      <c r="CU388" s="637"/>
      <c r="CV388" s="637"/>
      <c r="CW388" s="637"/>
      <c r="CX388" s="637"/>
      <c r="CY388" s="637"/>
      <c r="CZ388" s="638"/>
      <c r="DA388" s="220"/>
    </row>
    <row r="389" spans="1:105" s="16" customFormat="1" ht="15" hidden="1" customHeight="1" x14ac:dyDescent="0.3">
      <c r="A389" s="656" t="s">
        <v>591</v>
      </c>
      <c r="B389" s="657"/>
      <c r="C389" s="657"/>
      <c r="D389" s="657"/>
      <c r="E389" s="657"/>
      <c r="F389" s="657"/>
      <c r="G389" s="657"/>
      <c r="H389" s="657"/>
      <c r="I389" s="657"/>
      <c r="J389" s="657"/>
      <c r="K389" s="657"/>
      <c r="L389" s="657"/>
      <c r="M389" s="657"/>
      <c r="N389" s="657"/>
      <c r="O389" s="657"/>
      <c r="P389" s="657"/>
      <c r="Q389" s="657"/>
      <c r="R389" s="657"/>
      <c r="S389" s="657"/>
      <c r="T389" s="657"/>
      <c r="U389" s="657"/>
      <c r="V389" s="657"/>
      <c r="W389" s="657"/>
      <c r="X389" s="657"/>
      <c r="Y389" s="657"/>
      <c r="Z389" s="657"/>
      <c r="AA389" s="657"/>
      <c r="AB389" s="657"/>
      <c r="AC389" s="657"/>
      <c r="AD389" s="657"/>
      <c r="AE389" s="657"/>
      <c r="AF389" s="657"/>
      <c r="AG389" s="657"/>
      <c r="AH389" s="657"/>
      <c r="AI389" s="657"/>
      <c r="AJ389" s="657"/>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57"/>
      <c r="BQ389" s="657"/>
      <c r="BR389" s="657"/>
      <c r="BS389" s="657"/>
      <c r="BT389" s="657"/>
      <c r="BU389" s="657"/>
      <c r="BV389" s="657"/>
      <c r="BW389" s="657"/>
      <c r="BX389" s="657"/>
      <c r="BY389" s="657"/>
      <c r="BZ389" s="657"/>
      <c r="CA389" s="657"/>
      <c r="CB389" s="657"/>
      <c r="CC389" s="657"/>
      <c r="CD389" s="657"/>
      <c r="CE389" s="657"/>
      <c r="CF389" s="657"/>
      <c r="CG389" s="657"/>
      <c r="CH389" s="657"/>
      <c r="CI389" s="657"/>
      <c r="CJ389" s="657"/>
      <c r="CK389" s="657"/>
      <c r="CL389" s="657"/>
      <c r="CM389" s="657"/>
      <c r="CN389" s="657"/>
      <c r="CO389" s="657"/>
      <c r="CP389" s="657"/>
      <c r="CQ389" s="657"/>
      <c r="CR389" s="657"/>
      <c r="CS389" s="657"/>
      <c r="CT389" s="657"/>
      <c r="CU389" s="657"/>
      <c r="CV389" s="657"/>
      <c r="CW389" s="657"/>
      <c r="CX389" s="657"/>
      <c r="CY389" s="657"/>
      <c r="CZ389" s="658"/>
      <c r="DA389" s="220"/>
    </row>
    <row r="390" spans="1:105" s="16" customFormat="1" ht="15" hidden="1" customHeight="1" x14ac:dyDescent="0.3">
      <c r="A390" s="630"/>
      <c r="B390" s="631"/>
      <c r="C390" s="631"/>
      <c r="D390" s="631"/>
      <c r="E390" s="631"/>
      <c r="F390" s="631"/>
      <c r="G390" s="632"/>
      <c r="H390" s="584"/>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5"/>
      <c r="AL390" s="585"/>
      <c r="AM390" s="585"/>
      <c r="AN390" s="586"/>
      <c r="AO390" s="639"/>
      <c r="AP390" s="640"/>
      <c r="AQ390" s="640"/>
      <c r="AR390" s="640"/>
      <c r="AS390" s="640"/>
      <c r="AT390" s="640"/>
      <c r="AU390" s="640"/>
      <c r="AV390" s="640"/>
      <c r="AW390" s="640"/>
      <c r="AX390" s="640"/>
      <c r="AY390" s="640"/>
      <c r="AZ390" s="640"/>
      <c r="BA390" s="640"/>
      <c r="BB390" s="640"/>
      <c r="BC390" s="640"/>
      <c r="BD390" s="641"/>
      <c r="BE390" s="627"/>
      <c r="BF390" s="628"/>
      <c r="BG390" s="628"/>
      <c r="BH390" s="628"/>
      <c r="BI390" s="628"/>
      <c r="BJ390" s="628"/>
      <c r="BK390" s="628"/>
      <c r="BL390" s="628"/>
      <c r="BM390" s="628"/>
      <c r="BN390" s="628"/>
      <c r="BO390" s="628"/>
      <c r="BP390" s="628"/>
      <c r="BQ390" s="628"/>
      <c r="BR390" s="628"/>
      <c r="BS390" s="628"/>
      <c r="BT390" s="629"/>
      <c r="BU390" s="696"/>
      <c r="BV390" s="697"/>
      <c r="BW390" s="697"/>
      <c r="BX390" s="697"/>
      <c r="BY390" s="697"/>
      <c r="BZ390" s="697"/>
      <c r="CA390" s="697"/>
      <c r="CB390" s="697"/>
      <c r="CC390" s="697"/>
      <c r="CD390" s="697"/>
      <c r="CE390" s="697"/>
      <c r="CF390" s="697"/>
      <c r="CG390" s="697"/>
      <c r="CH390" s="697"/>
      <c r="CI390" s="697"/>
      <c r="CJ390" s="698"/>
      <c r="CK390" s="627"/>
      <c r="CL390" s="628"/>
      <c r="CM390" s="628"/>
      <c r="CN390" s="628"/>
      <c r="CO390" s="628"/>
      <c r="CP390" s="628"/>
      <c r="CQ390" s="628"/>
      <c r="CR390" s="628"/>
      <c r="CS390" s="628"/>
      <c r="CT390" s="628"/>
      <c r="CU390" s="628"/>
      <c r="CV390" s="628"/>
      <c r="CW390" s="628"/>
      <c r="CX390" s="628"/>
      <c r="CY390" s="628"/>
      <c r="CZ390" s="629"/>
      <c r="DA390" s="214"/>
    </row>
    <row r="391" spans="1:105" s="16" customFormat="1" ht="15" hidden="1" customHeight="1" x14ac:dyDescent="0.3">
      <c r="A391" s="630"/>
      <c r="B391" s="631"/>
      <c r="C391" s="631"/>
      <c r="D391" s="631"/>
      <c r="E391" s="631"/>
      <c r="F391" s="631"/>
      <c r="G391" s="632"/>
      <c r="H391" s="584"/>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5"/>
      <c r="AL391" s="585"/>
      <c r="AM391" s="585"/>
      <c r="AN391" s="586"/>
      <c r="AO391" s="639"/>
      <c r="AP391" s="640"/>
      <c r="AQ391" s="640"/>
      <c r="AR391" s="640"/>
      <c r="AS391" s="640"/>
      <c r="AT391" s="640"/>
      <c r="AU391" s="640"/>
      <c r="AV391" s="640"/>
      <c r="AW391" s="640"/>
      <c r="AX391" s="640"/>
      <c r="AY391" s="640"/>
      <c r="AZ391" s="640"/>
      <c r="BA391" s="640"/>
      <c r="BB391" s="640"/>
      <c r="BC391" s="640"/>
      <c r="BD391" s="641"/>
      <c r="BE391" s="627"/>
      <c r="BF391" s="628"/>
      <c r="BG391" s="628"/>
      <c r="BH391" s="628"/>
      <c r="BI391" s="628"/>
      <c r="BJ391" s="628"/>
      <c r="BK391" s="628"/>
      <c r="BL391" s="628"/>
      <c r="BM391" s="628"/>
      <c r="BN391" s="628"/>
      <c r="BO391" s="628"/>
      <c r="BP391" s="628"/>
      <c r="BQ391" s="628"/>
      <c r="BR391" s="628"/>
      <c r="BS391" s="628"/>
      <c r="BT391" s="629"/>
      <c r="BU391" s="696"/>
      <c r="BV391" s="697"/>
      <c r="BW391" s="697"/>
      <c r="BX391" s="697"/>
      <c r="BY391" s="697"/>
      <c r="BZ391" s="697"/>
      <c r="CA391" s="697"/>
      <c r="CB391" s="697"/>
      <c r="CC391" s="697"/>
      <c r="CD391" s="697"/>
      <c r="CE391" s="697"/>
      <c r="CF391" s="697"/>
      <c r="CG391" s="697"/>
      <c r="CH391" s="697"/>
      <c r="CI391" s="697"/>
      <c r="CJ391" s="698"/>
      <c r="CK391" s="627"/>
      <c r="CL391" s="628"/>
      <c r="CM391" s="628"/>
      <c r="CN391" s="628"/>
      <c r="CO391" s="628"/>
      <c r="CP391" s="628"/>
      <c r="CQ391" s="628"/>
      <c r="CR391" s="628"/>
      <c r="CS391" s="628"/>
      <c r="CT391" s="628"/>
      <c r="CU391" s="628"/>
      <c r="CV391" s="628"/>
      <c r="CW391" s="628"/>
      <c r="CX391" s="628"/>
      <c r="CY391" s="628"/>
      <c r="CZ391" s="629"/>
      <c r="DA391" s="214"/>
    </row>
    <row r="392" spans="1:105" s="16" customFormat="1" ht="15" hidden="1" customHeight="1" x14ac:dyDescent="0.3">
      <c r="A392" s="630"/>
      <c r="B392" s="631"/>
      <c r="C392" s="631"/>
      <c r="D392" s="631"/>
      <c r="E392" s="631"/>
      <c r="F392" s="631"/>
      <c r="G392" s="632"/>
      <c r="H392" s="584"/>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5"/>
      <c r="AL392" s="585"/>
      <c r="AM392" s="585"/>
      <c r="AN392" s="586"/>
      <c r="AO392" s="639"/>
      <c r="AP392" s="640"/>
      <c r="AQ392" s="640"/>
      <c r="AR392" s="640"/>
      <c r="AS392" s="640"/>
      <c r="AT392" s="640"/>
      <c r="AU392" s="640"/>
      <c r="AV392" s="640"/>
      <c r="AW392" s="640"/>
      <c r="AX392" s="640"/>
      <c r="AY392" s="640"/>
      <c r="AZ392" s="640"/>
      <c r="BA392" s="640"/>
      <c r="BB392" s="640"/>
      <c r="BC392" s="640"/>
      <c r="BD392" s="641"/>
      <c r="BE392" s="627"/>
      <c r="BF392" s="628"/>
      <c r="BG392" s="628"/>
      <c r="BH392" s="628"/>
      <c r="BI392" s="628"/>
      <c r="BJ392" s="628"/>
      <c r="BK392" s="628"/>
      <c r="BL392" s="628"/>
      <c r="BM392" s="628"/>
      <c r="BN392" s="628"/>
      <c r="BO392" s="628"/>
      <c r="BP392" s="628"/>
      <c r="BQ392" s="628"/>
      <c r="BR392" s="628"/>
      <c r="BS392" s="628"/>
      <c r="BT392" s="629"/>
      <c r="BU392" s="696"/>
      <c r="BV392" s="697"/>
      <c r="BW392" s="697"/>
      <c r="BX392" s="697"/>
      <c r="BY392" s="697"/>
      <c r="BZ392" s="697"/>
      <c r="CA392" s="697"/>
      <c r="CB392" s="697"/>
      <c r="CC392" s="697"/>
      <c r="CD392" s="697"/>
      <c r="CE392" s="697"/>
      <c r="CF392" s="697"/>
      <c r="CG392" s="697"/>
      <c r="CH392" s="697"/>
      <c r="CI392" s="697"/>
      <c r="CJ392" s="698"/>
      <c r="CK392" s="627"/>
      <c r="CL392" s="628"/>
      <c r="CM392" s="628"/>
      <c r="CN392" s="628"/>
      <c r="CO392" s="628"/>
      <c r="CP392" s="628"/>
      <c r="CQ392" s="628"/>
      <c r="CR392" s="628"/>
      <c r="CS392" s="628"/>
      <c r="CT392" s="628"/>
      <c r="CU392" s="628"/>
      <c r="CV392" s="628"/>
      <c r="CW392" s="628"/>
      <c r="CX392" s="628"/>
      <c r="CY392" s="628"/>
      <c r="CZ392" s="629"/>
      <c r="DA392" s="214"/>
    </row>
    <row r="393" spans="1:105" s="16" customFormat="1" ht="15" hidden="1" customHeight="1" x14ac:dyDescent="0.3">
      <c r="A393" s="553" t="s">
        <v>292</v>
      </c>
      <c r="B393" s="554"/>
      <c r="C393" s="554"/>
      <c r="D393" s="554"/>
      <c r="E393" s="554"/>
      <c r="F393" s="554"/>
      <c r="G393" s="554"/>
      <c r="H393" s="554"/>
      <c r="I393" s="554"/>
      <c r="J393" s="554"/>
      <c r="K393" s="554"/>
      <c r="L393" s="554"/>
      <c r="M393" s="554"/>
      <c r="N393" s="554"/>
      <c r="O393" s="554"/>
      <c r="P393" s="554"/>
      <c r="Q393" s="554"/>
      <c r="R393" s="554"/>
      <c r="S393" s="554"/>
      <c r="T393" s="554"/>
      <c r="U393" s="554"/>
      <c r="V393" s="554"/>
      <c r="W393" s="554"/>
      <c r="X393" s="554"/>
      <c r="Y393" s="554"/>
      <c r="Z393" s="554"/>
      <c r="AA393" s="554"/>
      <c r="AB393" s="554"/>
      <c r="AC393" s="554"/>
      <c r="AD393" s="554"/>
      <c r="AE393" s="554"/>
      <c r="AF393" s="554"/>
      <c r="AG393" s="554"/>
      <c r="AH393" s="554"/>
      <c r="AI393" s="554"/>
      <c r="AJ393" s="554"/>
      <c r="AK393" s="554"/>
      <c r="AL393" s="554"/>
      <c r="AM393" s="554"/>
      <c r="AN393" s="555"/>
      <c r="AO393" s="544" t="s">
        <v>4</v>
      </c>
      <c r="AP393" s="545"/>
      <c r="AQ393" s="545"/>
      <c r="AR393" s="545"/>
      <c r="AS393" s="545"/>
      <c r="AT393" s="545"/>
      <c r="AU393" s="545"/>
      <c r="AV393" s="545"/>
      <c r="AW393" s="545"/>
      <c r="AX393" s="545"/>
      <c r="AY393" s="545"/>
      <c r="AZ393" s="545"/>
      <c r="BA393" s="545"/>
      <c r="BB393" s="545"/>
      <c r="BC393" s="545"/>
      <c r="BD393" s="546"/>
      <c r="BE393" s="544" t="s">
        <v>4</v>
      </c>
      <c r="BF393" s="545"/>
      <c r="BG393" s="545"/>
      <c r="BH393" s="545"/>
      <c r="BI393" s="545"/>
      <c r="BJ393" s="545"/>
      <c r="BK393" s="545"/>
      <c r="BL393" s="545"/>
      <c r="BM393" s="545"/>
      <c r="BN393" s="545"/>
      <c r="BO393" s="545"/>
      <c r="BP393" s="545"/>
      <c r="BQ393" s="545"/>
      <c r="BR393" s="545"/>
      <c r="BS393" s="545"/>
      <c r="BT393" s="546"/>
      <c r="BU393" s="544" t="s">
        <v>4</v>
      </c>
      <c r="BV393" s="545"/>
      <c r="BW393" s="545"/>
      <c r="BX393" s="545"/>
      <c r="BY393" s="545"/>
      <c r="BZ393" s="545"/>
      <c r="CA393" s="545"/>
      <c r="CB393" s="545"/>
      <c r="CC393" s="545"/>
      <c r="CD393" s="545"/>
      <c r="CE393" s="545"/>
      <c r="CF393" s="545"/>
      <c r="CG393" s="545"/>
      <c r="CH393" s="545"/>
      <c r="CI393" s="545"/>
      <c r="CJ393" s="546"/>
      <c r="CK393" s="636">
        <f>SUM(CK390:CK392)</f>
        <v>0</v>
      </c>
      <c r="CL393" s="654"/>
      <c r="CM393" s="654"/>
      <c r="CN393" s="654"/>
      <c r="CO393" s="654"/>
      <c r="CP393" s="654"/>
      <c r="CQ393" s="654"/>
      <c r="CR393" s="654"/>
      <c r="CS393" s="654"/>
      <c r="CT393" s="654"/>
      <c r="CU393" s="654"/>
      <c r="CV393" s="654"/>
      <c r="CW393" s="654"/>
      <c r="CX393" s="654"/>
      <c r="CY393" s="654"/>
      <c r="CZ393" s="655"/>
      <c r="DA393" s="214"/>
    </row>
    <row r="394" spans="1:105" s="16" customFormat="1" ht="15" hidden="1" customHeight="1" x14ac:dyDescent="0.3">
      <c r="A394" s="553" t="s">
        <v>56</v>
      </c>
      <c r="B394" s="554"/>
      <c r="C394" s="554"/>
      <c r="D394" s="554"/>
      <c r="E394" s="554"/>
      <c r="F394" s="554"/>
      <c r="G394" s="554"/>
      <c r="H394" s="554"/>
      <c r="I394" s="554"/>
      <c r="J394" s="554"/>
      <c r="K394" s="554"/>
      <c r="L394" s="554"/>
      <c r="M394" s="554"/>
      <c r="N394" s="554"/>
      <c r="O394" s="554"/>
      <c r="P394" s="554"/>
      <c r="Q394" s="554"/>
      <c r="R394" s="554"/>
      <c r="S394" s="554"/>
      <c r="T394" s="554"/>
      <c r="U394" s="554"/>
      <c r="V394" s="554"/>
      <c r="W394" s="554"/>
      <c r="X394" s="554"/>
      <c r="Y394" s="554"/>
      <c r="Z394" s="554"/>
      <c r="AA394" s="554"/>
      <c r="AB394" s="554"/>
      <c r="AC394" s="554"/>
      <c r="AD394" s="554"/>
      <c r="AE394" s="554"/>
      <c r="AF394" s="554"/>
      <c r="AG394" s="554"/>
      <c r="AH394" s="554"/>
      <c r="AI394" s="554"/>
      <c r="AJ394" s="554"/>
      <c r="AK394" s="554"/>
      <c r="AL394" s="554"/>
      <c r="AM394" s="554"/>
      <c r="AN394" s="555"/>
      <c r="AO394" s="544" t="s">
        <v>4</v>
      </c>
      <c r="AP394" s="545"/>
      <c r="AQ394" s="545"/>
      <c r="AR394" s="545"/>
      <c r="AS394" s="545"/>
      <c r="AT394" s="545"/>
      <c r="AU394" s="545"/>
      <c r="AV394" s="545"/>
      <c r="AW394" s="545"/>
      <c r="AX394" s="545"/>
      <c r="AY394" s="545"/>
      <c r="AZ394" s="545"/>
      <c r="BA394" s="545"/>
      <c r="BB394" s="545"/>
      <c r="BC394" s="545"/>
      <c r="BD394" s="546"/>
      <c r="BE394" s="544" t="s">
        <v>4</v>
      </c>
      <c r="BF394" s="545"/>
      <c r="BG394" s="545"/>
      <c r="BH394" s="545"/>
      <c r="BI394" s="545"/>
      <c r="BJ394" s="545"/>
      <c r="BK394" s="545"/>
      <c r="BL394" s="545"/>
      <c r="BM394" s="545"/>
      <c r="BN394" s="545"/>
      <c r="BO394" s="545"/>
      <c r="BP394" s="545"/>
      <c r="BQ394" s="545"/>
      <c r="BR394" s="545"/>
      <c r="BS394" s="545"/>
      <c r="BT394" s="546"/>
      <c r="BU394" s="544" t="s">
        <v>4</v>
      </c>
      <c r="BV394" s="545"/>
      <c r="BW394" s="545"/>
      <c r="BX394" s="545"/>
      <c r="BY394" s="545"/>
      <c r="BZ394" s="545"/>
      <c r="CA394" s="545"/>
      <c r="CB394" s="545"/>
      <c r="CC394" s="545"/>
      <c r="CD394" s="545"/>
      <c r="CE394" s="545"/>
      <c r="CF394" s="545"/>
      <c r="CG394" s="545"/>
      <c r="CH394" s="545"/>
      <c r="CI394" s="545"/>
      <c r="CJ394" s="546"/>
      <c r="CK394" s="636">
        <f>CK388+CK393</f>
        <v>0</v>
      </c>
      <c r="CL394" s="637"/>
      <c r="CM394" s="637"/>
      <c r="CN394" s="637"/>
      <c r="CO394" s="637"/>
      <c r="CP394" s="637"/>
      <c r="CQ394" s="637"/>
      <c r="CR394" s="637"/>
      <c r="CS394" s="637"/>
      <c r="CT394" s="637"/>
      <c r="CU394" s="637"/>
      <c r="CV394" s="637"/>
      <c r="CW394" s="637"/>
      <c r="CX394" s="637"/>
      <c r="CY394" s="637"/>
      <c r="CZ394" s="638"/>
      <c r="DA394" s="214"/>
    </row>
    <row r="395" spans="1:105" s="16" customFormat="1" ht="15" hidden="1"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0"/>
    </row>
    <row r="396" spans="1:105" s="16" customFormat="1" ht="15" customHeight="1" x14ac:dyDescent="0.25">
      <c r="A396" s="594" t="s">
        <v>364</v>
      </c>
      <c r="B396" s="594"/>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4"/>
      <c r="AL396" s="594"/>
      <c r="AM396" s="594"/>
      <c r="AN396" s="594"/>
      <c r="AO396" s="594"/>
      <c r="AP396" s="594"/>
      <c r="AQ396" s="594"/>
      <c r="AR396" s="594"/>
      <c r="AS396" s="594"/>
      <c r="AT396" s="594"/>
      <c r="AU396" s="594"/>
      <c r="AV396" s="594"/>
      <c r="AW396" s="594"/>
      <c r="AX396" s="594"/>
      <c r="AY396" s="594"/>
      <c r="AZ396" s="594"/>
      <c r="BA396" s="594"/>
      <c r="BB396" s="594"/>
      <c r="BC396" s="594"/>
      <c r="BD396" s="594"/>
      <c r="BE396" s="594"/>
      <c r="BF396" s="594"/>
      <c r="BG396" s="594"/>
      <c r="BH396" s="594"/>
      <c r="BI396" s="594"/>
      <c r="BJ396" s="594"/>
      <c r="BK396" s="594"/>
      <c r="BL396" s="594"/>
      <c r="BM396" s="594"/>
      <c r="BN396" s="594"/>
      <c r="BO396" s="594"/>
      <c r="BP396" s="594"/>
      <c r="BQ396" s="594"/>
      <c r="BR396" s="594"/>
      <c r="BS396" s="594"/>
      <c r="BT396" s="594"/>
      <c r="BU396" s="594"/>
      <c r="BV396" s="594"/>
      <c r="BW396" s="594"/>
      <c r="BX396" s="594"/>
      <c r="BY396" s="594"/>
      <c r="BZ396" s="594"/>
      <c r="CA396" s="594"/>
      <c r="CB396" s="594"/>
      <c r="CC396" s="594"/>
      <c r="CD396" s="594"/>
      <c r="CE396" s="594"/>
      <c r="CF396" s="594"/>
      <c r="CG396" s="594"/>
      <c r="CH396" s="594"/>
      <c r="CI396" s="594"/>
      <c r="CJ396" s="594"/>
      <c r="CK396" s="594"/>
      <c r="CL396" s="594"/>
      <c r="CM396" s="594"/>
      <c r="CN396" s="594"/>
      <c r="CO396" s="594"/>
      <c r="CP396" s="594"/>
      <c r="CQ396" s="594"/>
      <c r="CR396" s="594"/>
      <c r="CS396" s="594"/>
      <c r="CT396" s="594"/>
      <c r="CU396" s="594"/>
      <c r="CV396" s="594"/>
      <c r="CW396" s="594"/>
      <c r="CX396" s="594"/>
      <c r="CY396" s="594"/>
      <c r="CZ396" s="594"/>
      <c r="DA396" s="220"/>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4"/>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95" t="s">
        <v>603</v>
      </c>
      <c r="X398" s="595"/>
      <c r="Y398" s="595"/>
      <c r="Z398" s="595"/>
      <c r="AA398" s="595"/>
      <c r="AB398" s="595"/>
      <c r="AC398" s="595"/>
      <c r="AD398" s="595"/>
      <c r="AE398" s="595"/>
      <c r="AF398" s="595"/>
      <c r="AG398" s="595"/>
      <c r="AH398" s="595"/>
      <c r="AI398" s="595"/>
      <c r="AJ398" s="595"/>
      <c r="AK398" s="595"/>
      <c r="AL398" s="595"/>
      <c r="AM398" s="595"/>
      <c r="AN398" s="595"/>
      <c r="AO398" s="595"/>
      <c r="AP398" s="595"/>
      <c r="AQ398" s="595"/>
      <c r="AR398" s="595"/>
      <c r="AS398" s="595"/>
      <c r="AT398" s="595"/>
      <c r="AU398" s="595"/>
      <c r="AV398" s="595"/>
      <c r="AW398" s="595"/>
      <c r="AX398" s="595"/>
      <c r="AY398" s="595"/>
      <c r="AZ398" s="595"/>
      <c r="BA398" s="595"/>
      <c r="BB398" s="595"/>
      <c r="BC398" s="595"/>
      <c r="BD398" s="595"/>
      <c r="BE398" s="595"/>
      <c r="BF398" s="595"/>
      <c r="BG398" s="595"/>
      <c r="BH398" s="595"/>
      <c r="BI398" s="595"/>
      <c r="BJ398" s="595"/>
      <c r="BK398" s="595"/>
      <c r="BL398" s="595"/>
      <c r="BM398" s="595"/>
      <c r="BN398" s="595"/>
      <c r="BO398" s="595"/>
      <c r="BP398" s="595"/>
      <c r="BQ398" s="595"/>
      <c r="BR398" s="595"/>
      <c r="BS398" s="595"/>
      <c r="BT398" s="595"/>
      <c r="BU398" s="595"/>
      <c r="BV398" s="595"/>
      <c r="BW398" s="595"/>
      <c r="BX398" s="595"/>
      <c r="BY398" s="595"/>
      <c r="BZ398" s="595"/>
      <c r="CA398" s="595"/>
      <c r="CB398" s="595"/>
      <c r="CC398" s="595"/>
      <c r="CD398" s="595"/>
      <c r="CE398" s="595"/>
      <c r="CF398" s="595"/>
      <c r="CG398" s="595"/>
      <c r="CH398" s="595"/>
      <c r="CI398" s="595"/>
      <c r="CJ398" s="595"/>
      <c r="CK398" s="595"/>
      <c r="CL398" s="595"/>
      <c r="CM398" s="595"/>
      <c r="CN398" s="595"/>
      <c r="CO398" s="595"/>
      <c r="CP398" s="595"/>
      <c r="CQ398" s="595"/>
      <c r="CR398" s="595"/>
      <c r="CS398" s="595"/>
      <c r="CT398" s="595"/>
      <c r="CU398" s="595"/>
      <c r="CV398" s="595"/>
      <c r="CW398" s="595"/>
      <c r="CX398" s="595"/>
      <c r="CY398" s="595"/>
      <c r="CZ398" s="595"/>
      <c r="DA398" s="227">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4"/>
    </row>
    <row r="400" spans="1:105" s="16" customFormat="1" ht="41.25" customHeight="1" x14ac:dyDescent="0.3">
      <c r="A400" s="475" t="s">
        <v>49</v>
      </c>
      <c r="B400" s="476"/>
      <c r="C400" s="476"/>
      <c r="D400" s="476"/>
      <c r="E400" s="476"/>
      <c r="F400" s="476"/>
      <c r="G400" s="477"/>
      <c r="H400" s="475" t="s">
        <v>0</v>
      </c>
      <c r="I400" s="476"/>
      <c r="J400" s="476"/>
      <c r="K400" s="476"/>
      <c r="L400" s="476"/>
      <c r="M400" s="476"/>
      <c r="N400" s="476"/>
      <c r="O400" s="476"/>
      <c r="P400" s="476"/>
      <c r="Q400" s="476"/>
      <c r="R400" s="476"/>
      <c r="S400" s="476"/>
      <c r="T400" s="476"/>
      <c r="U400" s="476"/>
      <c r="V400" s="476"/>
      <c r="W400" s="476"/>
      <c r="X400" s="476"/>
      <c r="Y400" s="476"/>
      <c r="Z400" s="476"/>
      <c r="AA400" s="476"/>
      <c r="AB400" s="476"/>
      <c r="AC400" s="476"/>
      <c r="AD400" s="476"/>
      <c r="AE400" s="476"/>
      <c r="AF400" s="476"/>
      <c r="AG400" s="476"/>
      <c r="AH400" s="476"/>
      <c r="AI400" s="476"/>
      <c r="AJ400" s="476"/>
      <c r="AK400" s="476"/>
      <c r="AL400" s="476"/>
      <c r="AM400" s="476"/>
      <c r="AN400" s="477"/>
      <c r="AO400" s="475" t="s">
        <v>88</v>
      </c>
      <c r="AP400" s="476"/>
      <c r="AQ400" s="476"/>
      <c r="AR400" s="476"/>
      <c r="AS400" s="476"/>
      <c r="AT400" s="476"/>
      <c r="AU400" s="476"/>
      <c r="AV400" s="476"/>
      <c r="AW400" s="476"/>
      <c r="AX400" s="476"/>
      <c r="AY400" s="476"/>
      <c r="AZ400" s="476"/>
      <c r="BA400" s="476"/>
      <c r="BB400" s="476"/>
      <c r="BC400" s="476"/>
      <c r="BD400" s="477"/>
      <c r="BE400" s="475" t="s">
        <v>89</v>
      </c>
      <c r="BF400" s="476"/>
      <c r="BG400" s="476"/>
      <c r="BH400" s="476"/>
      <c r="BI400" s="476"/>
      <c r="BJ400" s="476"/>
      <c r="BK400" s="476"/>
      <c r="BL400" s="476"/>
      <c r="BM400" s="476"/>
      <c r="BN400" s="476"/>
      <c r="BO400" s="476"/>
      <c r="BP400" s="476"/>
      <c r="BQ400" s="476"/>
      <c r="BR400" s="476"/>
      <c r="BS400" s="476"/>
      <c r="BT400" s="477"/>
      <c r="BU400" s="475" t="s">
        <v>90</v>
      </c>
      <c r="BV400" s="476"/>
      <c r="BW400" s="476"/>
      <c r="BX400" s="476"/>
      <c r="BY400" s="476"/>
      <c r="BZ400" s="476"/>
      <c r="CA400" s="476"/>
      <c r="CB400" s="476"/>
      <c r="CC400" s="476"/>
      <c r="CD400" s="476"/>
      <c r="CE400" s="476"/>
      <c r="CF400" s="476"/>
      <c r="CG400" s="476"/>
      <c r="CH400" s="476"/>
      <c r="CI400" s="476"/>
      <c r="CJ400" s="477"/>
      <c r="CK400" s="475" t="s">
        <v>98</v>
      </c>
      <c r="CL400" s="476"/>
      <c r="CM400" s="476"/>
      <c r="CN400" s="476"/>
      <c r="CO400" s="476"/>
      <c r="CP400" s="476"/>
      <c r="CQ400" s="476"/>
      <c r="CR400" s="476"/>
      <c r="CS400" s="476"/>
      <c r="CT400" s="476"/>
      <c r="CU400" s="476"/>
      <c r="CV400" s="476"/>
      <c r="CW400" s="476"/>
      <c r="CX400" s="476"/>
      <c r="CY400" s="476"/>
      <c r="CZ400" s="477"/>
      <c r="DA400" s="214"/>
    </row>
    <row r="401" spans="1:105" s="16" customFormat="1" ht="15" customHeight="1" x14ac:dyDescent="0.3">
      <c r="A401" s="591">
        <v>1</v>
      </c>
      <c r="B401" s="591"/>
      <c r="C401" s="591"/>
      <c r="D401" s="591"/>
      <c r="E401" s="591"/>
      <c r="F401" s="591"/>
      <c r="G401" s="591"/>
      <c r="H401" s="591">
        <v>2</v>
      </c>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1"/>
      <c r="AL401" s="591"/>
      <c r="AM401" s="591"/>
      <c r="AN401" s="591"/>
      <c r="AO401" s="591">
        <v>3</v>
      </c>
      <c r="AP401" s="591"/>
      <c r="AQ401" s="591"/>
      <c r="AR401" s="591"/>
      <c r="AS401" s="591"/>
      <c r="AT401" s="591"/>
      <c r="AU401" s="591"/>
      <c r="AV401" s="591"/>
      <c r="AW401" s="591"/>
      <c r="AX401" s="591"/>
      <c r="AY401" s="591"/>
      <c r="AZ401" s="591"/>
      <c r="BA401" s="591"/>
      <c r="BB401" s="591"/>
      <c r="BC401" s="591"/>
      <c r="BD401" s="591"/>
      <c r="BE401" s="591">
        <v>4</v>
      </c>
      <c r="BF401" s="591"/>
      <c r="BG401" s="591"/>
      <c r="BH401" s="591"/>
      <c r="BI401" s="591"/>
      <c r="BJ401" s="591"/>
      <c r="BK401" s="591"/>
      <c r="BL401" s="591"/>
      <c r="BM401" s="591"/>
      <c r="BN401" s="591"/>
      <c r="BO401" s="591"/>
      <c r="BP401" s="591"/>
      <c r="BQ401" s="591"/>
      <c r="BR401" s="591"/>
      <c r="BS401" s="591"/>
      <c r="BT401" s="591"/>
      <c r="BU401" s="591">
        <v>5</v>
      </c>
      <c r="BV401" s="591"/>
      <c r="BW401" s="591"/>
      <c r="BX401" s="591"/>
      <c r="BY401" s="591"/>
      <c r="BZ401" s="591"/>
      <c r="CA401" s="591"/>
      <c r="CB401" s="591"/>
      <c r="CC401" s="591"/>
      <c r="CD401" s="591"/>
      <c r="CE401" s="591"/>
      <c r="CF401" s="591"/>
      <c r="CG401" s="591"/>
      <c r="CH401" s="591"/>
      <c r="CI401" s="591"/>
      <c r="CJ401" s="591"/>
      <c r="CK401" s="591">
        <v>6</v>
      </c>
      <c r="CL401" s="591"/>
      <c r="CM401" s="591"/>
      <c r="CN401" s="591"/>
      <c r="CO401" s="591"/>
      <c r="CP401" s="591"/>
      <c r="CQ401" s="591"/>
      <c r="CR401" s="591"/>
      <c r="CS401" s="591"/>
      <c r="CT401" s="591"/>
      <c r="CU401" s="591"/>
      <c r="CV401" s="591"/>
      <c r="CW401" s="591"/>
      <c r="CX401" s="591"/>
      <c r="CY401" s="591"/>
      <c r="CZ401" s="591"/>
      <c r="DA401" s="214"/>
    </row>
    <row r="402" spans="1:105" s="16" customFormat="1" ht="15" customHeight="1" x14ac:dyDescent="0.3">
      <c r="A402" s="656" t="s">
        <v>604</v>
      </c>
      <c r="B402" s="657"/>
      <c r="C402" s="657"/>
      <c r="D402" s="657"/>
      <c r="E402" s="657"/>
      <c r="F402" s="657"/>
      <c r="G402" s="657"/>
      <c r="H402" s="657"/>
      <c r="I402" s="657"/>
      <c r="J402" s="657"/>
      <c r="K402" s="657"/>
      <c r="L402" s="657"/>
      <c r="M402" s="657"/>
      <c r="N402" s="657"/>
      <c r="O402" s="657"/>
      <c r="P402" s="657"/>
      <c r="Q402" s="657"/>
      <c r="R402" s="657"/>
      <c r="S402" s="657"/>
      <c r="T402" s="657"/>
      <c r="U402" s="657"/>
      <c r="V402" s="657"/>
      <c r="W402" s="657"/>
      <c r="X402" s="657"/>
      <c r="Y402" s="657"/>
      <c r="Z402" s="657"/>
      <c r="AA402" s="657"/>
      <c r="AB402" s="657"/>
      <c r="AC402" s="657"/>
      <c r="AD402" s="657"/>
      <c r="AE402" s="657"/>
      <c r="AF402" s="657"/>
      <c r="AG402" s="657"/>
      <c r="AH402" s="657"/>
      <c r="AI402" s="657"/>
      <c r="AJ402" s="657"/>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57"/>
      <c r="BQ402" s="657"/>
      <c r="BR402" s="657"/>
      <c r="BS402" s="657"/>
      <c r="BT402" s="657"/>
      <c r="BU402" s="657"/>
      <c r="BV402" s="657"/>
      <c r="BW402" s="657"/>
      <c r="BX402" s="657"/>
      <c r="BY402" s="657"/>
      <c r="BZ402" s="657"/>
      <c r="CA402" s="657"/>
      <c r="CB402" s="657"/>
      <c r="CC402" s="657"/>
      <c r="CD402" s="657"/>
      <c r="CE402" s="657"/>
      <c r="CF402" s="657"/>
      <c r="CG402" s="657"/>
      <c r="CH402" s="657"/>
      <c r="CI402" s="657"/>
      <c r="CJ402" s="657"/>
      <c r="CK402" s="657"/>
      <c r="CL402" s="657"/>
      <c r="CM402" s="657"/>
      <c r="CN402" s="657"/>
      <c r="CO402" s="657"/>
      <c r="CP402" s="657"/>
      <c r="CQ402" s="657"/>
      <c r="CR402" s="657"/>
      <c r="CS402" s="657"/>
      <c r="CT402" s="657"/>
      <c r="CU402" s="657"/>
      <c r="CV402" s="657"/>
      <c r="CW402" s="657"/>
      <c r="CX402" s="657"/>
      <c r="CY402" s="657"/>
      <c r="CZ402" s="658"/>
      <c r="DA402" s="220"/>
    </row>
    <row r="403" spans="1:105" s="16" customFormat="1" ht="15" customHeight="1" x14ac:dyDescent="0.3">
      <c r="A403" s="630" t="s">
        <v>441</v>
      </c>
      <c r="B403" s="631"/>
      <c r="C403" s="631"/>
      <c r="D403" s="631"/>
      <c r="E403" s="631"/>
      <c r="F403" s="631"/>
      <c r="G403" s="632"/>
      <c r="H403" s="584" t="s">
        <v>593</v>
      </c>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5"/>
      <c r="AL403" s="585"/>
      <c r="AM403" s="585"/>
      <c r="AN403" s="586"/>
      <c r="AO403" s="627">
        <v>400</v>
      </c>
      <c r="AP403" s="628"/>
      <c r="AQ403" s="628"/>
      <c r="AR403" s="628"/>
      <c r="AS403" s="628"/>
      <c r="AT403" s="628"/>
      <c r="AU403" s="628"/>
      <c r="AV403" s="628"/>
      <c r="AW403" s="628"/>
      <c r="AX403" s="628"/>
      <c r="AY403" s="628"/>
      <c r="AZ403" s="628"/>
      <c r="BA403" s="628"/>
      <c r="BB403" s="628"/>
      <c r="BC403" s="628"/>
      <c r="BD403" s="629"/>
      <c r="BE403" s="693">
        <v>3857.35</v>
      </c>
      <c r="BF403" s="694"/>
      <c r="BG403" s="694"/>
      <c r="BH403" s="694"/>
      <c r="BI403" s="694"/>
      <c r="BJ403" s="694"/>
      <c r="BK403" s="694"/>
      <c r="BL403" s="694"/>
      <c r="BM403" s="694"/>
      <c r="BN403" s="694"/>
      <c r="BO403" s="694"/>
      <c r="BP403" s="694"/>
      <c r="BQ403" s="694"/>
      <c r="BR403" s="694"/>
      <c r="BS403" s="694"/>
      <c r="BT403" s="695"/>
      <c r="BU403" s="696">
        <v>0.04</v>
      </c>
      <c r="BV403" s="697"/>
      <c r="BW403" s="697"/>
      <c r="BX403" s="697"/>
      <c r="BY403" s="697"/>
      <c r="BZ403" s="697"/>
      <c r="CA403" s="697"/>
      <c r="CB403" s="697"/>
      <c r="CC403" s="697"/>
      <c r="CD403" s="697"/>
      <c r="CE403" s="697"/>
      <c r="CF403" s="697"/>
      <c r="CG403" s="697"/>
      <c r="CH403" s="697"/>
      <c r="CI403" s="697"/>
      <c r="CJ403" s="698"/>
      <c r="CK403" s="627">
        <f>ROUND(AO403*BE403*BU403+(AO403*BE403),2)</f>
        <v>1604657.6</v>
      </c>
      <c r="CL403" s="628"/>
      <c r="CM403" s="628"/>
      <c r="CN403" s="628"/>
      <c r="CO403" s="628"/>
      <c r="CP403" s="628"/>
      <c r="CQ403" s="628"/>
      <c r="CR403" s="628"/>
      <c r="CS403" s="628"/>
      <c r="CT403" s="628"/>
      <c r="CU403" s="628"/>
      <c r="CV403" s="628"/>
      <c r="CW403" s="628"/>
      <c r="CX403" s="628"/>
      <c r="CY403" s="628"/>
      <c r="CZ403" s="629"/>
      <c r="DA403" s="220"/>
    </row>
    <row r="404" spans="1:105" s="16" customFormat="1" ht="15" customHeight="1" x14ac:dyDescent="0.3">
      <c r="A404" s="630" t="s">
        <v>444</v>
      </c>
      <c r="B404" s="631"/>
      <c r="C404" s="631"/>
      <c r="D404" s="631"/>
      <c r="E404" s="631"/>
      <c r="F404" s="631"/>
      <c r="G404" s="632"/>
      <c r="H404" s="584" t="s">
        <v>595</v>
      </c>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5"/>
      <c r="AL404" s="585"/>
      <c r="AM404" s="585"/>
      <c r="AN404" s="586"/>
      <c r="AO404" s="627">
        <v>140</v>
      </c>
      <c r="AP404" s="628"/>
      <c r="AQ404" s="628"/>
      <c r="AR404" s="628"/>
      <c r="AS404" s="628"/>
      <c r="AT404" s="628"/>
      <c r="AU404" s="628"/>
      <c r="AV404" s="628"/>
      <c r="AW404" s="628"/>
      <c r="AX404" s="628"/>
      <c r="AY404" s="628"/>
      <c r="AZ404" s="628"/>
      <c r="BA404" s="628"/>
      <c r="BB404" s="628"/>
      <c r="BC404" s="628"/>
      <c r="BD404" s="629"/>
      <c r="BE404" s="693">
        <v>25.52</v>
      </c>
      <c r="BF404" s="694"/>
      <c r="BG404" s="694"/>
      <c r="BH404" s="694"/>
      <c r="BI404" s="694"/>
      <c r="BJ404" s="694"/>
      <c r="BK404" s="694"/>
      <c r="BL404" s="694"/>
      <c r="BM404" s="694"/>
      <c r="BN404" s="694"/>
      <c r="BO404" s="694"/>
      <c r="BP404" s="694"/>
      <c r="BQ404" s="694"/>
      <c r="BR404" s="694"/>
      <c r="BS404" s="694"/>
      <c r="BT404" s="695"/>
      <c r="BU404" s="696">
        <v>0.04</v>
      </c>
      <c r="BV404" s="697"/>
      <c r="BW404" s="697"/>
      <c r="BX404" s="697"/>
      <c r="BY404" s="697"/>
      <c r="BZ404" s="697"/>
      <c r="CA404" s="697"/>
      <c r="CB404" s="697"/>
      <c r="CC404" s="697"/>
      <c r="CD404" s="697"/>
      <c r="CE404" s="697"/>
      <c r="CF404" s="697"/>
      <c r="CG404" s="697"/>
      <c r="CH404" s="697"/>
      <c r="CI404" s="697"/>
      <c r="CJ404" s="698"/>
      <c r="CK404" s="627">
        <f>ROUND(AO404*BE404*BU404+(AO404*BE404),2)+1.77</f>
        <v>3717.48</v>
      </c>
      <c r="CL404" s="628"/>
      <c r="CM404" s="628"/>
      <c r="CN404" s="628"/>
      <c r="CO404" s="628"/>
      <c r="CP404" s="628"/>
      <c r="CQ404" s="628"/>
      <c r="CR404" s="628"/>
      <c r="CS404" s="628"/>
      <c r="CT404" s="628"/>
      <c r="CU404" s="628"/>
      <c r="CV404" s="628"/>
      <c r="CW404" s="628"/>
      <c r="CX404" s="628"/>
      <c r="CY404" s="628"/>
      <c r="CZ404" s="629"/>
      <c r="DA404" s="220"/>
    </row>
    <row r="405" spans="1:105" s="16" customFormat="1" ht="15" customHeight="1" x14ac:dyDescent="0.3">
      <c r="A405" s="630" t="s">
        <v>446</v>
      </c>
      <c r="B405" s="631"/>
      <c r="C405" s="631"/>
      <c r="D405" s="631"/>
      <c r="E405" s="631"/>
      <c r="F405" s="631"/>
      <c r="G405" s="632"/>
      <c r="H405" s="584" t="s">
        <v>605</v>
      </c>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5"/>
      <c r="AL405" s="585"/>
      <c r="AM405" s="585"/>
      <c r="AN405" s="586"/>
      <c r="AO405" s="627">
        <v>30000</v>
      </c>
      <c r="AP405" s="628"/>
      <c r="AQ405" s="628"/>
      <c r="AR405" s="628"/>
      <c r="AS405" s="628"/>
      <c r="AT405" s="628"/>
      <c r="AU405" s="628"/>
      <c r="AV405" s="628"/>
      <c r="AW405" s="628"/>
      <c r="AX405" s="628"/>
      <c r="AY405" s="628"/>
      <c r="AZ405" s="628"/>
      <c r="BA405" s="628"/>
      <c r="BB405" s="628"/>
      <c r="BC405" s="628"/>
      <c r="BD405" s="629"/>
      <c r="BE405" s="693">
        <v>8.07</v>
      </c>
      <c r="BF405" s="694"/>
      <c r="BG405" s="694"/>
      <c r="BH405" s="694"/>
      <c r="BI405" s="694"/>
      <c r="BJ405" s="694"/>
      <c r="BK405" s="694"/>
      <c r="BL405" s="694"/>
      <c r="BM405" s="694"/>
      <c r="BN405" s="694"/>
      <c r="BO405" s="694"/>
      <c r="BP405" s="694"/>
      <c r="BQ405" s="694"/>
      <c r="BR405" s="694"/>
      <c r="BS405" s="694"/>
      <c r="BT405" s="695"/>
      <c r="BU405" s="696">
        <v>0.04</v>
      </c>
      <c r="BV405" s="697"/>
      <c r="BW405" s="697"/>
      <c r="BX405" s="697"/>
      <c r="BY405" s="697"/>
      <c r="BZ405" s="697"/>
      <c r="CA405" s="697"/>
      <c r="CB405" s="697"/>
      <c r="CC405" s="697"/>
      <c r="CD405" s="697"/>
      <c r="CE405" s="697"/>
      <c r="CF405" s="697"/>
      <c r="CG405" s="697"/>
      <c r="CH405" s="697"/>
      <c r="CI405" s="697"/>
      <c r="CJ405" s="698"/>
      <c r="CK405" s="627">
        <f>ROUND(AO405*BE405*BU405+(AO405*BE405),2)</f>
        <v>251784</v>
      </c>
      <c r="CL405" s="628"/>
      <c r="CM405" s="628"/>
      <c r="CN405" s="628"/>
      <c r="CO405" s="628"/>
      <c r="CP405" s="628"/>
      <c r="CQ405" s="628"/>
      <c r="CR405" s="628"/>
      <c r="CS405" s="628"/>
      <c r="CT405" s="628"/>
      <c r="CU405" s="628"/>
      <c r="CV405" s="628"/>
      <c r="CW405" s="628"/>
      <c r="CX405" s="628"/>
      <c r="CY405" s="628"/>
      <c r="CZ405" s="629"/>
      <c r="DA405" s="214"/>
    </row>
    <row r="406" spans="1:105" s="16" customFormat="1" ht="23.25" customHeight="1" x14ac:dyDescent="0.3">
      <c r="A406" s="630" t="s">
        <v>551</v>
      </c>
      <c r="B406" s="631"/>
      <c r="C406" s="631"/>
      <c r="D406" s="631"/>
      <c r="E406" s="631"/>
      <c r="F406" s="631"/>
      <c r="G406" s="632"/>
      <c r="H406" s="584" t="s">
        <v>606</v>
      </c>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5"/>
      <c r="AL406" s="585"/>
      <c r="AM406" s="585"/>
      <c r="AN406" s="586"/>
      <c r="AO406" s="627">
        <f>CK406/BE406</f>
        <v>150.42693900324375</v>
      </c>
      <c r="AP406" s="628"/>
      <c r="AQ406" s="628"/>
      <c r="AR406" s="628"/>
      <c r="AS406" s="628"/>
      <c r="AT406" s="628"/>
      <c r="AU406" s="628"/>
      <c r="AV406" s="628"/>
      <c r="AW406" s="628"/>
      <c r="AX406" s="628"/>
      <c r="AY406" s="628"/>
      <c r="AZ406" s="628"/>
      <c r="BA406" s="628"/>
      <c r="BB406" s="628"/>
      <c r="BC406" s="628"/>
      <c r="BD406" s="629"/>
      <c r="BE406" s="693">
        <v>3656.26</v>
      </c>
      <c r="BF406" s="694"/>
      <c r="BG406" s="694"/>
      <c r="BH406" s="694"/>
      <c r="BI406" s="694"/>
      <c r="BJ406" s="694"/>
      <c r="BK406" s="694"/>
      <c r="BL406" s="694"/>
      <c r="BM406" s="694"/>
      <c r="BN406" s="694"/>
      <c r="BO406" s="694"/>
      <c r="BP406" s="694"/>
      <c r="BQ406" s="694"/>
      <c r="BR406" s="694"/>
      <c r="BS406" s="694"/>
      <c r="BT406" s="695"/>
      <c r="BU406" s="696"/>
      <c r="BV406" s="697"/>
      <c r="BW406" s="697"/>
      <c r="BX406" s="697"/>
      <c r="BY406" s="697"/>
      <c r="BZ406" s="697"/>
      <c r="CA406" s="697"/>
      <c r="CB406" s="697"/>
      <c r="CC406" s="697"/>
      <c r="CD406" s="697"/>
      <c r="CE406" s="697"/>
      <c r="CF406" s="697"/>
      <c r="CG406" s="697"/>
      <c r="CH406" s="697"/>
      <c r="CI406" s="697"/>
      <c r="CJ406" s="698"/>
      <c r="CK406" s="627">
        <v>550000</v>
      </c>
      <c r="CL406" s="628"/>
      <c r="CM406" s="628"/>
      <c r="CN406" s="628"/>
      <c r="CO406" s="628"/>
      <c r="CP406" s="628"/>
      <c r="CQ406" s="628"/>
      <c r="CR406" s="628"/>
      <c r="CS406" s="628"/>
      <c r="CT406" s="628"/>
      <c r="CU406" s="628"/>
      <c r="CV406" s="628"/>
      <c r="CW406" s="628"/>
      <c r="CX406" s="628"/>
      <c r="CY406" s="628"/>
      <c r="CZ406" s="629"/>
      <c r="DA406" s="220"/>
    </row>
    <row r="407" spans="1:105" s="16" customFormat="1" ht="15" customHeight="1" x14ac:dyDescent="0.3">
      <c r="A407" s="553" t="s">
        <v>292</v>
      </c>
      <c r="B407" s="554"/>
      <c r="C407" s="554"/>
      <c r="D407" s="554"/>
      <c r="E407" s="554"/>
      <c r="F407" s="554"/>
      <c r="G407" s="554"/>
      <c r="H407" s="554"/>
      <c r="I407" s="554"/>
      <c r="J407" s="554"/>
      <c r="K407" s="554"/>
      <c r="L407" s="554"/>
      <c r="M407" s="554"/>
      <c r="N407" s="554"/>
      <c r="O407" s="554"/>
      <c r="P407" s="554"/>
      <c r="Q407" s="554"/>
      <c r="R407" s="554"/>
      <c r="S407" s="554"/>
      <c r="T407" s="554"/>
      <c r="U407" s="554"/>
      <c r="V407" s="554"/>
      <c r="W407" s="554"/>
      <c r="X407" s="554"/>
      <c r="Y407" s="554"/>
      <c r="Z407" s="554"/>
      <c r="AA407" s="554"/>
      <c r="AB407" s="554"/>
      <c r="AC407" s="554"/>
      <c r="AD407" s="554"/>
      <c r="AE407" s="554"/>
      <c r="AF407" s="554"/>
      <c r="AG407" s="554"/>
      <c r="AH407" s="554"/>
      <c r="AI407" s="554"/>
      <c r="AJ407" s="554"/>
      <c r="AK407" s="554"/>
      <c r="AL407" s="554"/>
      <c r="AM407" s="554"/>
      <c r="AN407" s="555"/>
      <c r="AO407" s="544" t="s">
        <v>4</v>
      </c>
      <c r="AP407" s="545"/>
      <c r="AQ407" s="545"/>
      <c r="AR407" s="545"/>
      <c r="AS407" s="545"/>
      <c r="AT407" s="545"/>
      <c r="AU407" s="545"/>
      <c r="AV407" s="545"/>
      <c r="AW407" s="545"/>
      <c r="AX407" s="545"/>
      <c r="AY407" s="545"/>
      <c r="AZ407" s="545"/>
      <c r="BA407" s="545"/>
      <c r="BB407" s="545"/>
      <c r="BC407" s="545"/>
      <c r="BD407" s="546"/>
      <c r="BE407" s="544" t="s">
        <v>4</v>
      </c>
      <c r="BF407" s="545"/>
      <c r="BG407" s="545"/>
      <c r="BH407" s="545"/>
      <c r="BI407" s="545"/>
      <c r="BJ407" s="545"/>
      <c r="BK407" s="545"/>
      <c r="BL407" s="545"/>
      <c r="BM407" s="545"/>
      <c r="BN407" s="545"/>
      <c r="BO407" s="545"/>
      <c r="BP407" s="545"/>
      <c r="BQ407" s="545"/>
      <c r="BR407" s="545"/>
      <c r="BS407" s="545"/>
      <c r="BT407" s="546"/>
      <c r="BU407" s="544" t="s">
        <v>4</v>
      </c>
      <c r="BV407" s="545"/>
      <c r="BW407" s="545"/>
      <c r="BX407" s="545"/>
      <c r="BY407" s="545"/>
      <c r="BZ407" s="545"/>
      <c r="CA407" s="545"/>
      <c r="CB407" s="545"/>
      <c r="CC407" s="545"/>
      <c r="CD407" s="545"/>
      <c r="CE407" s="545"/>
      <c r="CF407" s="545"/>
      <c r="CG407" s="545"/>
      <c r="CH407" s="545"/>
      <c r="CI407" s="545"/>
      <c r="CJ407" s="546"/>
      <c r="CK407" s="636">
        <f>CK403+CK404+CK405+CK406</f>
        <v>2410159.08</v>
      </c>
      <c r="CL407" s="654"/>
      <c r="CM407" s="654"/>
      <c r="CN407" s="654"/>
      <c r="CO407" s="654"/>
      <c r="CP407" s="654"/>
      <c r="CQ407" s="654"/>
      <c r="CR407" s="654"/>
      <c r="CS407" s="654"/>
      <c r="CT407" s="654"/>
      <c r="CU407" s="654"/>
      <c r="CV407" s="654"/>
      <c r="CW407" s="654"/>
      <c r="CX407" s="654"/>
      <c r="CY407" s="654"/>
      <c r="CZ407" s="655"/>
      <c r="DA407" s="220"/>
    </row>
    <row r="408" spans="1:105" s="16" customFormat="1" ht="15" customHeight="1" x14ac:dyDescent="0.3">
      <c r="A408" s="656" t="s">
        <v>591</v>
      </c>
      <c r="B408" s="657"/>
      <c r="C408" s="657"/>
      <c r="D408" s="657"/>
      <c r="E408" s="657"/>
      <c r="F408" s="657"/>
      <c r="G408" s="657"/>
      <c r="H408" s="657"/>
      <c r="I408" s="657"/>
      <c r="J408" s="657"/>
      <c r="K408" s="657"/>
      <c r="L408" s="657"/>
      <c r="M408" s="657"/>
      <c r="N408" s="657"/>
      <c r="O408" s="657"/>
      <c r="P408" s="657"/>
      <c r="Q408" s="657"/>
      <c r="R408" s="657"/>
      <c r="S408" s="657"/>
      <c r="T408" s="657"/>
      <c r="U408" s="657"/>
      <c r="V408" s="657"/>
      <c r="W408" s="657"/>
      <c r="X408" s="657"/>
      <c r="Y408" s="657"/>
      <c r="Z408" s="657"/>
      <c r="AA408" s="657"/>
      <c r="AB408" s="657"/>
      <c r="AC408" s="657"/>
      <c r="AD408" s="657"/>
      <c r="AE408" s="657"/>
      <c r="AF408" s="657"/>
      <c r="AG408" s="657"/>
      <c r="AH408" s="657"/>
      <c r="AI408" s="657"/>
      <c r="AJ408" s="657"/>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57"/>
      <c r="BQ408" s="657"/>
      <c r="BR408" s="657"/>
      <c r="BS408" s="657"/>
      <c r="BT408" s="657"/>
      <c r="BU408" s="657"/>
      <c r="BV408" s="657"/>
      <c r="BW408" s="657"/>
      <c r="BX408" s="657"/>
      <c r="BY408" s="657"/>
      <c r="BZ408" s="657"/>
      <c r="CA408" s="657"/>
      <c r="CB408" s="657"/>
      <c r="CC408" s="657"/>
      <c r="CD408" s="657"/>
      <c r="CE408" s="657"/>
      <c r="CF408" s="657"/>
      <c r="CG408" s="657"/>
      <c r="CH408" s="657"/>
      <c r="CI408" s="657"/>
      <c r="CJ408" s="657"/>
      <c r="CK408" s="657"/>
      <c r="CL408" s="657"/>
      <c r="CM408" s="657"/>
      <c r="CN408" s="657"/>
      <c r="CO408" s="657"/>
      <c r="CP408" s="657"/>
      <c r="CQ408" s="657"/>
      <c r="CR408" s="657"/>
      <c r="CS408" s="657"/>
      <c r="CT408" s="657"/>
      <c r="CU408" s="657"/>
      <c r="CV408" s="657"/>
      <c r="CW408" s="657"/>
      <c r="CX408" s="657"/>
      <c r="CY408" s="657"/>
      <c r="CZ408" s="658"/>
      <c r="DA408" s="214"/>
    </row>
    <row r="409" spans="1:105" s="16" customFormat="1" ht="15" customHeight="1" x14ac:dyDescent="0.3">
      <c r="A409" s="630" t="s">
        <v>441</v>
      </c>
      <c r="B409" s="631"/>
      <c r="C409" s="631"/>
      <c r="D409" s="631"/>
      <c r="E409" s="631"/>
      <c r="F409" s="631"/>
      <c r="G409" s="632"/>
      <c r="H409" s="584" t="s">
        <v>593</v>
      </c>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5"/>
      <c r="AL409" s="585"/>
      <c r="AM409" s="585"/>
      <c r="AN409" s="586"/>
      <c r="AO409" s="627">
        <v>500</v>
      </c>
      <c r="AP409" s="628"/>
      <c r="AQ409" s="628"/>
      <c r="AR409" s="628"/>
      <c r="AS409" s="628"/>
      <c r="AT409" s="628"/>
      <c r="AU409" s="628"/>
      <c r="AV409" s="628"/>
      <c r="AW409" s="628"/>
      <c r="AX409" s="628"/>
      <c r="AY409" s="628"/>
      <c r="AZ409" s="628"/>
      <c r="BA409" s="628"/>
      <c r="BB409" s="628"/>
      <c r="BC409" s="628"/>
      <c r="BD409" s="629"/>
      <c r="BE409" s="693">
        <v>3857.35</v>
      </c>
      <c r="BF409" s="694"/>
      <c r="BG409" s="694"/>
      <c r="BH409" s="694"/>
      <c r="BI409" s="694"/>
      <c r="BJ409" s="694"/>
      <c r="BK409" s="694"/>
      <c r="BL409" s="694"/>
      <c r="BM409" s="694"/>
      <c r="BN409" s="694"/>
      <c r="BO409" s="694"/>
      <c r="BP409" s="694"/>
      <c r="BQ409" s="694"/>
      <c r="BR409" s="694"/>
      <c r="BS409" s="694"/>
      <c r="BT409" s="695"/>
      <c r="BU409" s="696">
        <v>0.04</v>
      </c>
      <c r="BV409" s="697"/>
      <c r="BW409" s="697"/>
      <c r="BX409" s="697"/>
      <c r="BY409" s="697"/>
      <c r="BZ409" s="697"/>
      <c r="CA409" s="697"/>
      <c r="CB409" s="697"/>
      <c r="CC409" s="697"/>
      <c r="CD409" s="697"/>
      <c r="CE409" s="697"/>
      <c r="CF409" s="697"/>
      <c r="CG409" s="697"/>
      <c r="CH409" s="697"/>
      <c r="CI409" s="697"/>
      <c r="CJ409" s="698"/>
      <c r="CK409" s="627">
        <f>ROUND(AO409*BE409*BU409+(AO409*BE409),2)</f>
        <v>2005822</v>
      </c>
      <c r="CL409" s="628"/>
      <c r="CM409" s="628"/>
      <c r="CN409" s="628"/>
      <c r="CO409" s="628"/>
      <c r="CP409" s="628"/>
      <c r="CQ409" s="628"/>
      <c r="CR409" s="628"/>
      <c r="CS409" s="628"/>
      <c r="CT409" s="628"/>
      <c r="CU409" s="628"/>
      <c r="CV409" s="628"/>
      <c r="CW409" s="628"/>
      <c r="CX409" s="628"/>
      <c r="CY409" s="628"/>
      <c r="CZ409" s="629"/>
      <c r="DA409" s="214"/>
    </row>
    <row r="410" spans="1:105" s="16" customFormat="1" ht="15" customHeight="1" x14ac:dyDescent="0.3">
      <c r="A410" s="630" t="s">
        <v>444</v>
      </c>
      <c r="B410" s="631"/>
      <c r="C410" s="631"/>
      <c r="D410" s="631"/>
      <c r="E410" s="631"/>
      <c r="F410" s="631"/>
      <c r="G410" s="632"/>
      <c r="H410" s="584" t="s">
        <v>595</v>
      </c>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5"/>
      <c r="AL410" s="585"/>
      <c r="AM410" s="585"/>
      <c r="AN410" s="586"/>
      <c r="AO410" s="627">
        <v>500</v>
      </c>
      <c r="AP410" s="628"/>
      <c r="AQ410" s="628"/>
      <c r="AR410" s="628"/>
      <c r="AS410" s="628"/>
      <c r="AT410" s="628"/>
      <c r="AU410" s="628"/>
      <c r="AV410" s="628"/>
      <c r="AW410" s="628"/>
      <c r="AX410" s="628"/>
      <c r="AY410" s="628"/>
      <c r="AZ410" s="628"/>
      <c r="BA410" s="628"/>
      <c r="BB410" s="628"/>
      <c r="BC410" s="628"/>
      <c r="BD410" s="629"/>
      <c r="BE410" s="693">
        <v>25.52</v>
      </c>
      <c r="BF410" s="694"/>
      <c r="BG410" s="694"/>
      <c r="BH410" s="694"/>
      <c r="BI410" s="694"/>
      <c r="BJ410" s="694"/>
      <c r="BK410" s="694"/>
      <c r="BL410" s="694"/>
      <c r="BM410" s="694"/>
      <c r="BN410" s="694"/>
      <c r="BO410" s="694"/>
      <c r="BP410" s="694"/>
      <c r="BQ410" s="694"/>
      <c r="BR410" s="694"/>
      <c r="BS410" s="694"/>
      <c r="BT410" s="695"/>
      <c r="BU410" s="696">
        <v>0.04</v>
      </c>
      <c r="BV410" s="697"/>
      <c r="BW410" s="697"/>
      <c r="BX410" s="697"/>
      <c r="BY410" s="697"/>
      <c r="BZ410" s="697"/>
      <c r="CA410" s="697"/>
      <c r="CB410" s="697"/>
      <c r="CC410" s="697"/>
      <c r="CD410" s="697"/>
      <c r="CE410" s="697"/>
      <c r="CF410" s="697"/>
      <c r="CG410" s="697"/>
      <c r="CH410" s="697"/>
      <c r="CI410" s="697"/>
      <c r="CJ410" s="698"/>
      <c r="CK410" s="627">
        <f t="shared" ref="CK410" si="5">ROUND(AO410*BE410*BU410+(AO410*BE410),2)</f>
        <v>13270.4</v>
      </c>
      <c r="CL410" s="628"/>
      <c r="CM410" s="628"/>
      <c r="CN410" s="628"/>
      <c r="CO410" s="628"/>
      <c r="CP410" s="628"/>
      <c r="CQ410" s="628"/>
      <c r="CR410" s="628"/>
      <c r="CS410" s="628"/>
      <c r="CT410" s="628"/>
      <c r="CU410" s="628"/>
      <c r="CV410" s="628"/>
      <c r="CW410" s="628"/>
      <c r="CX410" s="628"/>
      <c r="CY410" s="628"/>
      <c r="CZ410" s="629"/>
      <c r="DA410" s="214"/>
    </row>
    <row r="411" spans="1:105" s="16" customFormat="1" ht="15" customHeight="1" x14ac:dyDescent="0.3">
      <c r="A411" s="630" t="s">
        <v>446</v>
      </c>
      <c r="B411" s="631"/>
      <c r="C411" s="631"/>
      <c r="D411" s="631"/>
      <c r="E411" s="631"/>
      <c r="F411" s="631"/>
      <c r="G411" s="632"/>
      <c r="H411" s="584" t="s">
        <v>605</v>
      </c>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5"/>
      <c r="AL411" s="585"/>
      <c r="AM411" s="585"/>
      <c r="AN411" s="586"/>
      <c r="AO411" s="627">
        <v>50000</v>
      </c>
      <c r="AP411" s="628"/>
      <c r="AQ411" s="628"/>
      <c r="AR411" s="628"/>
      <c r="AS411" s="628"/>
      <c r="AT411" s="628"/>
      <c r="AU411" s="628"/>
      <c r="AV411" s="628"/>
      <c r="AW411" s="628"/>
      <c r="AX411" s="628"/>
      <c r="AY411" s="628"/>
      <c r="AZ411" s="628"/>
      <c r="BA411" s="628"/>
      <c r="BB411" s="628"/>
      <c r="BC411" s="628"/>
      <c r="BD411" s="629"/>
      <c r="BE411" s="693">
        <v>8.07</v>
      </c>
      <c r="BF411" s="694"/>
      <c r="BG411" s="694"/>
      <c r="BH411" s="694"/>
      <c r="BI411" s="694"/>
      <c r="BJ411" s="694"/>
      <c r="BK411" s="694"/>
      <c r="BL411" s="694"/>
      <c r="BM411" s="694"/>
      <c r="BN411" s="694"/>
      <c r="BO411" s="694"/>
      <c r="BP411" s="694"/>
      <c r="BQ411" s="694"/>
      <c r="BR411" s="694"/>
      <c r="BS411" s="694"/>
      <c r="BT411" s="695"/>
      <c r="BU411" s="696">
        <v>0.04</v>
      </c>
      <c r="BV411" s="697"/>
      <c r="BW411" s="697"/>
      <c r="BX411" s="697"/>
      <c r="BY411" s="697"/>
      <c r="BZ411" s="697"/>
      <c r="CA411" s="697"/>
      <c r="CB411" s="697"/>
      <c r="CC411" s="697"/>
      <c r="CD411" s="697"/>
      <c r="CE411" s="697"/>
      <c r="CF411" s="697"/>
      <c r="CG411" s="697"/>
      <c r="CH411" s="697"/>
      <c r="CI411" s="697"/>
      <c r="CJ411" s="698"/>
      <c r="CK411" s="627">
        <f>ROUND(AO411*BE411*BU411+(AO411*BE411),2)</f>
        <v>419640</v>
      </c>
      <c r="CL411" s="628"/>
      <c r="CM411" s="628"/>
      <c r="CN411" s="628"/>
      <c r="CO411" s="628"/>
      <c r="CP411" s="628"/>
      <c r="CQ411" s="628"/>
      <c r="CR411" s="628"/>
      <c r="CS411" s="628"/>
      <c r="CT411" s="628"/>
      <c r="CU411" s="628"/>
      <c r="CV411" s="628"/>
      <c r="CW411" s="628"/>
      <c r="CX411" s="628"/>
      <c r="CY411" s="628"/>
      <c r="CZ411" s="629"/>
      <c r="DA411" s="214"/>
    </row>
    <row r="412" spans="1:105" s="16" customFormat="1" ht="15" customHeight="1" x14ac:dyDescent="0.3">
      <c r="A412" s="553" t="s">
        <v>292</v>
      </c>
      <c r="B412" s="554"/>
      <c r="C412" s="554"/>
      <c r="D412" s="554"/>
      <c r="E412" s="554"/>
      <c r="F412" s="554"/>
      <c r="G412" s="554"/>
      <c r="H412" s="554"/>
      <c r="I412" s="554"/>
      <c r="J412" s="554"/>
      <c r="K412" s="554"/>
      <c r="L412" s="554"/>
      <c r="M412" s="554"/>
      <c r="N412" s="554"/>
      <c r="O412" s="554"/>
      <c r="P412" s="554"/>
      <c r="Q412" s="554"/>
      <c r="R412" s="554"/>
      <c r="S412" s="554"/>
      <c r="T412" s="554"/>
      <c r="U412" s="554"/>
      <c r="V412" s="554"/>
      <c r="W412" s="554"/>
      <c r="X412" s="554"/>
      <c r="Y412" s="554"/>
      <c r="Z412" s="554"/>
      <c r="AA412" s="554"/>
      <c r="AB412" s="554"/>
      <c r="AC412" s="554"/>
      <c r="AD412" s="554"/>
      <c r="AE412" s="554"/>
      <c r="AF412" s="554"/>
      <c r="AG412" s="554"/>
      <c r="AH412" s="554"/>
      <c r="AI412" s="554"/>
      <c r="AJ412" s="554"/>
      <c r="AK412" s="554"/>
      <c r="AL412" s="554"/>
      <c r="AM412" s="554"/>
      <c r="AN412" s="555"/>
      <c r="AO412" s="544" t="s">
        <v>4</v>
      </c>
      <c r="AP412" s="545"/>
      <c r="AQ412" s="545"/>
      <c r="AR412" s="545"/>
      <c r="AS412" s="545"/>
      <c r="AT412" s="545"/>
      <c r="AU412" s="545"/>
      <c r="AV412" s="545"/>
      <c r="AW412" s="545"/>
      <c r="AX412" s="545"/>
      <c r="AY412" s="545"/>
      <c r="AZ412" s="545"/>
      <c r="BA412" s="545"/>
      <c r="BB412" s="545"/>
      <c r="BC412" s="545"/>
      <c r="BD412" s="546"/>
      <c r="BE412" s="544" t="s">
        <v>4</v>
      </c>
      <c r="BF412" s="545"/>
      <c r="BG412" s="545"/>
      <c r="BH412" s="545"/>
      <c r="BI412" s="545"/>
      <c r="BJ412" s="545"/>
      <c r="BK412" s="545"/>
      <c r="BL412" s="545"/>
      <c r="BM412" s="545"/>
      <c r="BN412" s="545"/>
      <c r="BO412" s="545"/>
      <c r="BP412" s="545"/>
      <c r="BQ412" s="545"/>
      <c r="BR412" s="545"/>
      <c r="BS412" s="545"/>
      <c r="BT412" s="546"/>
      <c r="BU412" s="544" t="s">
        <v>4</v>
      </c>
      <c r="BV412" s="545"/>
      <c r="BW412" s="545"/>
      <c r="BX412" s="545"/>
      <c r="BY412" s="545"/>
      <c r="BZ412" s="545"/>
      <c r="CA412" s="545"/>
      <c r="CB412" s="545"/>
      <c r="CC412" s="545"/>
      <c r="CD412" s="545"/>
      <c r="CE412" s="545"/>
      <c r="CF412" s="545"/>
      <c r="CG412" s="545"/>
      <c r="CH412" s="545"/>
      <c r="CI412" s="545"/>
      <c r="CJ412" s="546"/>
      <c r="CK412" s="636">
        <f>CK409+CK411+CK410</f>
        <v>2438732.4</v>
      </c>
      <c r="CL412" s="654"/>
      <c r="CM412" s="654"/>
      <c r="CN412" s="654"/>
      <c r="CO412" s="654"/>
      <c r="CP412" s="654"/>
      <c r="CQ412" s="654"/>
      <c r="CR412" s="654"/>
      <c r="CS412" s="654"/>
      <c r="CT412" s="654"/>
      <c r="CU412" s="654"/>
      <c r="CV412" s="654"/>
      <c r="CW412" s="654"/>
      <c r="CX412" s="654"/>
      <c r="CY412" s="654"/>
      <c r="CZ412" s="655"/>
      <c r="DA412" s="214"/>
    </row>
    <row r="413" spans="1:105" s="16" customFormat="1" ht="15" customHeight="1" x14ac:dyDescent="0.3">
      <c r="A413" s="553" t="s">
        <v>56</v>
      </c>
      <c r="B413" s="554"/>
      <c r="C413" s="554"/>
      <c r="D413" s="554"/>
      <c r="E413" s="554"/>
      <c r="F413" s="554"/>
      <c r="G413" s="554"/>
      <c r="H413" s="554"/>
      <c r="I413" s="554"/>
      <c r="J413" s="554"/>
      <c r="K413" s="554"/>
      <c r="L413" s="554"/>
      <c r="M413" s="554"/>
      <c r="N413" s="554"/>
      <c r="O413" s="554"/>
      <c r="P413" s="554"/>
      <c r="Q413" s="554"/>
      <c r="R413" s="554"/>
      <c r="S413" s="554"/>
      <c r="T413" s="554"/>
      <c r="U413" s="554"/>
      <c r="V413" s="554"/>
      <c r="W413" s="554"/>
      <c r="X413" s="554"/>
      <c r="Y413" s="554"/>
      <c r="Z413" s="554"/>
      <c r="AA413" s="554"/>
      <c r="AB413" s="554"/>
      <c r="AC413" s="554"/>
      <c r="AD413" s="554"/>
      <c r="AE413" s="554"/>
      <c r="AF413" s="554"/>
      <c r="AG413" s="554"/>
      <c r="AH413" s="554"/>
      <c r="AI413" s="554"/>
      <c r="AJ413" s="554"/>
      <c r="AK413" s="554"/>
      <c r="AL413" s="554"/>
      <c r="AM413" s="554"/>
      <c r="AN413" s="555"/>
      <c r="AO413" s="544" t="s">
        <v>4</v>
      </c>
      <c r="AP413" s="545"/>
      <c r="AQ413" s="545"/>
      <c r="AR413" s="545"/>
      <c r="AS413" s="545"/>
      <c r="AT413" s="545"/>
      <c r="AU413" s="545"/>
      <c r="AV413" s="545"/>
      <c r="AW413" s="545"/>
      <c r="AX413" s="545"/>
      <c r="AY413" s="545"/>
      <c r="AZ413" s="545"/>
      <c r="BA413" s="545"/>
      <c r="BB413" s="545"/>
      <c r="BC413" s="545"/>
      <c r="BD413" s="546"/>
      <c r="BE413" s="544" t="s">
        <v>4</v>
      </c>
      <c r="BF413" s="545"/>
      <c r="BG413" s="545"/>
      <c r="BH413" s="545"/>
      <c r="BI413" s="545"/>
      <c r="BJ413" s="545"/>
      <c r="BK413" s="545"/>
      <c r="BL413" s="545"/>
      <c r="BM413" s="545"/>
      <c r="BN413" s="545"/>
      <c r="BO413" s="545"/>
      <c r="BP413" s="545"/>
      <c r="BQ413" s="545"/>
      <c r="BR413" s="545"/>
      <c r="BS413" s="545"/>
      <c r="BT413" s="546"/>
      <c r="BU413" s="544" t="s">
        <v>4</v>
      </c>
      <c r="BV413" s="545"/>
      <c r="BW413" s="545"/>
      <c r="BX413" s="545"/>
      <c r="BY413" s="545"/>
      <c r="BZ413" s="545"/>
      <c r="CA413" s="545"/>
      <c r="CB413" s="545"/>
      <c r="CC413" s="545"/>
      <c r="CD413" s="545"/>
      <c r="CE413" s="545"/>
      <c r="CF413" s="545"/>
      <c r="CG413" s="545"/>
      <c r="CH413" s="545"/>
      <c r="CI413" s="545"/>
      <c r="CJ413" s="546"/>
      <c r="CK413" s="636">
        <f>CK407+CK412</f>
        <v>4848891.4800000004</v>
      </c>
      <c r="CL413" s="654"/>
      <c r="CM413" s="654"/>
      <c r="CN413" s="654"/>
      <c r="CO413" s="654"/>
      <c r="CP413" s="654"/>
      <c r="CQ413" s="654"/>
      <c r="CR413" s="654"/>
      <c r="CS413" s="654"/>
      <c r="CT413" s="654"/>
      <c r="CU413" s="654"/>
      <c r="CV413" s="654"/>
      <c r="CW413" s="654"/>
      <c r="CX413" s="654"/>
      <c r="CY413" s="654"/>
      <c r="CZ413" s="655"/>
      <c r="DA413" s="220"/>
    </row>
    <row r="414" spans="1:105" s="16" customFormat="1" ht="1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3"/>
      <c r="BD414" s="223"/>
      <c r="BE414" s="223"/>
      <c r="BF414" s="223"/>
      <c r="BG414" s="223"/>
      <c r="BH414" s="223"/>
      <c r="BI414" s="223"/>
      <c r="BJ414" s="241"/>
      <c r="BK414" s="242"/>
      <c r="BL414" s="242"/>
      <c r="BM414" s="242"/>
      <c r="BN414" s="242"/>
      <c r="BO414" s="242"/>
      <c r="BP414" s="242"/>
      <c r="BQ414" s="242"/>
      <c r="BR414" s="242"/>
      <c r="BS414" s="242"/>
      <c r="BT414" s="242"/>
      <c r="BU414" s="241"/>
      <c r="BV414" s="242"/>
      <c r="BW414" s="242"/>
      <c r="BX414" s="242"/>
      <c r="BY414" s="242"/>
      <c r="BZ414" s="242"/>
      <c r="CA414" s="242"/>
      <c r="CB414" s="242"/>
      <c r="CC414" s="242"/>
      <c r="CD414" s="242"/>
      <c r="CE414" s="242"/>
      <c r="CF414" s="242"/>
      <c r="CG414" s="242"/>
      <c r="CH414" s="241"/>
      <c r="CI414" s="242"/>
      <c r="CJ414" s="242"/>
      <c r="CK414" s="242"/>
      <c r="CL414" s="242"/>
      <c r="CM414" s="242"/>
      <c r="CN414" s="242"/>
      <c r="CO414" s="242"/>
      <c r="CP414" s="242"/>
      <c r="CQ414" s="242"/>
      <c r="CR414" s="242"/>
      <c r="CS414" s="242"/>
      <c r="CT414" s="242"/>
      <c r="CU414" s="242"/>
      <c r="CV414" s="242"/>
      <c r="CW414" s="223"/>
      <c r="CX414" s="223"/>
      <c r="CY414" s="223"/>
      <c r="CZ414" s="223"/>
      <c r="DA414" s="214"/>
    </row>
    <row r="415" spans="1:105" s="16" customFormat="1" ht="15" customHeight="1" x14ac:dyDescent="0.25">
      <c r="A415" s="594" t="s">
        <v>358</v>
      </c>
      <c r="B415" s="594"/>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4"/>
      <c r="AL415" s="594"/>
      <c r="AM415" s="594"/>
      <c r="AN415" s="594"/>
      <c r="AO415" s="594"/>
      <c r="AP415" s="594"/>
      <c r="AQ415" s="594"/>
      <c r="AR415" s="594"/>
      <c r="AS415" s="594"/>
      <c r="AT415" s="594"/>
      <c r="AU415" s="594"/>
      <c r="AV415" s="594"/>
      <c r="AW415" s="594"/>
      <c r="AX415" s="594"/>
      <c r="AY415" s="594"/>
      <c r="AZ415" s="594"/>
      <c r="BA415" s="594"/>
      <c r="BB415" s="594"/>
      <c r="BC415" s="594"/>
      <c r="BD415" s="594"/>
      <c r="BE415" s="594"/>
      <c r="BF415" s="594"/>
      <c r="BG415" s="594"/>
      <c r="BH415" s="594"/>
      <c r="BI415" s="594"/>
      <c r="BJ415" s="594"/>
      <c r="BK415" s="594"/>
      <c r="BL415" s="594"/>
      <c r="BM415" s="594"/>
      <c r="BN415" s="594"/>
      <c r="BO415" s="594"/>
      <c r="BP415" s="594"/>
      <c r="BQ415" s="594"/>
      <c r="BR415" s="594"/>
      <c r="BS415" s="594"/>
      <c r="BT415" s="594"/>
      <c r="BU415" s="594"/>
      <c r="BV415" s="594"/>
      <c r="BW415" s="594"/>
      <c r="BX415" s="594"/>
      <c r="BY415" s="594"/>
      <c r="BZ415" s="594"/>
      <c r="CA415" s="594"/>
      <c r="CB415" s="594"/>
      <c r="CC415" s="594"/>
      <c r="CD415" s="594"/>
      <c r="CE415" s="594"/>
      <c r="CF415" s="594"/>
      <c r="CG415" s="594"/>
      <c r="CH415" s="594"/>
      <c r="CI415" s="594"/>
      <c r="CJ415" s="594"/>
      <c r="CK415" s="594"/>
      <c r="CL415" s="594"/>
      <c r="CM415" s="594"/>
      <c r="CN415" s="594"/>
      <c r="CO415" s="594"/>
      <c r="CP415" s="594"/>
      <c r="CQ415" s="594"/>
      <c r="CR415" s="594"/>
      <c r="CS415" s="594"/>
      <c r="CT415" s="594"/>
      <c r="CU415" s="594"/>
      <c r="CV415" s="594"/>
      <c r="CW415" s="594"/>
      <c r="CX415" s="594"/>
      <c r="CY415" s="594"/>
      <c r="CZ415" s="594"/>
      <c r="DA415" s="214"/>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4"/>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595" t="s">
        <v>587</v>
      </c>
      <c r="X417" s="595"/>
      <c r="Y417" s="595"/>
      <c r="Z417" s="595"/>
      <c r="AA417" s="595"/>
      <c r="AB417" s="595"/>
      <c r="AC417" s="595"/>
      <c r="AD417" s="595"/>
      <c r="AE417" s="595"/>
      <c r="AF417" s="595"/>
      <c r="AG417" s="595"/>
      <c r="AH417" s="595"/>
      <c r="AI417" s="595"/>
      <c r="AJ417" s="595"/>
      <c r="AK417" s="595"/>
      <c r="AL417" s="595"/>
      <c r="AM417" s="595"/>
      <c r="AN417" s="595"/>
      <c r="AO417" s="595"/>
      <c r="AP417" s="595"/>
      <c r="AQ417" s="595"/>
      <c r="AR417" s="595"/>
      <c r="AS417" s="595"/>
      <c r="AT417" s="595"/>
      <c r="AU417" s="595"/>
      <c r="AV417" s="595"/>
      <c r="AW417" s="595"/>
      <c r="AX417" s="595"/>
      <c r="AY417" s="595"/>
      <c r="AZ417" s="595"/>
      <c r="BA417" s="595"/>
      <c r="BB417" s="595"/>
      <c r="BC417" s="595"/>
      <c r="BD417" s="595"/>
      <c r="BE417" s="595"/>
      <c r="BF417" s="595"/>
      <c r="BG417" s="595"/>
      <c r="BH417" s="595"/>
      <c r="BI417" s="595"/>
      <c r="BJ417" s="595"/>
      <c r="BK417" s="595"/>
      <c r="BL417" s="595"/>
      <c r="BM417" s="595"/>
      <c r="BN417" s="595"/>
      <c r="BO417" s="595"/>
      <c r="BP417" s="595"/>
      <c r="BQ417" s="595"/>
      <c r="BR417" s="595"/>
      <c r="BS417" s="595"/>
      <c r="BT417" s="595"/>
      <c r="BU417" s="595"/>
      <c r="BV417" s="595"/>
      <c r="BW417" s="595"/>
      <c r="BX417" s="595"/>
      <c r="BY417" s="595"/>
      <c r="BZ417" s="595"/>
      <c r="CA417" s="595"/>
      <c r="CB417" s="595"/>
      <c r="CC417" s="595"/>
      <c r="CD417" s="595"/>
      <c r="CE417" s="595"/>
      <c r="CF417" s="595"/>
      <c r="CG417" s="595"/>
      <c r="CH417" s="595"/>
      <c r="CI417" s="595"/>
      <c r="CJ417" s="595"/>
      <c r="CK417" s="595"/>
      <c r="CL417" s="595"/>
      <c r="CM417" s="595"/>
      <c r="CN417" s="595"/>
      <c r="CO417" s="595"/>
      <c r="CP417" s="595"/>
      <c r="CQ417" s="595"/>
      <c r="CR417" s="595"/>
      <c r="CS417" s="595"/>
      <c r="CT417" s="595"/>
      <c r="CU417" s="595"/>
      <c r="CV417" s="595"/>
      <c r="CW417" s="595"/>
      <c r="CX417" s="595"/>
      <c r="CY417" s="595"/>
      <c r="CZ417" s="595"/>
      <c r="DA417" s="227">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4"/>
    </row>
    <row r="419" spans="1:268" s="16" customFormat="1" ht="45" customHeight="1" x14ac:dyDescent="0.3">
      <c r="A419" s="475" t="s">
        <v>49</v>
      </c>
      <c r="B419" s="476"/>
      <c r="C419" s="476"/>
      <c r="D419" s="476"/>
      <c r="E419" s="476"/>
      <c r="F419" s="476"/>
      <c r="G419" s="477"/>
      <c r="H419" s="475" t="s">
        <v>0</v>
      </c>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6"/>
      <c r="AL419" s="476"/>
      <c r="AM419" s="476"/>
      <c r="AN419" s="476"/>
      <c r="AO419" s="476"/>
      <c r="AP419" s="476"/>
      <c r="AQ419" s="476"/>
      <c r="AR419" s="476"/>
      <c r="AS419" s="476"/>
      <c r="AT419" s="476"/>
      <c r="AU419" s="476"/>
      <c r="AV419" s="476"/>
      <c r="AW419" s="476"/>
      <c r="AX419" s="476"/>
      <c r="AY419" s="476"/>
      <c r="AZ419" s="476"/>
      <c r="BA419" s="476"/>
      <c r="BB419" s="477"/>
      <c r="BC419" s="475" t="s">
        <v>91</v>
      </c>
      <c r="BD419" s="476"/>
      <c r="BE419" s="476"/>
      <c r="BF419" s="476"/>
      <c r="BG419" s="476"/>
      <c r="BH419" s="476"/>
      <c r="BI419" s="476"/>
      <c r="BJ419" s="476"/>
      <c r="BK419" s="476"/>
      <c r="BL419" s="476"/>
      <c r="BM419" s="476"/>
      <c r="BN419" s="476"/>
      <c r="BO419" s="476"/>
      <c r="BP419" s="476"/>
      <c r="BQ419" s="476"/>
      <c r="BR419" s="477"/>
      <c r="BS419" s="475" t="s">
        <v>92</v>
      </c>
      <c r="BT419" s="476"/>
      <c r="BU419" s="476"/>
      <c r="BV419" s="476"/>
      <c r="BW419" s="476"/>
      <c r="BX419" s="476"/>
      <c r="BY419" s="476"/>
      <c r="BZ419" s="476"/>
      <c r="CA419" s="476"/>
      <c r="CB419" s="476"/>
      <c r="CC419" s="476"/>
      <c r="CD419" s="476"/>
      <c r="CE419" s="476"/>
      <c r="CF419" s="476"/>
      <c r="CG419" s="476"/>
      <c r="CH419" s="477"/>
      <c r="CI419" s="475" t="s">
        <v>93</v>
      </c>
      <c r="CJ419" s="476"/>
      <c r="CK419" s="476"/>
      <c r="CL419" s="476"/>
      <c r="CM419" s="476"/>
      <c r="CN419" s="476"/>
      <c r="CO419" s="476"/>
      <c r="CP419" s="476"/>
      <c r="CQ419" s="476"/>
      <c r="CR419" s="476"/>
      <c r="CS419" s="476"/>
      <c r="CT419" s="476"/>
      <c r="CU419" s="476"/>
      <c r="CV419" s="476"/>
      <c r="CW419" s="476"/>
      <c r="CX419" s="476"/>
      <c r="CY419" s="476"/>
      <c r="CZ419" s="477"/>
      <c r="DA419" s="214"/>
    </row>
    <row r="420" spans="1:268" s="16" customFormat="1" ht="13.2" customHeight="1" x14ac:dyDescent="0.3">
      <c r="A420" s="661">
        <v>1</v>
      </c>
      <c r="B420" s="662"/>
      <c r="C420" s="662"/>
      <c r="D420" s="662"/>
      <c r="E420" s="662"/>
      <c r="F420" s="662"/>
      <c r="G420" s="663"/>
      <c r="H420" s="661">
        <v>2</v>
      </c>
      <c r="I420" s="662"/>
      <c r="J420" s="662"/>
      <c r="K420" s="662"/>
      <c r="L420" s="662"/>
      <c r="M420" s="662"/>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2"/>
      <c r="AK420" s="662"/>
      <c r="AL420" s="662"/>
      <c r="AM420" s="662"/>
      <c r="AN420" s="662"/>
      <c r="AO420" s="662"/>
      <c r="AP420" s="662"/>
      <c r="AQ420" s="662"/>
      <c r="AR420" s="662"/>
      <c r="AS420" s="662"/>
      <c r="AT420" s="662"/>
      <c r="AU420" s="662"/>
      <c r="AV420" s="662"/>
      <c r="AW420" s="662"/>
      <c r="AX420" s="662"/>
      <c r="AY420" s="662"/>
      <c r="AZ420" s="662"/>
      <c r="BA420" s="662"/>
      <c r="BB420" s="663"/>
      <c r="BC420" s="661">
        <v>3</v>
      </c>
      <c r="BD420" s="662"/>
      <c r="BE420" s="662"/>
      <c r="BF420" s="662"/>
      <c r="BG420" s="662"/>
      <c r="BH420" s="662"/>
      <c r="BI420" s="662"/>
      <c r="BJ420" s="662"/>
      <c r="BK420" s="662"/>
      <c r="BL420" s="662"/>
      <c r="BM420" s="662"/>
      <c r="BN420" s="662"/>
      <c r="BO420" s="662"/>
      <c r="BP420" s="662"/>
      <c r="BQ420" s="662"/>
      <c r="BR420" s="663"/>
      <c r="BS420" s="661">
        <v>4</v>
      </c>
      <c r="BT420" s="662"/>
      <c r="BU420" s="662"/>
      <c r="BV420" s="662"/>
      <c r="BW420" s="662"/>
      <c r="BX420" s="662"/>
      <c r="BY420" s="662"/>
      <c r="BZ420" s="662"/>
      <c r="CA420" s="662"/>
      <c r="CB420" s="662"/>
      <c r="CC420" s="662"/>
      <c r="CD420" s="662"/>
      <c r="CE420" s="662"/>
      <c r="CF420" s="662"/>
      <c r="CG420" s="662"/>
      <c r="CH420" s="663"/>
      <c r="CI420" s="661">
        <v>5</v>
      </c>
      <c r="CJ420" s="662"/>
      <c r="CK420" s="662"/>
      <c r="CL420" s="662"/>
      <c r="CM420" s="662"/>
      <c r="CN420" s="662"/>
      <c r="CO420" s="662"/>
      <c r="CP420" s="662"/>
      <c r="CQ420" s="662"/>
      <c r="CR420" s="662"/>
      <c r="CS420" s="662"/>
      <c r="CT420" s="662"/>
      <c r="CU420" s="662"/>
      <c r="CV420" s="662"/>
      <c r="CW420" s="662"/>
      <c r="CX420" s="662"/>
      <c r="CY420" s="662"/>
      <c r="CZ420" s="663"/>
      <c r="DA420" s="214"/>
    </row>
    <row r="421" spans="1:268" s="16" customFormat="1" ht="15" customHeight="1" x14ac:dyDescent="0.3">
      <c r="A421" s="648" t="s">
        <v>569</v>
      </c>
      <c r="B421" s="649"/>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9"/>
      <c r="AL421" s="649"/>
      <c r="AM421" s="649"/>
      <c r="AN421" s="649"/>
      <c r="AO421" s="649"/>
      <c r="AP421" s="649"/>
      <c r="AQ421" s="649"/>
      <c r="AR421" s="649"/>
      <c r="AS421" s="649"/>
      <c r="AT421" s="649"/>
      <c r="AU421" s="649"/>
      <c r="AV421" s="649"/>
      <c r="AW421" s="649"/>
      <c r="AX421" s="649"/>
      <c r="AY421" s="649"/>
      <c r="AZ421" s="649"/>
      <c r="BA421" s="649"/>
      <c r="BB421" s="649"/>
      <c r="BC421" s="649"/>
      <c r="BD421" s="649"/>
      <c r="BE421" s="649"/>
      <c r="BF421" s="649"/>
      <c r="BG421" s="649"/>
      <c r="BH421" s="649"/>
      <c r="BI421" s="649"/>
      <c r="BJ421" s="649"/>
      <c r="BK421" s="649"/>
      <c r="BL421" s="649"/>
      <c r="BM421" s="649"/>
      <c r="BN421" s="649"/>
      <c r="BO421" s="649"/>
      <c r="BP421" s="649"/>
      <c r="BQ421" s="649"/>
      <c r="BR421" s="649"/>
      <c r="BS421" s="649"/>
      <c r="BT421" s="649"/>
      <c r="BU421" s="649"/>
      <c r="BV421" s="649"/>
      <c r="BW421" s="649"/>
      <c r="BX421" s="649"/>
      <c r="BY421" s="649"/>
      <c r="BZ421" s="649"/>
      <c r="CA421" s="649"/>
      <c r="CB421" s="649"/>
      <c r="CC421" s="649"/>
      <c r="CD421" s="649"/>
      <c r="CE421" s="649"/>
      <c r="CF421" s="649"/>
      <c r="CG421" s="649"/>
      <c r="CH421" s="649"/>
      <c r="CI421" s="692"/>
      <c r="CJ421" s="692"/>
      <c r="CK421" s="649"/>
      <c r="CL421" s="649"/>
      <c r="CM421" s="649"/>
      <c r="CN421" s="649"/>
      <c r="CO421" s="649"/>
      <c r="CP421" s="649"/>
      <c r="CQ421" s="649"/>
      <c r="CR421" s="649"/>
      <c r="CS421" s="649"/>
      <c r="CT421" s="649"/>
      <c r="CU421" s="649"/>
      <c r="CV421" s="649"/>
      <c r="CW421" s="649"/>
      <c r="CX421" s="649"/>
      <c r="CY421" s="649"/>
      <c r="CZ421" s="649"/>
      <c r="DA421" s="214"/>
      <c r="GW421" s="773"/>
      <c r="GX421" s="773"/>
      <c r="GY421" s="773"/>
      <c r="GZ421" s="773"/>
      <c r="HA421" s="773"/>
      <c r="HB421" s="773"/>
      <c r="HC421" s="773"/>
      <c r="HD421" s="773"/>
      <c r="HE421" s="773"/>
      <c r="HF421" s="773"/>
      <c r="HG421" s="773"/>
      <c r="HH421" s="773"/>
      <c r="HI421" s="773"/>
      <c r="HJ421" s="773"/>
      <c r="HK421" s="773"/>
      <c r="HL421" s="773"/>
      <c r="HM421" s="773"/>
      <c r="HN421" s="773"/>
      <c r="HO421" s="773"/>
      <c r="HP421" s="773"/>
      <c r="HQ421" s="773"/>
      <c r="HR421" s="773"/>
      <c r="HS421" s="773"/>
      <c r="HT421" s="773"/>
      <c r="HU421" s="773"/>
      <c r="HV421" s="773"/>
      <c r="HW421" s="773"/>
      <c r="HX421" s="773"/>
      <c r="HY421" s="773"/>
      <c r="HZ421" s="773"/>
      <c r="IA421" s="773"/>
      <c r="IB421" s="773"/>
      <c r="IC421" s="774"/>
      <c r="ID421" s="774"/>
      <c r="IE421" s="774"/>
      <c r="IF421" s="774"/>
      <c r="IG421" s="774"/>
      <c r="IH421" s="774"/>
      <c r="II421" s="774"/>
      <c r="IJ421" s="774"/>
      <c r="IK421" s="774"/>
      <c r="IL421" s="774"/>
      <c r="IM421" s="774"/>
      <c r="IN421" s="774"/>
      <c r="IO421" s="774"/>
      <c r="IP421" s="774"/>
      <c r="IQ421" s="774"/>
      <c r="IR421" s="774"/>
      <c r="IS421" s="773"/>
      <c r="IT421" s="773"/>
      <c r="IU421" s="773"/>
      <c r="IV421" s="773"/>
      <c r="IW421" s="773"/>
      <c r="IX421" s="773"/>
      <c r="IY421" s="773"/>
      <c r="IZ421" s="773"/>
      <c r="JA421" s="773"/>
      <c r="JB421" s="773"/>
      <c r="JC421" s="773"/>
      <c r="JD421" s="773"/>
      <c r="JE421" s="773"/>
      <c r="JF421" s="773"/>
      <c r="JG421" s="773"/>
      <c r="JH421" s="773"/>
    </row>
    <row r="422" spans="1:268" s="16" customFormat="1" ht="15" customHeight="1" x14ac:dyDescent="0.3">
      <c r="A422" s="772" t="s">
        <v>444</v>
      </c>
      <c r="B422" s="772"/>
      <c r="C422" s="772"/>
      <c r="D422" s="772"/>
      <c r="E422" s="772"/>
      <c r="F422" s="772"/>
      <c r="G422" s="772"/>
      <c r="H422" s="577" t="s">
        <v>595</v>
      </c>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7"/>
      <c r="AL422" s="577"/>
      <c r="AM422" s="577"/>
      <c r="AN422" s="577"/>
      <c r="AO422" s="577"/>
      <c r="AP422" s="577"/>
      <c r="AQ422" s="577"/>
      <c r="AR422" s="577"/>
      <c r="AS422" s="577"/>
      <c r="AT422" s="577"/>
      <c r="AU422" s="577"/>
      <c r="AV422" s="577"/>
      <c r="AW422" s="577"/>
      <c r="AX422" s="577"/>
      <c r="AY422" s="577"/>
      <c r="AZ422" s="577"/>
      <c r="BA422" s="577"/>
      <c r="BB422" s="577"/>
      <c r="BC422" s="771">
        <v>7</v>
      </c>
      <c r="BD422" s="771"/>
      <c r="BE422" s="771"/>
      <c r="BF422" s="771"/>
      <c r="BG422" s="771"/>
      <c r="BH422" s="771"/>
      <c r="BI422" s="771"/>
      <c r="BJ422" s="771"/>
      <c r="BK422" s="771"/>
      <c r="BL422" s="771"/>
      <c r="BM422" s="771"/>
      <c r="BN422" s="771"/>
      <c r="BO422" s="771"/>
      <c r="BP422" s="771"/>
      <c r="BQ422" s="771"/>
      <c r="BR422" s="771"/>
      <c r="BS422" s="771">
        <v>181.2</v>
      </c>
      <c r="BT422" s="771"/>
      <c r="BU422" s="771"/>
      <c r="BV422" s="771"/>
      <c r="BW422" s="771"/>
      <c r="BX422" s="771"/>
      <c r="BY422" s="771"/>
      <c r="BZ422" s="771"/>
      <c r="CA422" s="771"/>
      <c r="CB422" s="771"/>
      <c r="CC422" s="771"/>
      <c r="CD422" s="771"/>
      <c r="CE422" s="771"/>
      <c r="CF422" s="771"/>
      <c r="CG422" s="771"/>
      <c r="CH422" s="771"/>
      <c r="CI422" s="335"/>
      <c r="CJ422" s="335"/>
      <c r="CK422" s="694">
        <v>1319.14</v>
      </c>
      <c r="CL422" s="694"/>
      <c r="CM422" s="694"/>
      <c r="CN422" s="694"/>
      <c r="CO422" s="694"/>
      <c r="CP422" s="694"/>
      <c r="CQ422" s="694"/>
      <c r="CR422" s="694"/>
      <c r="CS422" s="694"/>
      <c r="CT422" s="694"/>
      <c r="CU422" s="694"/>
      <c r="CV422" s="694"/>
      <c r="CW422" s="694"/>
      <c r="CX422" s="694"/>
      <c r="CY422" s="694"/>
      <c r="CZ422" s="695"/>
      <c r="DA422" s="214"/>
      <c r="GW422" s="773"/>
      <c r="GX422" s="773"/>
      <c r="GY422" s="773"/>
      <c r="GZ422" s="773"/>
      <c r="HA422" s="773"/>
      <c r="HB422" s="773"/>
      <c r="HC422" s="773"/>
      <c r="HD422" s="773"/>
      <c r="HE422" s="773"/>
      <c r="HF422" s="773"/>
      <c r="HG422" s="773"/>
      <c r="HH422" s="773"/>
      <c r="HI422" s="773"/>
      <c r="HJ422" s="773"/>
      <c r="HK422" s="773"/>
      <c r="HL422" s="773"/>
      <c r="HM422" s="773"/>
      <c r="HN422" s="773"/>
      <c r="HO422" s="773"/>
      <c r="HP422" s="773"/>
      <c r="HQ422" s="773"/>
      <c r="HR422" s="773"/>
      <c r="HS422" s="773"/>
      <c r="HT422" s="773"/>
      <c r="HU422" s="773"/>
      <c r="HV422" s="773"/>
      <c r="HW422" s="773"/>
      <c r="HX422" s="773"/>
      <c r="HY422" s="773"/>
      <c r="HZ422" s="773"/>
      <c r="IA422" s="773"/>
      <c r="IB422" s="773"/>
      <c r="IC422" s="774"/>
      <c r="ID422" s="774"/>
      <c r="IE422" s="774"/>
      <c r="IF422" s="774"/>
      <c r="IG422" s="774"/>
      <c r="IH422" s="774"/>
      <c r="II422" s="774"/>
      <c r="IJ422" s="774"/>
      <c r="IK422" s="774"/>
      <c r="IL422" s="774"/>
      <c r="IM422" s="774"/>
      <c r="IN422" s="774"/>
      <c r="IO422" s="774"/>
      <c r="IP422" s="774"/>
      <c r="IQ422" s="774"/>
      <c r="IR422" s="774"/>
      <c r="IS422" s="773"/>
      <c r="IT422" s="773"/>
      <c r="IU422" s="773"/>
      <c r="IV422" s="773"/>
      <c r="IW422" s="773"/>
      <c r="IX422" s="773"/>
      <c r="IY422" s="773"/>
      <c r="IZ422" s="773"/>
      <c r="JA422" s="773"/>
      <c r="JB422" s="773"/>
      <c r="JC422" s="773"/>
      <c r="JD422" s="773"/>
      <c r="JE422" s="773"/>
      <c r="JF422" s="773"/>
      <c r="JG422" s="773"/>
      <c r="JH422" s="773"/>
    </row>
    <row r="423" spans="1:268" s="16" customFormat="1" ht="15" customHeight="1" x14ac:dyDescent="0.3">
      <c r="A423" s="772" t="s">
        <v>446</v>
      </c>
      <c r="B423" s="772"/>
      <c r="C423" s="772"/>
      <c r="D423" s="772"/>
      <c r="E423" s="772"/>
      <c r="F423" s="772"/>
      <c r="G423" s="772"/>
      <c r="H423" s="577" t="s">
        <v>824</v>
      </c>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7"/>
      <c r="AL423" s="577"/>
      <c r="AM423" s="577"/>
      <c r="AN423" s="577"/>
      <c r="AO423" s="577"/>
      <c r="AP423" s="577"/>
      <c r="AQ423" s="577"/>
      <c r="AR423" s="577"/>
      <c r="AS423" s="577"/>
      <c r="AT423" s="577"/>
      <c r="AU423" s="577"/>
      <c r="AV423" s="577"/>
      <c r="AW423" s="577"/>
      <c r="AX423" s="577"/>
      <c r="AY423" s="577"/>
      <c r="AZ423" s="577"/>
      <c r="BA423" s="577"/>
      <c r="BB423" s="577"/>
      <c r="BC423" s="771">
        <v>8</v>
      </c>
      <c r="BD423" s="771"/>
      <c r="BE423" s="771"/>
      <c r="BF423" s="771"/>
      <c r="BG423" s="771"/>
      <c r="BH423" s="771"/>
      <c r="BI423" s="771"/>
      <c r="BJ423" s="771"/>
      <c r="BK423" s="771"/>
      <c r="BL423" s="771"/>
      <c r="BM423" s="771"/>
      <c r="BN423" s="771"/>
      <c r="BO423" s="771"/>
      <c r="BP423" s="771"/>
      <c r="BQ423" s="771"/>
      <c r="BR423" s="771"/>
      <c r="BS423" s="771">
        <v>217.45</v>
      </c>
      <c r="BT423" s="771"/>
      <c r="BU423" s="771"/>
      <c r="BV423" s="771"/>
      <c r="BW423" s="771"/>
      <c r="BX423" s="771"/>
      <c r="BY423" s="771"/>
      <c r="BZ423" s="771"/>
      <c r="CA423" s="771"/>
      <c r="CB423" s="771"/>
      <c r="CC423" s="771"/>
      <c r="CD423" s="771"/>
      <c r="CE423" s="771"/>
      <c r="CF423" s="771"/>
      <c r="CG423" s="771"/>
      <c r="CH423" s="771"/>
      <c r="CI423" s="335"/>
      <c r="CJ423" s="335"/>
      <c r="CK423" s="694">
        <v>1809.18</v>
      </c>
      <c r="CL423" s="694"/>
      <c r="CM423" s="694"/>
      <c r="CN423" s="694"/>
      <c r="CO423" s="694"/>
      <c r="CP423" s="694"/>
      <c r="CQ423" s="694"/>
      <c r="CR423" s="694"/>
      <c r="CS423" s="694"/>
      <c r="CT423" s="694"/>
      <c r="CU423" s="694"/>
      <c r="CV423" s="694"/>
      <c r="CW423" s="694"/>
      <c r="CX423" s="694"/>
      <c r="CY423" s="694"/>
      <c r="CZ423" s="695"/>
      <c r="DA423" s="214"/>
      <c r="GW423" s="773"/>
      <c r="GX423" s="773"/>
      <c r="GY423" s="773"/>
      <c r="GZ423" s="773"/>
      <c r="HA423" s="773"/>
      <c r="HB423" s="773"/>
      <c r="HC423" s="773"/>
      <c r="HD423" s="773"/>
      <c r="HE423" s="773"/>
      <c r="HF423" s="773"/>
      <c r="HG423" s="773"/>
      <c r="HH423" s="773"/>
      <c r="HI423" s="773"/>
      <c r="HJ423" s="773"/>
      <c r="HK423" s="773"/>
      <c r="HL423" s="773"/>
      <c r="HM423" s="773"/>
      <c r="HN423" s="773"/>
      <c r="HO423" s="773"/>
      <c r="HP423" s="773"/>
      <c r="HQ423" s="773"/>
      <c r="HR423" s="773"/>
      <c r="HS423" s="773"/>
      <c r="HT423" s="773"/>
      <c r="HU423" s="773"/>
      <c r="HV423" s="773"/>
      <c r="HW423" s="773"/>
      <c r="HX423" s="773"/>
      <c r="HY423" s="773"/>
      <c r="HZ423" s="773"/>
      <c r="IA423" s="773"/>
      <c r="IB423" s="773"/>
      <c r="IC423" s="774"/>
      <c r="ID423" s="774"/>
      <c r="IE423" s="774"/>
      <c r="IF423" s="774"/>
      <c r="IG423" s="774"/>
      <c r="IH423" s="774"/>
      <c r="II423" s="774"/>
      <c r="IJ423" s="774"/>
      <c r="IK423" s="774"/>
      <c r="IL423" s="774"/>
      <c r="IM423" s="774"/>
      <c r="IN423" s="774"/>
      <c r="IO423" s="774"/>
      <c r="IP423" s="774"/>
      <c r="IQ423" s="774"/>
      <c r="IR423" s="774"/>
      <c r="IS423" s="773"/>
      <c r="IT423" s="773"/>
      <c r="IU423" s="773"/>
      <c r="IV423" s="773"/>
      <c r="IW423" s="773"/>
      <c r="IX423" s="773"/>
      <c r="IY423" s="773"/>
      <c r="IZ423" s="773"/>
      <c r="JA423" s="773"/>
      <c r="JB423" s="773"/>
      <c r="JC423" s="773"/>
      <c r="JD423" s="773"/>
      <c r="JE423" s="773"/>
      <c r="JF423" s="773"/>
      <c r="JG423" s="773"/>
      <c r="JH423" s="773"/>
    </row>
    <row r="424" spans="1:268" s="16" customFormat="1" ht="15" customHeight="1" x14ac:dyDescent="0.3">
      <c r="A424" s="772" t="s">
        <v>551</v>
      </c>
      <c r="B424" s="772"/>
      <c r="C424" s="772"/>
      <c r="D424" s="772"/>
      <c r="E424" s="772"/>
      <c r="F424" s="772"/>
      <c r="G424" s="772"/>
      <c r="H424" s="577" t="s">
        <v>596</v>
      </c>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7"/>
      <c r="AL424" s="577"/>
      <c r="AM424" s="577"/>
      <c r="AN424" s="577"/>
      <c r="AO424" s="577"/>
      <c r="AP424" s="577"/>
      <c r="AQ424" s="577"/>
      <c r="AR424" s="577"/>
      <c r="AS424" s="577"/>
      <c r="AT424" s="577"/>
      <c r="AU424" s="577"/>
      <c r="AV424" s="577"/>
      <c r="AW424" s="577"/>
      <c r="AX424" s="577"/>
      <c r="AY424" s="577"/>
      <c r="AZ424" s="577"/>
      <c r="BA424" s="577"/>
      <c r="BB424" s="577"/>
      <c r="BC424" s="771">
        <v>15</v>
      </c>
      <c r="BD424" s="771"/>
      <c r="BE424" s="771"/>
      <c r="BF424" s="771"/>
      <c r="BG424" s="771"/>
      <c r="BH424" s="771"/>
      <c r="BI424" s="771"/>
      <c r="BJ424" s="771"/>
      <c r="BK424" s="771"/>
      <c r="BL424" s="771"/>
      <c r="BM424" s="771"/>
      <c r="BN424" s="771"/>
      <c r="BO424" s="771"/>
      <c r="BP424" s="771"/>
      <c r="BQ424" s="771"/>
      <c r="BR424" s="771"/>
      <c r="BS424" s="771">
        <v>205.47</v>
      </c>
      <c r="BT424" s="771"/>
      <c r="BU424" s="771"/>
      <c r="BV424" s="771"/>
      <c r="BW424" s="771"/>
      <c r="BX424" s="771"/>
      <c r="BY424" s="771"/>
      <c r="BZ424" s="771"/>
      <c r="CA424" s="771"/>
      <c r="CB424" s="771"/>
      <c r="CC424" s="771"/>
      <c r="CD424" s="771"/>
      <c r="CE424" s="771"/>
      <c r="CF424" s="771"/>
      <c r="CG424" s="771"/>
      <c r="CH424" s="771"/>
      <c r="CI424" s="335"/>
      <c r="CJ424" s="335"/>
      <c r="CK424" s="694">
        <v>3205.33</v>
      </c>
      <c r="CL424" s="694"/>
      <c r="CM424" s="694"/>
      <c r="CN424" s="694"/>
      <c r="CO424" s="694"/>
      <c r="CP424" s="694"/>
      <c r="CQ424" s="694"/>
      <c r="CR424" s="694"/>
      <c r="CS424" s="694"/>
      <c r="CT424" s="694"/>
      <c r="CU424" s="694"/>
      <c r="CV424" s="694"/>
      <c r="CW424" s="694"/>
      <c r="CX424" s="694"/>
      <c r="CY424" s="694"/>
      <c r="CZ424" s="695"/>
      <c r="DA424" s="214"/>
      <c r="ES424" s="238"/>
      <c r="GW424" s="773"/>
      <c r="GX424" s="773"/>
      <c r="GY424" s="773"/>
      <c r="GZ424" s="773"/>
      <c r="HA424" s="773"/>
      <c r="HB424" s="773"/>
      <c r="HC424" s="773"/>
      <c r="HD424" s="773"/>
      <c r="HE424" s="773"/>
      <c r="HF424" s="773"/>
      <c r="HG424" s="773"/>
      <c r="HH424" s="773"/>
      <c r="HI424" s="773"/>
      <c r="HJ424" s="773"/>
      <c r="HK424" s="773"/>
      <c r="HL424" s="773"/>
      <c r="HM424" s="773"/>
      <c r="HN424" s="773"/>
      <c r="HO424" s="773"/>
      <c r="HP424" s="773"/>
      <c r="HQ424" s="773"/>
      <c r="HR424" s="773"/>
      <c r="HS424" s="773"/>
      <c r="HT424" s="773"/>
      <c r="HU424" s="773"/>
      <c r="HV424" s="773"/>
      <c r="HW424" s="773"/>
      <c r="HX424" s="773"/>
      <c r="HY424" s="773"/>
      <c r="HZ424" s="773"/>
      <c r="IA424" s="773"/>
      <c r="IB424" s="773"/>
      <c r="IC424" s="774"/>
      <c r="ID424" s="774"/>
      <c r="IE424" s="774"/>
      <c r="IF424" s="774"/>
      <c r="IG424" s="774"/>
      <c r="IH424" s="774"/>
      <c r="II424" s="774"/>
      <c r="IJ424" s="774"/>
      <c r="IK424" s="774"/>
      <c r="IL424" s="774"/>
      <c r="IM424" s="774"/>
      <c r="IN424" s="774"/>
      <c r="IO424" s="774"/>
      <c r="IP424" s="774"/>
      <c r="IQ424" s="774"/>
      <c r="IR424" s="774"/>
      <c r="IS424" s="773"/>
      <c r="IT424" s="773"/>
      <c r="IU424" s="773"/>
      <c r="IV424" s="773"/>
      <c r="IW424" s="773"/>
      <c r="IX424" s="773"/>
      <c r="IY424" s="773"/>
      <c r="IZ424" s="773"/>
      <c r="JA424" s="773"/>
      <c r="JB424" s="773"/>
      <c r="JC424" s="773"/>
      <c r="JD424" s="773"/>
      <c r="JE424" s="773"/>
      <c r="JF424" s="773"/>
      <c r="JG424" s="773"/>
      <c r="JH424" s="773"/>
    </row>
    <row r="425" spans="1:268" s="16" customFormat="1" ht="15" customHeight="1" x14ac:dyDescent="0.3">
      <c r="A425" s="772" t="s">
        <v>599</v>
      </c>
      <c r="B425" s="772"/>
      <c r="C425" s="772"/>
      <c r="D425" s="772"/>
      <c r="E425" s="772"/>
      <c r="F425" s="772"/>
      <c r="G425" s="772"/>
      <c r="H425" s="577" t="s">
        <v>593</v>
      </c>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7"/>
      <c r="AL425" s="577"/>
      <c r="AM425" s="577"/>
      <c r="AN425" s="577"/>
      <c r="AO425" s="577"/>
      <c r="AP425" s="577"/>
      <c r="AQ425" s="577"/>
      <c r="AR425" s="577"/>
      <c r="AS425" s="577"/>
      <c r="AT425" s="577"/>
      <c r="AU425" s="577"/>
      <c r="AV425" s="577"/>
      <c r="AW425" s="577"/>
      <c r="AX425" s="577"/>
      <c r="AY425" s="577"/>
      <c r="AZ425" s="577"/>
      <c r="BA425" s="577"/>
      <c r="BB425" s="577"/>
      <c r="BC425" s="771">
        <v>10</v>
      </c>
      <c r="BD425" s="771"/>
      <c r="BE425" s="771"/>
      <c r="BF425" s="771"/>
      <c r="BG425" s="771"/>
      <c r="BH425" s="771"/>
      <c r="BI425" s="771"/>
      <c r="BJ425" s="771"/>
      <c r="BK425" s="771"/>
      <c r="BL425" s="771"/>
      <c r="BM425" s="771"/>
      <c r="BN425" s="771"/>
      <c r="BO425" s="771"/>
      <c r="BP425" s="771"/>
      <c r="BQ425" s="771"/>
      <c r="BR425" s="771"/>
      <c r="BS425" s="771">
        <v>6597.34</v>
      </c>
      <c r="BT425" s="771"/>
      <c r="BU425" s="771"/>
      <c r="BV425" s="771"/>
      <c r="BW425" s="771"/>
      <c r="BX425" s="771"/>
      <c r="BY425" s="771"/>
      <c r="BZ425" s="771"/>
      <c r="CA425" s="771"/>
      <c r="CB425" s="771"/>
      <c r="CC425" s="771"/>
      <c r="CD425" s="771"/>
      <c r="CE425" s="771"/>
      <c r="CF425" s="771"/>
      <c r="CG425" s="771"/>
      <c r="CH425" s="771"/>
      <c r="CI425" s="335"/>
      <c r="CJ425" s="335"/>
      <c r="CK425" s="694">
        <v>68612.34</v>
      </c>
      <c r="CL425" s="694"/>
      <c r="CM425" s="694"/>
      <c r="CN425" s="694"/>
      <c r="CO425" s="694"/>
      <c r="CP425" s="694"/>
      <c r="CQ425" s="694"/>
      <c r="CR425" s="694"/>
      <c r="CS425" s="694"/>
      <c r="CT425" s="694"/>
      <c r="CU425" s="694"/>
      <c r="CV425" s="694"/>
      <c r="CW425" s="694"/>
      <c r="CX425" s="694"/>
      <c r="CY425" s="694"/>
      <c r="CZ425" s="695"/>
      <c r="DA425" s="214"/>
    </row>
    <row r="426" spans="1:268" s="16" customFormat="1" ht="15" customHeight="1" x14ac:dyDescent="0.3">
      <c r="A426" s="770" t="s">
        <v>292</v>
      </c>
      <c r="B426" s="770"/>
      <c r="C426" s="770"/>
      <c r="D426" s="770"/>
      <c r="E426" s="770"/>
      <c r="F426" s="770"/>
      <c r="G426" s="770"/>
      <c r="H426" s="770"/>
      <c r="I426" s="770"/>
      <c r="J426" s="770"/>
      <c r="K426" s="770"/>
      <c r="L426" s="770"/>
      <c r="M426" s="770"/>
      <c r="N426" s="770"/>
      <c r="O426" s="770"/>
      <c r="P426" s="770"/>
      <c r="Q426" s="770"/>
      <c r="R426" s="770"/>
      <c r="S426" s="770"/>
      <c r="T426" s="770"/>
      <c r="U426" s="770"/>
      <c r="V426" s="770"/>
      <c r="W426" s="770"/>
      <c r="X426" s="770"/>
      <c r="Y426" s="770"/>
      <c r="Z426" s="770"/>
      <c r="AA426" s="770"/>
      <c r="AB426" s="770"/>
      <c r="AC426" s="770"/>
      <c r="AD426" s="770"/>
      <c r="AE426" s="770"/>
      <c r="AF426" s="770"/>
      <c r="AG426" s="770"/>
      <c r="AH426" s="770"/>
      <c r="AI426" s="770"/>
      <c r="AJ426" s="770"/>
      <c r="AK426" s="770"/>
      <c r="AL426" s="770"/>
      <c r="AM426" s="770"/>
      <c r="AN426" s="770"/>
      <c r="AO426" s="770"/>
      <c r="AP426" s="770"/>
      <c r="AQ426" s="770"/>
      <c r="AR426" s="770"/>
      <c r="AS426" s="770"/>
      <c r="AT426" s="770"/>
      <c r="AU426" s="770"/>
      <c r="AV426" s="770"/>
      <c r="AW426" s="770"/>
      <c r="AX426" s="770"/>
      <c r="AY426" s="770"/>
      <c r="AZ426" s="770"/>
      <c r="BA426" s="770"/>
      <c r="BB426" s="770"/>
      <c r="BC426" s="569" t="s">
        <v>4</v>
      </c>
      <c r="BD426" s="569"/>
      <c r="BE426" s="569"/>
      <c r="BF426" s="569"/>
      <c r="BG426" s="569"/>
      <c r="BH426" s="569"/>
      <c r="BI426" s="569"/>
      <c r="BJ426" s="569"/>
      <c r="BK426" s="569"/>
      <c r="BL426" s="569"/>
      <c r="BM426" s="569"/>
      <c r="BN426" s="569"/>
      <c r="BO426" s="569"/>
      <c r="BP426" s="569"/>
      <c r="BQ426" s="569"/>
      <c r="BR426" s="569"/>
      <c r="BS426" s="569" t="s">
        <v>4</v>
      </c>
      <c r="BT426" s="569"/>
      <c r="BU426" s="569"/>
      <c r="BV426" s="569"/>
      <c r="BW426" s="569"/>
      <c r="BX426" s="569"/>
      <c r="BY426" s="569"/>
      <c r="BZ426" s="569"/>
      <c r="CA426" s="569"/>
      <c r="CB426" s="569"/>
      <c r="CC426" s="569"/>
      <c r="CD426" s="569"/>
      <c r="CE426" s="569"/>
      <c r="CF426" s="569"/>
      <c r="CG426" s="569"/>
      <c r="CH426" s="569"/>
      <c r="CI426" s="336"/>
      <c r="CJ426" s="336"/>
      <c r="CK426" s="683">
        <f>CK422+CK423+CK424+CK425</f>
        <v>74945.989999999991</v>
      </c>
      <c r="CL426" s="683"/>
      <c r="CM426" s="683"/>
      <c r="CN426" s="683"/>
      <c r="CO426" s="683"/>
      <c r="CP426" s="683"/>
      <c r="CQ426" s="683"/>
      <c r="CR426" s="683"/>
      <c r="CS426" s="683"/>
      <c r="CT426" s="683"/>
      <c r="CU426" s="683"/>
      <c r="CV426" s="683"/>
      <c r="CW426" s="683"/>
      <c r="CX426" s="683"/>
      <c r="CY426" s="683"/>
      <c r="CZ426" s="684"/>
      <c r="DA426" s="214"/>
    </row>
    <row r="427" spans="1:268" s="16" customFormat="1" ht="15" customHeight="1" x14ac:dyDescent="0.3">
      <c r="A427" s="748" t="s">
        <v>584</v>
      </c>
      <c r="B427" s="749"/>
      <c r="C427" s="749"/>
      <c r="D427" s="749"/>
      <c r="E427" s="749"/>
      <c r="F427" s="749"/>
      <c r="G427" s="749"/>
      <c r="H427" s="749"/>
      <c r="I427" s="749"/>
      <c r="J427" s="749"/>
      <c r="K427" s="749"/>
      <c r="L427" s="749"/>
      <c r="M427" s="749"/>
      <c r="N427" s="749"/>
      <c r="O427" s="749"/>
      <c r="P427" s="749"/>
      <c r="Q427" s="749"/>
      <c r="R427" s="749"/>
      <c r="S427" s="749"/>
      <c r="T427" s="749"/>
      <c r="U427" s="749"/>
      <c r="V427" s="749"/>
      <c r="W427" s="749"/>
      <c r="X427" s="749"/>
      <c r="Y427" s="749"/>
      <c r="Z427" s="749"/>
      <c r="AA427" s="749"/>
      <c r="AB427" s="749"/>
      <c r="AC427" s="749"/>
      <c r="AD427" s="749"/>
      <c r="AE427" s="749"/>
      <c r="AF427" s="749"/>
      <c r="AG427" s="749"/>
      <c r="AH427" s="749"/>
      <c r="AI427" s="749"/>
      <c r="AJ427" s="749"/>
      <c r="AK427" s="749"/>
      <c r="AL427" s="749"/>
      <c r="AM427" s="749"/>
      <c r="AN427" s="749"/>
      <c r="AO427" s="749"/>
      <c r="AP427" s="749"/>
      <c r="AQ427" s="749"/>
      <c r="AR427" s="749"/>
      <c r="AS427" s="749"/>
      <c r="AT427" s="749"/>
      <c r="AU427" s="749"/>
      <c r="AV427" s="749"/>
      <c r="AW427" s="749"/>
      <c r="AX427" s="749"/>
      <c r="AY427" s="749"/>
      <c r="AZ427" s="749"/>
      <c r="BA427" s="749"/>
      <c r="BB427" s="749"/>
      <c r="BC427" s="749"/>
      <c r="BD427" s="749"/>
      <c r="BE427" s="749"/>
      <c r="BF427" s="749"/>
      <c r="BG427" s="749"/>
      <c r="BH427" s="749"/>
      <c r="BI427" s="749"/>
      <c r="BJ427" s="749"/>
      <c r="BK427" s="749"/>
      <c r="BL427" s="749"/>
      <c r="BM427" s="749"/>
      <c r="BN427" s="749"/>
      <c r="BO427" s="749"/>
      <c r="BP427" s="749"/>
      <c r="BQ427" s="749"/>
      <c r="BR427" s="749"/>
      <c r="BS427" s="749"/>
      <c r="BT427" s="749"/>
      <c r="BU427" s="749"/>
      <c r="BV427" s="749"/>
      <c r="BW427" s="749"/>
      <c r="BX427" s="749"/>
      <c r="BY427" s="749"/>
      <c r="BZ427" s="749"/>
      <c r="CA427" s="749"/>
      <c r="CB427" s="749"/>
      <c r="CC427" s="749"/>
      <c r="CD427" s="749"/>
      <c r="CE427" s="749"/>
      <c r="CF427" s="749"/>
      <c r="CG427" s="749"/>
      <c r="CH427" s="749"/>
      <c r="CI427" s="750"/>
      <c r="CJ427" s="750"/>
      <c r="CK427" s="749"/>
      <c r="CL427" s="749"/>
      <c r="CM427" s="749"/>
      <c r="CN427" s="749"/>
      <c r="CO427" s="749"/>
      <c r="CP427" s="749"/>
      <c r="CQ427" s="749"/>
      <c r="CR427" s="749"/>
      <c r="CS427" s="749"/>
      <c r="CT427" s="749"/>
      <c r="CU427" s="749"/>
      <c r="CV427" s="749"/>
      <c r="CW427" s="749"/>
      <c r="CX427" s="749"/>
      <c r="CY427" s="749"/>
      <c r="CZ427" s="751"/>
      <c r="DA427" s="214"/>
    </row>
    <row r="428" spans="1:268" s="16" customFormat="1" ht="15" hidden="1" customHeight="1" x14ac:dyDescent="0.3">
      <c r="A428" s="728" t="s">
        <v>441</v>
      </c>
      <c r="B428" s="729"/>
      <c r="C428" s="729"/>
      <c r="D428" s="729"/>
      <c r="E428" s="729"/>
      <c r="F428" s="729"/>
      <c r="G428" s="730"/>
      <c r="H428" s="587" t="s">
        <v>824</v>
      </c>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8"/>
      <c r="AL428" s="588"/>
      <c r="AM428" s="588"/>
      <c r="AN428" s="589"/>
      <c r="AO428" s="755"/>
      <c r="AP428" s="756"/>
      <c r="AQ428" s="756"/>
      <c r="AR428" s="756"/>
      <c r="AS428" s="756"/>
      <c r="AT428" s="756"/>
      <c r="AU428" s="756"/>
      <c r="AV428" s="756"/>
      <c r="AW428" s="756"/>
      <c r="AX428" s="756"/>
      <c r="AY428" s="756"/>
      <c r="AZ428" s="756"/>
      <c r="BA428" s="756"/>
      <c r="BB428" s="756"/>
      <c r="BC428" s="756"/>
      <c r="BD428" s="757"/>
      <c r="BE428" s="693">
        <v>217.45</v>
      </c>
      <c r="BF428" s="694"/>
      <c r="BG428" s="694"/>
      <c r="BH428" s="694"/>
      <c r="BI428" s="694"/>
      <c r="BJ428" s="694"/>
      <c r="BK428" s="694"/>
      <c r="BL428" s="694"/>
      <c r="BM428" s="694"/>
      <c r="BN428" s="694"/>
      <c r="BO428" s="694"/>
      <c r="BP428" s="694"/>
      <c r="BQ428" s="694"/>
      <c r="BR428" s="694"/>
      <c r="BS428" s="694"/>
      <c r="BT428" s="695"/>
      <c r="BU428" s="752">
        <v>0.04</v>
      </c>
      <c r="BV428" s="753"/>
      <c r="BW428" s="753"/>
      <c r="BX428" s="753"/>
      <c r="BY428" s="753"/>
      <c r="BZ428" s="753"/>
      <c r="CA428" s="753"/>
      <c r="CB428" s="753"/>
      <c r="CC428" s="753"/>
      <c r="CD428" s="753"/>
      <c r="CE428" s="753"/>
      <c r="CF428" s="753"/>
      <c r="CG428" s="753"/>
      <c r="CH428" s="753"/>
      <c r="CI428" s="753"/>
      <c r="CJ428" s="754"/>
      <c r="CK428" s="693">
        <f>ROUND(AO428*BE428*BU428+(AO428*BE428),2)</f>
        <v>0</v>
      </c>
      <c r="CL428" s="694"/>
      <c r="CM428" s="694"/>
      <c r="CN428" s="694"/>
      <c r="CO428" s="694"/>
      <c r="CP428" s="694"/>
      <c r="CQ428" s="694"/>
      <c r="CR428" s="694"/>
      <c r="CS428" s="694"/>
      <c r="CT428" s="694"/>
      <c r="CU428" s="694"/>
      <c r="CV428" s="694"/>
      <c r="CW428" s="694"/>
      <c r="CX428" s="694"/>
      <c r="CY428" s="694"/>
      <c r="CZ428" s="695"/>
      <c r="DA428" s="214"/>
    </row>
    <row r="429" spans="1:268" s="16" customFormat="1" ht="15" hidden="1" customHeight="1" x14ac:dyDescent="0.3">
      <c r="A429" s="728" t="s">
        <v>444</v>
      </c>
      <c r="B429" s="729"/>
      <c r="C429" s="729"/>
      <c r="D429" s="729"/>
      <c r="E429" s="729"/>
      <c r="F429" s="729"/>
      <c r="G429" s="730"/>
      <c r="H429" s="587" t="s">
        <v>595</v>
      </c>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8"/>
      <c r="AL429" s="588"/>
      <c r="AM429" s="588"/>
      <c r="AN429" s="589"/>
      <c r="AO429" s="755"/>
      <c r="AP429" s="756"/>
      <c r="AQ429" s="756"/>
      <c r="AR429" s="756"/>
      <c r="AS429" s="756"/>
      <c r="AT429" s="756"/>
      <c r="AU429" s="756"/>
      <c r="AV429" s="756"/>
      <c r="AW429" s="756"/>
      <c r="AX429" s="756"/>
      <c r="AY429" s="756"/>
      <c r="AZ429" s="756"/>
      <c r="BA429" s="756"/>
      <c r="BB429" s="756"/>
      <c r="BC429" s="756"/>
      <c r="BD429" s="757"/>
      <c r="BE429" s="693">
        <v>181.2</v>
      </c>
      <c r="BF429" s="694"/>
      <c r="BG429" s="694"/>
      <c r="BH429" s="694"/>
      <c r="BI429" s="694"/>
      <c r="BJ429" s="694"/>
      <c r="BK429" s="694"/>
      <c r="BL429" s="694"/>
      <c r="BM429" s="694"/>
      <c r="BN429" s="694"/>
      <c r="BO429" s="694"/>
      <c r="BP429" s="694"/>
      <c r="BQ429" s="694"/>
      <c r="BR429" s="694"/>
      <c r="BS429" s="694"/>
      <c r="BT429" s="695"/>
      <c r="BU429" s="752">
        <v>0.04</v>
      </c>
      <c r="BV429" s="753"/>
      <c r="BW429" s="753"/>
      <c r="BX429" s="753"/>
      <c r="BY429" s="753"/>
      <c r="BZ429" s="753"/>
      <c r="CA429" s="753"/>
      <c r="CB429" s="753"/>
      <c r="CC429" s="753"/>
      <c r="CD429" s="753"/>
      <c r="CE429" s="753"/>
      <c r="CF429" s="753"/>
      <c r="CG429" s="753"/>
      <c r="CH429" s="753"/>
      <c r="CI429" s="753"/>
      <c r="CJ429" s="754"/>
      <c r="CK429" s="693">
        <f>ROUND(AO429*BE429*BU429+(AO429*BE429),2)</f>
        <v>0</v>
      </c>
      <c r="CL429" s="694"/>
      <c r="CM429" s="694"/>
      <c r="CN429" s="694"/>
      <c r="CO429" s="694"/>
      <c r="CP429" s="694"/>
      <c r="CQ429" s="694"/>
      <c r="CR429" s="694"/>
      <c r="CS429" s="694"/>
      <c r="CT429" s="694"/>
      <c r="CU429" s="694"/>
      <c r="CV429" s="694"/>
      <c r="CW429" s="694"/>
      <c r="CX429" s="694"/>
      <c r="CY429" s="694"/>
      <c r="CZ429" s="695"/>
      <c r="DA429" s="214"/>
    </row>
    <row r="430" spans="1:268" s="16" customFormat="1" ht="15" hidden="1" customHeight="1" x14ac:dyDescent="0.3">
      <c r="A430" s="630" t="s">
        <v>444</v>
      </c>
      <c r="B430" s="631"/>
      <c r="C430" s="631"/>
      <c r="D430" s="631"/>
      <c r="E430" s="631"/>
      <c r="F430" s="631"/>
      <c r="G430" s="632"/>
      <c r="H430" s="584" t="s">
        <v>596</v>
      </c>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5"/>
      <c r="AL430" s="585"/>
      <c r="AM430" s="585"/>
      <c r="AN430" s="586"/>
      <c r="AO430" s="639"/>
      <c r="AP430" s="640"/>
      <c r="AQ430" s="640"/>
      <c r="AR430" s="640"/>
      <c r="AS430" s="640"/>
      <c r="AT430" s="640"/>
      <c r="AU430" s="640"/>
      <c r="AV430" s="640"/>
      <c r="AW430" s="640"/>
      <c r="AX430" s="640"/>
      <c r="AY430" s="640"/>
      <c r="AZ430" s="640"/>
      <c r="BA430" s="640"/>
      <c r="BB430" s="640"/>
      <c r="BC430" s="640"/>
      <c r="BD430" s="641"/>
      <c r="BE430" s="693">
        <v>205.47</v>
      </c>
      <c r="BF430" s="694"/>
      <c r="BG430" s="694"/>
      <c r="BH430" s="694"/>
      <c r="BI430" s="694"/>
      <c r="BJ430" s="694"/>
      <c r="BK430" s="694"/>
      <c r="BL430" s="694"/>
      <c r="BM430" s="694"/>
      <c r="BN430" s="694"/>
      <c r="BO430" s="694"/>
      <c r="BP430" s="694"/>
      <c r="BQ430" s="694"/>
      <c r="BR430" s="694"/>
      <c r="BS430" s="694"/>
      <c r="BT430" s="695"/>
      <c r="BU430" s="696">
        <v>0.04</v>
      </c>
      <c r="BV430" s="697"/>
      <c r="BW430" s="697"/>
      <c r="BX430" s="697"/>
      <c r="BY430" s="697"/>
      <c r="BZ430" s="697"/>
      <c r="CA430" s="697"/>
      <c r="CB430" s="697"/>
      <c r="CC430" s="697"/>
      <c r="CD430" s="697"/>
      <c r="CE430" s="697"/>
      <c r="CF430" s="697"/>
      <c r="CG430" s="697"/>
      <c r="CH430" s="697"/>
      <c r="CI430" s="697"/>
      <c r="CJ430" s="698"/>
      <c r="CK430" s="627">
        <f>ROUND(AO430*BE430*BU430+(AO430*BE430),2)</f>
        <v>0</v>
      </c>
      <c r="CL430" s="628"/>
      <c r="CM430" s="628"/>
      <c r="CN430" s="628"/>
      <c r="CO430" s="628"/>
      <c r="CP430" s="628"/>
      <c r="CQ430" s="628"/>
      <c r="CR430" s="628"/>
      <c r="CS430" s="628"/>
      <c r="CT430" s="628"/>
      <c r="CU430" s="628"/>
      <c r="CV430" s="628"/>
      <c r="CW430" s="628"/>
      <c r="CX430" s="628"/>
      <c r="CY430" s="628"/>
      <c r="CZ430" s="629"/>
      <c r="DA430" s="214"/>
    </row>
    <row r="431" spans="1:268" s="16" customFormat="1" ht="15" hidden="1" customHeight="1" x14ac:dyDescent="0.3">
      <c r="A431" s="553" t="s">
        <v>292</v>
      </c>
      <c r="B431" s="554"/>
      <c r="C431" s="554"/>
      <c r="D431" s="554"/>
      <c r="E431" s="554"/>
      <c r="F431" s="554"/>
      <c r="G431" s="554"/>
      <c r="H431" s="554"/>
      <c r="I431" s="554"/>
      <c r="J431" s="554"/>
      <c r="K431" s="554"/>
      <c r="L431" s="554"/>
      <c r="M431" s="554"/>
      <c r="N431" s="554"/>
      <c r="O431" s="554"/>
      <c r="P431" s="554"/>
      <c r="Q431" s="554"/>
      <c r="R431" s="554"/>
      <c r="S431" s="554"/>
      <c r="T431" s="554"/>
      <c r="U431" s="554"/>
      <c r="V431" s="554"/>
      <c r="W431" s="554"/>
      <c r="X431" s="554"/>
      <c r="Y431" s="554"/>
      <c r="Z431" s="554"/>
      <c r="AA431" s="554"/>
      <c r="AB431" s="554"/>
      <c r="AC431" s="554"/>
      <c r="AD431" s="554"/>
      <c r="AE431" s="554"/>
      <c r="AF431" s="554"/>
      <c r="AG431" s="554"/>
      <c r="AH431" s="554"/>
      <c r="AI431" s="554"/>
      <c r="AJ431" s="554"/>
      <c r="AK431" s="554"/>
      <c r="AL431" s="554"/>
      <c r="AM431" s="554"/>
      <c r="AN431" s="555"/>
      <c r="AO431" s="544" t="s">
        <v>4</v>
      </c>
      <c r="AP431" s="545"/>
      <c r="AQ431" s="545"/>
      <c r="AR431" s="545"/>
      <c r="AS431" s="545"/>
      <c r="AT431" s="545"/>
      <c r="AU431" s="545"/>
      <c r="AV431" s="545"/>
      <c r="AW431" s="545"/>
      <c r="AX431" s="545"/>
      <c r="AY431" s="545"/>
      <c r="AZ431" s="545"/>
      <c r="BA431" s="545"/>
      <c r="BB431" s="545"/>
      <c r="BC431" s="545"/>
      <c r="BD431" s="546"/>
      <c r="BE431" s="544" t="s">
        <v>4</v>
      </c>
      <c r="BF431" s="545"/>
      <c r="BG431" s="545"/>
      <c r="BH431" s="545"/>
      <c r="BI431" s="545"/>
      <c r="BJ431" s="545"/>
      <c r="BK431" s="545"/>
      <c r="BL431" s="545"/>
      <c r="BM431" s="545"/>
      <c r="BN431" s="545"/>
      <c r="BO431" s="545"/>
      <c r="BP431" s="545"/>
      <c r="BQ431" s="545"/>
      <c r="BR431" s="545"/>
      <c r="BS431" s="545"/>
      <c r="BT431" s="546"/>
      <c r="BU431" s="544" t="s">
        <v>4</v>
      </c>
      <c r="BV431" s="545"/>
      <c r="BW431" s="545"/>
      <c r="BX431" s="545"/>
      <c r="BY431" s="545"/>
      <c r="BZ431" s="545"/>
      <c r="CA431" s="545"/>
      <c r="CB431" s="545"/>
      <c r="CC431" s="545"/>
      <c r="CD431" s="545"/>
      <c r="CE431" s="545"/>
      <c r="CF431" s="545"/>
      <c r="CG431" s="545"/>
      <c r="CH431" s="545"/>
      <c r="CI431" s="545"/>
      <c r="CJ431" s="546"/>
      <c r="CK431" s="636">
        <f>SUM(CK428:CK430)</f>
        <v>0</v>
      </c>
      <c r="CL431" s="654"/>
      <c r="CM431" s="654"/>
      <c r="CN431" s="654"/>
      <c r="CO431" s="654"/>
      <c r="CP431" s="654"/>
      <c r="CQ431" s="654"/>
      <c r="CR431" s="654"/>
      <c r="CS431" s="654"/>
      <c r="CT431" s="654"/>
      <c r="CU431" s="654"/>
      <c r="CV431" s="654"/>
      <c r="CW431" s="654"/>
      <c r="CX431" s="654"/>
      <c r="CY431" s="654"/>
      <c r="CZ431" s="655"/>
      <c r="DA431" s="214"/>
    </row>
    <row r="432" spans="1:268" s="16" customFormat="1" ht="15" customHeight="1" x14ac:dyDescent="0.3">
      <c r="A432" s="659" t="s">
        <v>56</v>
      </c>
      <c r="B432" s="659"/>
      <c r="C432" s="659"/>
      <c r="D432" s="659"/>
      <c r="E432" s="659"/>
      <c r="F432" s="659"/>
      <c r="G432" s="659"/>
      <c r="H432" s="659"/>
      <c r="I432" s="659"/>
      <c r="J432" s="659"/>
      <c r="K432" s="659"/>
      <c r="L432" s="659"/>
      <c r="M432" s="659"/>
      <c r="N432" s="659"/>
      <c r="O432" s="659"/>
      <c r="P432" s="659"/>
      <c r="Q432" s="659"/>
      <c r="R432" s="659"/>
      <c r="S432" s="659"/>
      <c r="T432" s="659"/>
      <c r="U432" s="659"/>
      <c r="V432" s="659"/>
      <c r="W432" s="659"/>
      <c r="X432" s="659"/>
      <c r="Y432" s="659"/>
      <c r="Z432" s="659"/>
      <c r="AA432" s="659"/>
      <c r="AB432" s="659"/>
      <c r="AC432" s="659"/>
      <c r="AD432" s="659"/>
      <c r="AE432" s="659"/>
      <c r="AF432" s="659"/>
      <c r="AG432" s="659"/>
      <c r="AH432" s="659"/>
      <c r="AI432" s="659"/>
      <c r="AJ432" s="659"/>
      <c r="AK432" s="659"/>
      <c r="AL432" s="659"/>
      <c r="AM432" s="659"/>
      <c r="AN432" s="659"/>
      <c r="AO432" s="659"/>
      <c r="AP432" s="659"/>
      <c r="AQ432" s="659"/>
      <c r="AR432" s="659"/>
      <c r="AS432" s="659"/>
      <c r="AT432" s="659"/>
      <c r="AU432" s="659"/>
      <c r="AV432" s="659"/>
      <c r="AW432" s="659"/>
      <c r="AX432" s="659"/>
      <c r="AY432" s="659"/>
      <c r="AZ432" s="659"/>
      <c r="BA432" s="659"/>
      <c r="BB432" s="659"/>
      <c r="BC432" s="582" t="s">
        <v>4</v>
      </c>
      <c r="BD432" s="582"/>
      <c r="BE432" s="582"/>
      <c r="BF432" s="582"/>
      <c r="BG432" s="582"/>
      <c r="BH432" s="582"/>
      <c r="BI432" s="582"/>
      <c r="BJ432" s="582"/>
      <c r="BK432" s="582"/>
      <c r="BL432" s="582"/>
      <c r="BM432" s="582"/>
      <c r="BN432" s="582"/>
      <c r="BO432" s="582"/>
      <c r="BP432" s="582"/>
      <c r="BQ432" s="582"/>
      <c r="BR432" s="582"/>
      <c r="BS432" s="582" t="s">
        <v>4</v>
      </c>
      <c r="BT432" s="582"/>
      <c r="BU432" s="582"/>
      <c r="BV432" s="582"/>
      <c r="BW432" s="582"/>
      <c r="BX432" s="582"/>
      <c r="BY432" s="582"/>
      <c r="BZ432" s="582"/>
      <c r="CA432" s="582"/>
      <c r="CB432" s="582"/>
      <c r="CC432" s="582"/>
      <c r="CD432" s="582"/>
      <c r="CE432" s="582"/>
      <c r="CF432" s="582"/>
      <c r="CG432" s="582"/>
      <c r="CH432" s="582"/>
      <c r="CI432" s="337"/>
      <c r="CJ432" s="338"/>
      <c r="CK432" s="636">
        <f>CK426+CK431</f>
        <v>74945.989999999991</v>
      </c>
      <c r="CL432" s="654"/>
      <c r="CM432" s="654"/>
      <c r="CN432" s="654"/>
      <c r="CO432" s="654"/>
      <c r="CP432" s="654"/>
      <c r="CQ432" s="654"/>
      <c r="CR432" s="654"/>
      <c r="CS432" s="654"/>
      <c r="CT432" s="654"/>
      <c r="CU432" s="654"/>
      <c r="CV432" s="654"/>
      <c r="CW432" s="654"/>
      <c r="CX432" s="654"/>
      <c r="CY432" s="654"/>
      <c r="CZ432" s="655"/>
      <c r="DA432" s="214"/>
    </row>
    <row r="433" spans="1:105" s="16" customFormat="1" ht="15" customHeight="1" x14ac:dyDescent="0.3">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14"/>
    </row>
    <row r="434" spans="1:105" s="20" customFormat="1" x14ac:dyDescent="0.25">
      <c r="A434" s="594" t="s">
        <v>359</v>
      </c>
      <c r="B434" s="594"/>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4"/>
      <c r="AL434" s="594"/>
      <c r="AM434" s="594"/>
      <c r="AN434" s="594"/>
      <c r="AO434" s="594"/>
      <c r="AP434" s="594"/>
      <c r="AQ434" s="594"/>
      <c r="AR434" s="594"/>
      <c r="AS434" s="594"/>
      <c r="AT434" s="594"/>
      <c r="AU434" s="594"/>
      <c r="AV434" s="594"/>
      <c r="AW434" s="594"/>
      <c r="AX434" s="594"/>
      <c r="AY434" s="594"/>
      <c r="AZ434" s="594"/>
      <c r="BA434" s="594"/>
      <c r="BB434" s="594"/>
      <c r="BC434" s="594"/>
      <c r="BD434" s="594"/>
      <c r="BE434" s="594"/>
      <c r="BF434" s="594"/>
      <c r="BG434" s="594"/>
      <c r="BH434" s="594"/>
      <c r="BI434" s="594"/>
      <c r="BJ434" s="594"/>
      <c r="BK434" s="594"/>
      <c r="BL434" s="594"/>
      <c r="BM434" s="594"/>
      <c r="BN434" s="594"/>
      <c r="BO434" s="594"/>
      <c r="BP434" s="594"/>
      <c r="BQ434" s="594"/>
      <c r="BR434" s="594"/>
      <c r="BS434" s="594"/>
      <c r="BT434" s="594"/>
      <c r="BU434" s="594"/>
      <c r="BV434" s="594"/>
      <c r="BW434" s="594"/>
      <c r="BX434" s="594"/>
      <c r="BY434" s="594"/>
      <c r="BZ434" s="594"/>
      <c r="CA434" s="594"/>
      <c r="CB434" s="594"/>
      <c r="CC434" s="594"/>
      <c r="CD434" s="594"/>
      <c r="CE434" s="594"/>
      <c r="CF434" s="594"/>
      <c r="CG434" s="594"/>
      <c r="CH434" s="594"/>
      <c r="CI434" s="594"/>
      <c r="CJ434" s="594"/>
      <c r="CK434" s="594"/>
      <c r="CL434" s="594"/>
      <c r="CM434" s="594"/>
      <c r="CN434" s="594"/>
      <c r="CO434" s="594"/>
      <c r="CP434" s="594"/>
      <c r="CQ434" s="594"/>
      <c r="CR434" s="594"/>
      <c r="CS434" s="594"/>
      <c r="CT434" s="594"/>
      <c r="CU434" s="594"/>
      <c r="CV434" s="594"/>
      <c r="CW434" s="594"/>
      <c r="CX434" s="594"/>
      <c r="CY434" s="594"/>
      <c r="CZ434" s="594"/>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595" t="s">
        <v>587</v>
      </c>
      <c r="X436" s="595"/>
      <c r="Y436" s="595"/>
      <c r="Z436" s="595"/>
      <c r="AA436" s="595"/>
      <c r="AB436" s="595"/>
      <c r="AC436" s="595"/>
      <c r="AD436" s="595"/>
      <c r="AE436" s="595"/>
      <c r="AF436" s="595"/>
      <c r="AG436" s="595"/>
      <c r="AH436" s="595"/>
      <c r="AI436" s="595"/>
      <c r="AJ436" s="595"/>
      <c r="AK436" s="595"/>
      <c r="AL436" s="595"/>
      <c r="AM436" s="595"/>
      <c r="AN436" s="595"/>
      <c r="AO436" s="595"/>
      <c r="AP436" s="595"/>
      <c r="AQ436" s="595"/>
      <c r="AR436" s="595"/>
      <c r="AS436" s="595"/>
      <c r="AT436" s="595"/>
      <c r="AU436" s="595"/>
      <c r="AV436" s="595"/>
      <c r="AW436" s="595"/>
      <c r="AX436" s="595"/>
      <c r="AY436" s="595"/>
      <c r="AZ436" s="595"/>
      <c r="BA436" s="595"/>
      <c r="BB436" s="595"/>
      <c r="BC436" s="595"/>
      <c r="BD436" s="595"/>
      <c r="BE436" s="595"/>
      <c r="BF436" s="595"/>
      <c r="BG436" s="595"/>
      <c r="BH436" s="595"/>
      <c r="BI436" s="595"/>
      <c r="BJ436" s="595"/>
      <c r="BK436" s="595"/>
      <c r="BL436" s="595"/>
      <c r="BM436" s="595"/>
      <c r="BN436" s="595"/>
      <c r="BO436" s="595"/>
      <c r="BP436" s="595"/>
      <c r="BQ436" s="595"/>
      <c r="BR436" s="595"/>
      <c r="BS436" s="595"/>
      <c r="BT436" s="595"/>
      <c r="BU436" s="595"/>
      <c r="BV436" s="595"/>
      <c r="BW436" s="595"/>
      <c r="BX436" s="595"/>
      <c r="BY436" s="595"/>
      <c r="BZ436" s="595"/>
      <c r="CA436" s="595"/>
      <c r="CB436" s="595"/>
      <c r="CC436" s="595"/>
      <c r="CD436" s="595"/>
      <c r="CE436" s="595"/>
      <c r="CF436" s="595"/>
      <c r="CG436" s="595"/>
      <c r="CH436" s="595"/>
      <c r="CI436" s="595"/>
      <c r="CJ436" s="595"/>
      <c r="CK436" s="595"/>
      <c r="CL436" s="595"/>
      <c r="CM436" s="595"/>
      <c r="CN436" s="595"/>
      <c r="CO436" s="595"/>
      <c r="CP436" s="595"/>
      <c r="CQ436" s="595"/>
      <c r="CR436" s="595"/>
      <c r="CS436" s="595"/>
      <c r="CT436" s="595"/>
      <c r="CU436" s="595"/>
      <c r="CV436" s="595"/>
      <c r="CW436" s="595"/>
      <c r="CX436" s="595"/>
      <c r="CY436" s="595"/>
      <c r="CZ436" s="595"/>
      <c r="DA436" s="230">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475" t="s">
        <v>49</v>
      </c>
      <c r="B438" s="476"/>
      <c r="C438" s="476"/>
      <c r="D438" s="476"/>
      <c r="E438" s="476"/>
      <c r="F438" s="476"/>
      <c r="G438" s="477"/>
      <c r="H438" s="475" t="s">
        <v>0</v>
      </c>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6"/>
      <c r="AL438" s="476"/>
      <c r="AM438" s="476"/>
      <c r="AN438" s="476"/>
      <c r="AO438" s="476"/>
      <c r="AP438" s="476"/>
      <c r="AQ438" s="476"/>
      <c r="AR438" s="476"/>
      <c r="AS438" s="476"/>
      <c r="AT438" s="476"/>
      <c r="AU438" s="476"/>
      <c r="AV438" s="476"/>
      <c r="AW438" s="476"/>
      <c r="AX438" s="476"/>
      <c r="AY438" s="476"/>
      <c r="AZ438" s="476"/>
      <c r="BA438" s="476"/>
      <c r="BB438" s="477"/>
      <c r="BC438" s="597" t="s">
        <v>94</v>
      </c>
      <c r="BD438" s="598"/>
      <c r="BE438" s="598"/>
      <c r="BF438" s="598"/>
      <c r="BG438" s="598"/>
      <c r="BH438" s="598"/>
      <c r="BI438" s="598"/>
      <c r="BJ438" s="598"/>
      <c r="BK438" s="598"/>
      <c r="BL438" s="598"/>
      <c r="BM438" s="598"/>
      <c r="BN438" s="598"/>
      <c r="BO438" s="598"/>
      <c r="BP438" s="598"/>
      <c r="BQ438" s="598"/>
      <c r="BR438" s="599"/>
      <c r="BS438" s="597" t="s">
        <v>310</v>
      </c>
      <c r="BT438" s="598"/>
      <c r="BU438" s="598"/>
      <c r="BV438" s="598"/>
      <c r="BW438" s="598"/>
      <c r="BX438" s="598"/>
      <c r="BY438" s="598"/>
      <c r="BZ438" s="598"/>
      <c r="CA438" s="598"/>
      <c r="CB438" s="598"/>
      <c r="CC438" s="598"/>
      <c r="CD438" s="598"/>
      <c r="CE438" s="598"/>
      <c r="CF438" s="598"/>
      <c r="CG438" s="598"/>
      <c r="CH438" s="599"/>
      <c r="CI438" s="597" t="s">
        <v>309</v>
      </c>
      <c r="CJ438" s="598"/>
      <c r="CK438" s="598"/>
      <c r="CL438" s="598"/>
      <c r="CM438" s="598"/>
      <c r="CN438" s="598"/>
      <c r="CO438" s="598"/>
      <c r="CP438" s="598"/>
      <c r="CQ438" s="598"/>
      <c r="CR438" s="598"/>
      <c r="CS438" s="598"/>
      <c r="CT438" s="598"/>
      <c r="CU438" s="598"/>
      <c r="CV438" s="598"/>
      <c r="CW438" s="598"/>
      <c r="CX438" s="598"/>
      <c r="CY438" s="598"/>
      <c r="CZ438" s="599"/>
      <c r="DA438" s="218"/>
    </row>
    <row r="439" spans="1:105" s="15" customFormat="1" ht="13.2" x14ac:dyDescent="0.3">
      <c r="A439" s="591">
        <v>1</v>
      </c>
      <c r="B439" s="591"/>
      <c r="C439" s="591"/>
      <c r="D439" s="591"/>
      <c r="E439" s="591"/>
      <c r="F439" s="591"/>
      <c r="G439" s="591"/>
      <c r="H439" s="591">
        <v>2</v>
      </c>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1"/>
      <c r="AL439" s="591"/>
      <c r="AM439" s="591"/>
      <c r="AN439" s="591"/>
      <c r="AO439" s="591"/>
      <c r="AP439" s="591"/>
      <c r="AQ439" s="591"/>
      <c r="AR439" s="591"/>
      <c r="AS439" s="591"/>
      <c r="AT439" s="591"/>
      <c r="AU439" s="591"/>
      <c r="AV439" s="591"/>
      <c r="AW439" s="591"/>
      <c r="AX439" s="591"/>
      <c r="AY439" s="591"/>
      <c r="AZ439" s="591"/>
      <c r="BA439" s="591"/>
      <c r="BB439" s="591"/>
      <c r="BC439" s="591">
        <v>3</v>
      </c>
      <c r="BD439" s="591"/>
      <c r="BE439" s="591"/>
      <c r="BF439" s="591"/>
      <c r="BG439" s="591"/>
      <c r="BH439" s="591"/>
      <c r="BI439" s="591"/>
      <c r="BJ439" s="591"/>
      <c r="BK439" s="591"/>
      <c r="BL439" s="591"/>
      <c r="BM439" s="591"/>
      <c r="BN439" s="591"/>
      <c r="BO439" s="591"/>
      <c r="BP439" s="591"/>
      <c r="BQ439" s="591"/>
      <c r="BR439" s="591"/>
      <c r="BS439" s="591">
        <v>4</v>
      </c>
      <c r="BT439" s="591"/>
      <c r="BU439" s="591"/>
      <c r="BV439" s="591"/>
      <c r="BW439" s="591"/>
      <c r="BX439" s="591"/>
      <c r="BY439" s="591"/>
      <c r="BZ439" s="591"/>
      <c r="CA439" s="591"/>
      <c r="CB439" s="591"/>
      <c r="CC439" s="591"/>
      <c r="CD439" s="591"/>
      <c r="CE439" s="591"/>
      <c r="CF439" s="591"/>
      <c r="CG439" s="591"/>
      <c r="CH439" s="591"/>
      <c r="CI439" s="591">
        <v>5</v>
      </c>
      <c r="CJ439" s="591"/>
      <c r="CK439" s="591"/>
      <c r="CL439" s="591"/>
      <c r="CM439" s="591"/>
      <c r="CN439" s="591"/>
      <c r="CO439" s="591"/>
      <c r="CP439" s="591"/>
      <c r="CQ439" s="591"/>
      <c r="CR439" s="591"/>
      <c r="CS439" s="591"/>
      <c r="CT439" s="591"/>
      <c r="CU439" s="591"/>
      <c r="CV439" s="591"/>
      <c r="CW439" s="591"/>
      <c r="CX439" s="591"/>
      <c r="CY439" s="591"/>
      <c r="CZ439" s="591"/>
      <c r="DA439" s="219"/>
    </row>
    <row r="440" spans="1:105" s="16" customFormat="1" ht="15" customHeight="1" x14ac:dyDescent="0.3">
      <c r="A440" s="648" t="s">
        <v>569</v>
      </c>
      <c r="B440" s="649"/>
      <c r="C440" s="649"/>
      <c r="D440" s="649"/>
      <c r="E440" s="649"/>
      <c r="F440" s="649"/>
      <c r="G440" s="649"/>
      <c r="H440" s="649"/>
      <c r="I440" s="649"/>
      <c r="J440" s="649"/>
      <c r="K440" s="649"/>
      <c r="L440" s="649"/>
      <c r="M440" s="649"/>
      <c r="N440" s="649"/>
      <c r="O440" s="649"/>
      <c r="P440" s="649"/>
      <c r="Q440" s="649"/>
      <c r="R440" s="649"/>
      <c r="S440" s="649"/>
      <c r="T440" s="649"/>
      <c r="U440" s="649"/>
      <c r="V440" s="649"/>
      <c r="W440" s="649"/>
      <c r="X440" s="649"/>
      <c r="Y440" s="649"/>
      <c r="Z440" s="649"/>
      <c r="AA440" s="649"/>
      <c r="AB440" s="649"/>
      <c r="AC440" s="649"/>
      <c r="AD440" s="649"/>
      <c r="AE440" s="649"/>
      <c r="AF440" s="649"/>
      <c r="AG440" s="649"/>
      <c r="AH440" s="649"/>
      <c r="AI440" s="649"/>
      <c r="AJ440" s="649"/>
      <c r="AK440" s="649"/>
      <c r="AL440" s="649"/>
      <c r="AM440" s="649"/>
      <c r="AN440" s="649"/>
      <c r="AO440" s="649"/>
      <c r="AP440" s="649"/>
      <c r="AQ440" s="649"/>
      <c r="AR440" s="649"/>
      <c r="AS440" s="649"/>
      <c r="AT440" s="649"/>
      <c r="AU440" s="649"/>
      <c r="AV440" s="649"/>
      <c r="AW440" s="649"/>
      <c r="AX440" s="649"/>
      <c r="AY440" s="649"/>
      <c r="AZ440" s="649"/>
      <c r="BA440" s="649"/>
      <c r="BB440" s="649"/>
      <c r="BC440" s="649"/>
      <c r="BD440" s="649"/>
      <c r="BE440" s="649"/>
      <c r="BF440" s="649"/>
      <c r="BG440" s="649"/>
      <c r="BH440" s="649"/>
      <c r="BI440" s="649"/>
      <c r="BJ440" s="649"/>
      <c r="BK440" s="649"/>
      <c r="BL440" s="649"/>
      <c r="BM440" s="649"/>
      <c r="BN440" s="649"/>
      <c r="BO440" s="649"/>
      <c r="BP440" s="649"/>
      <c r="BQ440" s="649"/>
      <c r="BR440" s="649"/>
      <c r="BS440" s="649"/>
      <c r="BT440" s="649"/>
      <c r="BU440" s="649"/>
      <c r="BV440" s="649"/>
      <c r="BW440" s="649"/>
      <c r="BX440" s="649"/>
      <c r="BY440" s="649"/>
      <c r="BZ440" s="649"/>
      <c r="CA440" s="649"/>
      <c r="CB440" s="649"/>
      <c r="CC440" s="649"/>
      <c r="CD440" s="649"/>
      <c r="CE440" s="649"/>
      <c r="CF440" s="649"/>
      <c r="CG440" s="649"/>
      <c r="CH440" s="649"/>
      <c r="CI440" s="649"/>
      <c r="CJ440" s="649"/>
      <c r="CK440" s="649"/>
      <c r="CL440" s="649"/>
      <c r="CM440" s="649"/>
      <c r="CN440" s="649"/>
      <c r="CO440" s="649"/>
      <c r="CP440" s="649"/>
      <c r="CQ440" s="649"/>
      <c r="CR440" s="649"/>
      <c r="CS440" s="649"/>
      <c r="CT440" s="649"/>
      <c r="CU440" s="649"/>
      <c r="CV440" s="649"/>
      <c r="CW440" s="649"/>
      <c r="CX440" s="649"/>
      <c r="CY440" s="649"/>
      <c r="CZ440" s="649"/>
      <c r="DA440" s="214"/>
    </row>
    <row r="441" spans="1:105" s="16" customFormat="1" ht="15" customHeight="1" x14ac:dyDescent="0.3">
      <c r="A441" s="630" t="s">
        <v>67</v>
      </c>
      <c r="B441" s="631"/>
      <c r="C441" s="631"/>
      <c r="D441" s="631"/>
      <c r="E441" s="631"/>
      <c r="F441" s="631"/>
      <c r="G441" s="632"/>
      <c r="H441" s="584" t="s">
        <v>607</v>
      </c>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5"/>
      <c r="AL441" s="585"/>
      <c r="AM441" s="585"/>
      <c r="AN441" s="585"/>
      <c r="AO441" s="585"/>
      <c r="AP441" s="585"/>
      <c r="AQ441" s="585"/>
      <c r="AR441" s="585"/>
      <c r="AS441" s="585"/>
      <c r="AT441" s="585"/>
      <c r="AU441" s="585"/>
      <c r="AV441" s="585"/>
      <c r="AW441" s="585"/>
      <c r="AX441" s="585"/>
      <c r="AY441" s="585"/>
      <c r="AZ441" s="585"/>
      <c r="BA441" s="585"/>
      <c r="BB441" s="586"/>
      <c r="BC441" s="675">
        <v>1</v>
      </c>
      <c r="BD441" s="676"/>
      <c r="BE441" s="676"/>
      <c r="BF441" s="676"/>
      <c r="BG441" s="676"/>
      <c r="BH441" s="676"/>
      <c r="BI441" s="676"/>
      <c r="BJ441" s="676"/>
      <c r="BK441" s="676"/>
      <c r="BL441" s="676"/>
      <c r="BM441" s="676"/>
      <c r="BN441" s="676"/>
      <c r="BO441" s="676"/>
      <c r="BP441" s="676"/>
      <c r="BQ441" s="676"/>
      <c r="BR441" s="677"/>
      <c r="BS441" s="627">
        <v>5000</v>
      </c>
      <c r="BT441" s="628"/>
      <c r="BU441" s="628"/>
      <c r="BV441" s="628"/>
      <c r="BW441" s="628"/>
      <c r="BX441" s="628"/>
      <c r="BY441" s="628"/>
      <c r="BZ441" s="628"/>
      <c r="CA441" s="628"/>
      <c r="CB441" s="628"/>
      <c r="CC441" s="628"/>
      <c r="CD441" s="628"/>
      <c r="CE441" s="628"/>
      <c r="CF441" s="628"/>
      <c r="CG441" s="628"/>
      <c r="CH441" s="629"/>
      <c r="CI441" s="627">
        <f t="shared" ref="CI441:CI480" si="6">BC441*BS441</f>
        <v>5000</v>
      </c>
      <c r="CJ441" s="628"/>
      <c r="CK441" s="628"/>
      <c r="CL441" s="628"/>
      <c r="CM441" s="628"/>
      <c r="CN441" s="628"/>
      <c r="CO441" s="628"/>
      <c r="CP441" s="628"/>
      <c r="CQ441" s="628"/>
      <c r="CR441" s="628"/>
      <c r="CS441" s="628"/>
      <c r="CT441" s="628"/>
      <c r="CU441" s="628"/>
      <c r="CV441" s="628"/>
      <c r="CW441" s="628"/>
      <c r="CX441" s="628"/>
      <c r="CY441" s="628"/>
      <c r="CZ441" s="629"/>
      <c r="DA441" s="214"/>
    </row>
    <row r="442" spans="1:105" s="16" customFormat="1" ht="15" hidden="1" customHeight="1" x14ac:dyDescent="0.3">
      <c r="A442" s="630" t="s">
        <v>71</v>
      </c>
      <c r="B442" s="631"/>
      <c r="C442" s="631"/>
      <c r="D442" s="631"/>
      <c r="E442" s="631"/>
      <c r="F442" s="631"/>
      <c r="G442" s="632"/>
      <c r="H442" s="584" t="s">
        <v>963</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6"/>
      <c r="BC442" s="675">
        <v>1</v>
      </c>
      <c r="BD442" s="676"/>
      <c r="BE442" s="676"/>
      <c r="BF442" s="676"/>
      <c r="BG442" s="676"/>
      <c r="BH442" s="676"/>
      <c r="BI442" s="676"/>
      <c r="BJ442" s="676"/>
      <c r="BK442" s="676"/>
      <c r="BL442" s="676"/>
      <c r="BM442" s="676"/>
      <c r="BN442" s="676"/>
      <c r="BO442" s="676"/>
      <c r="BP442" s="676"/>
      <c r="BQ442" s="676"/>
      <c r="BR442" s="677"/>
      <c r="BS442" s="627">
        <v>0</v>
      </c>
      <c r="BT442" s="628"/>
      <c r="BU442" s="628"/>
      <c r="BV442" s="628"/>
      <c r="BW442" s="628"/>
      <c r="BX442" s="628"/>
      <c r="BY442" s="628"/>
      <c r="BZ442" s="628"/>
      <c r="CA442" s="628"/>
      <c r="CB442" s="628"/>
      <c r="CC442" s="628"/>
      <c r="CD442" s="628"/>
      <c r="CE442" s="628"/>
      <c r="CF442" s="628"/>
      <c r="CG442" s="628"/>
      <c r="CH442" s="629"/>
      <c r="CI442" s="627">
        <f t="shared" si="6"/>
        <v>0</v>
      </c>
      <c r="CJ442" s="628"/>
      <c r="CK442" s="628"/>
      <c r="CL442" s="628"/>
      <c r="CM442" s="628"/>
      <c r="CN442" s="628"/>
      <c r="CO442" s="628"/>
      <c r="CP442" s="628"/>
      <c r="CQ442" s="628"/>
      <c r="CR442" s="628"/>
      <c r="CS442" s="628"/>
      <c r="CT442" s="628"/>
      <c r="CU442" s="628"/>
      <c r="CV442" s="628"/>
      <c r="CW442" s="628"/>
      <c r="CX442" s="628"/>
      <c r="CY442" s="628"/>
      <c r="CZ442" s="629"/>
      <c r="DA442" s="214"/>
    </row>
    <row r="443" spans="1:105" s="16" customFormat="1" ht="15" hidden="1" customHeight="1" x14ac:dyDescent="0.3">
      <c r="A443" s="630" t="s">
        <v>71</v>
      </c>
      <c r="B443" s="631"/>
      <c r="C443" s="631"/>
      <c r="D443" s="631"/>
      <c r="E443" s="631"/>
      <c r="F443" s="631"/>
      <c r="G443" s="632"/>
      <c r="H443" s="584" t="s">
        <v>608</v>
      </c>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5"/>
      <c r="AL443" s="585"/>
      <c r="AM443" s="585"/>
      <c r="AN443" s="585"/>
      <c r="AO443" s="585"/>
      <c r="AP443" s="585"/>
      <c r="AQ443" s="585"/>
      <c r="AR443" s="585"/>
      <c r="AS443" s="585"/>
      <c r="AT443" s="585"/>
      <c r="AU443" s="585"/>
      <c r="AV443" s="585"/>
      <c r="AW443" s="585"/>
      <c r="AX443" s="585"/>
      <c r="AY443" s="585"/>
      <c r="AZ443" s="585"/>
      <c r="BA443" s="585"/>
      <c r="BB443" s="586"/>
      <c r="BC443" s="675">
        <v>1</v>
      </c>
      <c r="BD443" s="676"/>
      <c r="BE443" s="676"/>
      <c r="BF443" s="676"/>
      <c r="BG443" s="676"/>
      <c r="BH443" s="676"/>
      <c r="BI443" s="676"/>
      <c r="BJ443" s="676"/>
      <c r="BK443" s="676"/>
      <c r="BL443" s="676"/>
      <c r="BM443" s="676"/>
      <c r="BN443" s="676"/>
      <c r="BO443" s="676"/>
      <c r="BP443" s="676"/>
      <c r="BQ443" s="676"/>
      <c r="BR443" s="677"/>
      <c r="BS443" s="627">
        <v>0</v>
      </c>
      <c r="BT443" s="628"/>
      <c r="BU443" s="628"/>
      <c r="BV443" s="628"/>
      <c r="BW443" s="628"/>
      <c r="BX443" s="628"/>
      <c r="BY443" s="628"/>
      <c r="BZ443" s="628"/>
      <c r="CA443" s="628"/>
      <c r="CB443" s="628"/>
      <c r="CC443" s="628"/>
      <c r="CD443" s="628"/>
      <c r="CE443" s="628"/>
      <c r="CF443" s="628"/>
      <c r="CG443" s="628"/>
      <c r="CH443" s="629"/>
      <c r="CI443" s="627">
        <f t="shared" si="6"/>
        <v>0</v>
      </c>
      <c r="CJ443" s="628"/>
      <c r="CK443" s="628"/>
      <c r="CL443" s="628"/>
      <c r="CM443" s="628"/>
      <c r="CN443" s="628"/>
      <c r="CO443" s="628"/>
      <c r="CP443" s="628"/>
      <c r="CQ443" s="628"/>
      <c r="CR443" s="628"/>
      <c r="CS443" s="628"/>
      <c r="CT443" s="628"/>
      <c r="CU443" s="628"/>
      <c r="CV443" s="628"/>
      <c r="CW443" s="628"/>
      <c r="CX443" s="628"/>
      <c r="CY443" s="628"/>
      <c r="CZ443" s="629"/>
      <c r="DA443" s="214"/>
    </row>
    <row r="444" spans="1:105" s="16" customFormat="1" ht="15" customHeight="1" x14ac:dyDescent="0.3">
      <c r="A444" s="630" t="s">
        <v>462</v>
      </c>
      <c r="B444" s="631"/>
      <c r="C444" s="631"/>
      <c r="D444" s="631"/>
      <c r="E444" s="631"/>
      <c r="F444" s="631"/>
      <c r="G444" s="632"/>
      <c r="H444" s="584" t="s">
        <v>609</v>
      </c>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c r="AV444" s="585"/>
      <c r="AW444" s="585"/>
      <c r="AX444" s="585"/>
      <c r="AY444" s="585"/>
      <c r="AZ444" s="585"/>
      <c r="BA444" s="585"/>
      <c r="BB444" s="586"/>
      <c r="BC444" s="675">
        <v>1</v>
      </c>
      <c r="BD444" s="676"/>
      <c r="BE444" s="676"/>
      <c r="BF444" s="676"/>
      <c r="BG444" s="676"/>
      <c r="BH444" s="676"/>
      <c r="BI444" s="676"/>
      <c r="BJ444" s="676"/>
      <c r="BK444" s="676"/>
      <c r="BL444" s="676"/>
      <c r="BM444" s="676"/>
      <c r="BN444" s="676"/>
      <c r="BO444" s="676"/>
      <c r="BP444" s="676"/>
      <c r="BQ444" s="676"/>
      <c r="BR444" s="677"/>
      <c r="BS444" s="627">
        <v>2000</v>
      </c>
      <c r="BT444" s="628"/>
      <c r="BU444" s="628"/>
      <c r="BV444" s="628"/>
      <c r="BW444" s="628"/>
      <c r="BX444" s="628"/>
      <c r="BY444" s="628"/>
      <c r="BZ444" s="628"/>
      <c r="CA444" s="628"/>
      <c r="CB444" s="628"/>
      <c r="CC444" s="628"/>
      <c r="CD444" s="628"/>
      <c r="CE444" s="628"/>
      <c r="CF444" s="628"/>
      <c r="CG444" s="628"/>
      <c r="CH444" s="629"/>
      <c r="CI444" s="627">
        <f t="shared" si="6"/>
        <v>2000</v>
      </c>
      <c r="CJ444" s="628"/>
      <c r="CK444" s="628"/>
      <c r="CL444" s="628"/>
      <c r="CM444" s="628"/>
      <c r="CN444" s="628"/>
      <c r="CO444" s="628"/>
      <c r="CP444" s="628"/>
      <c r="CQ444" s="628"/>
      <c r="CR444" s="628"/>
      <c r="CS444" s="628"/>
      <c r="CT444" s="628"/>
      <c r="CU444" s="628"/>
      <c r="CV444" s="628"/>
      <c r="CW444" s="628"/>
      <c r="CX444" s="628"/>
      <c r="CY444" s="628"/>
      <c r="CZ444" s="629"/>
      <c r="DA444" s="214"/>
    </row>
    <row r="445" spans="1:105" s="16" customFormat="1" ht="15" hidden="1" customHeight="1" x14ac:dyDescent="0.3">
      <c r="A445" s="630"/>
      <c r="B445" s="631"/>
      <c r="C445" s="631"/>
      <c r="D445" s="631"/>
      <c r="E445" s="631"/>
      <c r="F445" s="631"/>
      <c r="G445" s="632"/>
      <c r="H445" s="584" t="s">
        <v>954</v>
      </c>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5"/>
      <c r="AL445" s="585"/>
      <c r="AM445" s="585"/>
      <c r="AN445" s="585"/>
      <c r="AO445" s="585"/>
      <c r="AP445" s="585"/>
      <c r="AQ445" s="585"/>
      <c r="AR445" s="585"/>
      <c r="AS445" s="585"/>
      <c r="AT445" s="585"/>
      <c r="AU445" s="585"/>
      <c r="AV445" s="585"/>
      <c r="AW445" s="585"/>
      <c r="AX445" s="585"/>
      <c r="AY445" s="585"/>
      <c r="AZ445" s="585"/>
      <c r="BA445" s="585"/>
      <c r="BB445" s="586"/>
      <c r="BC445" s="675">
        <v>1</v>
      </c>
      <c r="BD445" s="676"/>
      <c r="BE445" s="676"/>
      <c r="BF445" s="676"/>
      <c r="BG445" s="676"/>
      <c r="BH445" s="676"/>
      <c r="BI445" s="676"/>
      <c r="BJ445" s="676"/>
      <c r="BK445" s="676"/>
      <c r="BL445" s="676"/>
      <c r="BM445" s="676"/>
      <c r="BN445" s="676"/>
      <c r="BO445" s="676"/>
      <c r="BP445" s="676"/>
      <c r="BQ445" s="676"/>
      <c r="BR445" s="677"/>
      <c r="BS445" s="627">
        <v>0</v>
      </c>
      <c r="BT445" s="628"/>
      <c r="BU445" s="628"/>
      <c r="BV445" s="628"/>
      <c r="BW445" s="628"/>
      <c r="BX445" s="628"/>
      <c r="BY445" s="628"/>
      <c r="BZ445" s="628"/>
      <c r="CA445" s="628"/>
      <c r="CB445" s="628"/>
      <c r="CC445" s="628"/>
      <c r="CD445" s="628"/>
      <c r="CE445" s="628"/>
      <c r="CF445" s="628"/>
      <c r="CG445" s="628"/>
      <c r="CH445" s="629"/>
      <c r="CI445" s="627">
        <f t="shared" si="6"/>
        <v>0</v>
      </c>
      <c r="CJ445" s="628"/>
      <c r="CK445" s="628"/>
      <c r="CL445" s="628"/>
      <c r="CM445" s="628"/>
      <c r="CN445" s="628"/>
      <c r="CO445" s="628"/>
      <c r="CP445" s="628"/>
      <c r="CQ445" s="628"/>
      <c r="CR445" s="628"/>
      <c r="CS445" s="628"/>
      <c r="CT445" s="628"/>
      <c r="CU445" s="628"/>
      <c r="CV445" s="628"/>
      <c r="CW445" s="628"/>
      <c r="CX445" s="628"/>
      <c r="CY445" s="628"/>
      <c r="CZ445" s="629"/>
      <c r="DA445" s="214"/>
    </row>
    <row r="446" spans="1:105" s="16" customFormat="1" ht="15" customHeight="1" x14ac:dyDescent="0.3">
      <c r="A446" s="630" t="s">
        <v>477</v>
      </c>
      <c r="B446" s="631"/>
      <c r="C446" s="631"/>
      <c r="D446" s="631"/>
      <c r="E446" s="631"/>
      <c r="F446" s="631"/>
      <c r="G446" s="632"/>
      <c r="H446" s="584" t="s">
        <v>610</v>
      </c>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5"/>
      <c r="AL446" s="585"/>
      <c r="AM446" s="585"/>
      <c r="AN446" s="585"/>
      <c r="AO446" s="585"/>
      <c r="AP446" s="585"/>
      <c r="AQ446" s="585"/>
      <c r="AR446" s="585"/>
      <c r="AS446" s="585"/>
      <c r="AT446" s="585"/>
      <c r="AU446" s="585"/>
      <c r="AV446" s="585"/>
      <c r="AW446" s="585"/>
      <c r="AX446" s="585"/>
      <c r="AY446" s="585"/>
      <c r="AZ446" s="585"/>
      <c r="BA446" s="585"/>
      <c r="BB446" s="586"/>
      <c r="BC446" s="675">
        <v>1</v>
      </c>
      <c r="BD446" s="676"/>
      <c r="BE446" s="676"/>
      <c r="BF446" s="676"/>
      <c r="BG446" s="676"/>
      <c r="BH446" s="676"/>
      <c r="BI446" s="676"/>
      <c r="BJ446" s="676"/>
      <c r="BK446" s="676"/>
      <c r="BL446" s="676"/>
      <c r="BM446" s="676"/>
      <c r="BN446" s="676"/>
      <c r="BO446" s="676"/>
      <c r="BP446" s="676"/>
      <c r="BQ446" s="676"/>
      <c r="BR446" s="677"/>
      <c r="BS446" s="627">
        <v>10000</v>
      </c>
      <c r="BT446" s="628"/>
      <c r="BU446" s="628"/>
      <c r="BV446" s="628"/>
      <c r="BW446" s="628"/>
      <c r="BX446" s="628"/>
      <c r="BY446" s="628"/>
      <c r="BZ446" s="628"/>
      <c r="CA446" s="628"/>
      <c r="CB446" s="628"/>
      <c r="CC446" s="628"/>
      <c r="CD446" s="628"/>
      <c r="CE446" s="628"/>
      <c r="CF446" s="628"/>
      <c r="CG446" s="628"/>
      <c r="CH446" s="629"/>
      <c r="CI446" s="627">
        <f t="shared" si="6"/>
        <v>10000</v>
      </c>
      <c r="CJ446" s="628"/>
      <c r="CK446" s="628"/>
      <c r="CL446" s="628"/>
      <c r="CM446" s="628"/>
      <c r="CN446" s="628"/>
      <c r="CO446" s="628"/>
      <c r="CP446" s="628"/>
      <c r="CQ446" s="628"/>
      <c r="CR446" s="628"/>
      <c r="CS446" s="628"/>
      <c r="CT446" s="628"/>
      <c r="CU446" s="628"/>
      <c r="CV446" s="628"/>
      <c r="CW446" s="628"/>
      <c r="CX446" s="628"/>
      <c r="CY446" s="628"/>
      <c r="CZ446" s="629"/>
      <c r="DA446" s="214"/>
    </row>
    <row r="447" spans="1:105" s="16" customFormat="1" ht="15" hidden="1" customHeight="1" x14ac:dyDescent="0.3">
      <c r="A447" s="630" t="s">
        <v>483</v>
      </c>
      <c r="B447" s="631"/>
      <c r="C447" s="631"/>
      <c r="D447" s="631"/>
      <c r="E447" s="631"/>
      <c r="F447" s="631"/>
      <c r="G447" s="632"/>
      <c r="H447" s="584" t="s">
        <v>955</v>
      </c>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5"/>
      <c r="AL447" s="585"/>
      <c r="AM447" s="585"/>
      <c r="AN447" s="585"/>
      <c r="AO447" s="585"/>
      <c r="AP447" s="585"/>
      <c r="AQ447" s="585"/>
      <c r="AR447" s="585"/>
      <c r="AS447" s="585"/>
      <c r="AT447" s="585"/>
      <c r="AU447" s="585"/>
      <c r="AV447" s="585"/>
      <c r="AW447" s="585"/>
      <c r="AX447" s="585"/>
      <c r="AY447" s="585"/>
      <c r="AZ447" s="585"/>
      <c r="BA447" s="585"/>
      <c r="BB447" s="586"/>
      <c r="BC447" s="675">
        <v>1</v>
      </c>
      <c r="BD447" s="676"/>
      <c r="BE447" s="676"/>
      <c r="BF447" s="676"/>
      <c r="BG447" s="676"/>
      <c r="BH447" s="676"/>
      <c r="BI447" s="676"/>
      <c r="BJ447" s="676"/>
      <c r="BK447" s="676"/>
      <c r="BL447" s="676"/>
      <c r="BM447" s="676"/>
      <c r="BN447" s="676"/>
      <c r="BO447" s="676"/>
      <c r="BP447" s="676"/>
      <c r="BQ447" s="676"/>
      <c r="BR447" s="677"/>
      <c r="BS447" s="627">
        <v>0</v>
      </c>
      <c r="BT447" s="628"/>
      <c r="BU447" s="628"/>
      <c r="BV447" s="628"/>
      <c r="BW447" s="628"/>
      <c r="BX447" s="628"/>
      <c r="BY447" s="628"/>
      <c r="BZ447" s="628"/>
      <c r="CA447" s="628"/>
      <c r="CB447" s="628"/>
      <c r="CC447" s="628"/>
      <c r="CD447" s="628"/>
      <c r="CE447" s="628"/>
      <c r="CF447" s="628"/>
      <c r="CG447" s="628"/>
      <c r="CH447" s="629"/>
      <c r="CI447" s="627">
        <f t="shared" si="6"/>
        <v>0</v>
      </c>
      <c r="CJ447" s="628"/>
      <c r="CK447" s="628"/>
      <c r="CL447" s="628"/>
      <c r="CM447" s="628"/>
      <c r="CN447" s="628"/>
      <c r="CO447" s="628"/>
      <c r="CP447" s="628"/>
      <c r="CQ447" s="628"/>
      <c r="CR447" s="628"/>
      <c r="CS447" s="628"/>
      <c r="CT447" s="628"/>
      <c r="CU447" s="628"/>
      <c r="CV447" s="628"/>
      <c r="CW447" s="628"/>
      <c r="CX447" s="628"/>
      <c r="CY447" s="628"/>
      <c r="CZ447" s="629"/>
      <c r="DA447" s="214"/>
    </row>
    <row r="448" spans="1:105" s="16" customFormat="1" ht="18" hidden="1" customHeight="1" x14ac:dyDescent="0.3">
      <c r="A448" s="630" t="s">
        <v>485</v>
      </c>
      <c r="B448" s="631"/>
      <c r="C448" s="631"/>
      <c r="D448" s="631"/>
      <c r="E448" s="631"/>
      <c r="F448" s="631"/>
      <c r="G448" s="632"/>
      <c r="H448" s="584" t="s">
        <v>611</v>
      </c>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5"/>
      <c r="AL448" s="585"/>
      <c r="AM448" s="585"/>
      <c r="AN448" s="585"/>
      <c r="AO448" s="585"/>
      <c r="AP448" s="585"/>
      <c r="AQ448" s="585"/>
      <c r="AR448" s="585"/>
      <c r="AS448" s="585"/>
      <c r="AT448" s="585"/>
      <c r="AU448" s="585"/>
      <c r="AV448" s="585"/>
      <c r="AW448" s="585"/>
      <c r="AX448" s="585"/>
      <c r="AY448" s="585"/>
      <c r="AZ448" s="585"/>
      <c r="BA448" s="585"/>
      <c r="BB448" s="586"/>
      <c r="BC448" s="675">
        <v>1</v>
      </c>
      <c r="BD448" s="676"/>
      <c r="BE448" s="676"/>
      <c r="BF448" s="676"/>
      <c r="BG448" s="676"/>
      <c r="BH448" s="676"/>
      <c r="BI448" s="676"/>
      <c r="BJ448" s="676"/>
      <c r="BK448" s="676"/>
      <c r="BL448" s="676"/>
      <c r="BM448" s="676"/>
      <c r="BN448" s="676"/>
      <c r="BO448" s="676"/>
      <c r="BP448" s="676"/>
      <c r="BQ448" s="676"/>
      <c r="BR448" s="677"/>
      <c r="BS448" s="627"/>
      <c r="BT448" s="628"/>
      <c r="BU448" s="628"/>
      <c r="BV448" s="628"/>
      <c r="BW448" s="628"/>
      <c r="BX448" s="628"/>
      <c r="BY448" s="628"/>
      <c r="BZ448" s="628"/>
      <c r="CA448" s="628"/>
      <c r="CB448" s="628"/>
      <c r="CC448" s="628"/>
      <c r="CD448" s="628"/>
      <c r="CE448" s="628"/>
      <c r="CF448" s="628"/>
      <c r="CG448" s="628"/>
      <c r="CH448" s="629"/>
      <c r="CI448" s="627">
        <f t="shared" si="6"/>
        <v>0</v>
      </c>
      <c r="CJ448" s="628"/>
      <c r="CK448" s="628"/>
      <c r="CL448" s="628"/>
      <c r="CM448" s="628"/>
      <c r="CN448" s="628"/>
      <c r="CO448" s="628"/>
      <c r="CP448" s="628"/>
      <c r="CQ448" s="628"/>
      <c r="CR448" s="628"/>
      <c r="CS448" s="628"/>
      <c r="CT448" s="628"/>
      <c r="CU448" s="628"/>
      <c r="CV448" s="628"/>
      <c r="CW448" s="628"/>
      <c r="CX448" s="628"/>
      <c r="CY448" s="628"/>
      <c r="CZ448" s="629"/>
      <c r="DA448" s="214"/>
    </row>
    <row r="449" spans="1:105" s="16" customFormat="1" ht="36" customHeight="1" x14ac:dyDescent="0.3">
      <c r="A449" s="630" t="s">
        <v>479</v>
      </c>
      <c r="B449" s="631"/>
      <c r="C449" s="631"/>
      <c r="D449" s="631"/>
      <c r="E449" s="631"/>
      <c r="F449" s="631"/>
      <c r="G449" s="632"/>
      <c r="H449" s="584" t="s">
        <v>958</v>
      </c>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5"/>
      <c r="AL449" s="585"/>
      <c r="AM449" s="585"/>
      <c r="AN449" s="585"/>
      <c r="AO449" s="585"/>
      <c r="AP449" s="585"/>
      <c r="AQ449" s="585"/>
      <c r="AR449" s="585"/>
      <c r="AS449" s="585"/>
      <c r="AT449" s="585"/>
      <c r="AU449" s="585"/>
      <c r="AV449" s="585"/>
      <c r="AW449" s="585"/>
      <c r="AX449" s="585"/>
      <c r="AY449" s="585"/>
      <c r="AZ449" s="585"/>
      <c r="BA449" s="585"/>
      <c r="BB449" s="586"/>
      <c r="BC449" s="675">
        <v>1</v>
      </c>
      <c r="BD449" s="676"/>
      <c r="BE449" s="676"/>
      <c r="BF449" s="676"/>
      <c r="BG449" s="676"/>
      <c r="BH449" s="676"/>
      <c r="BI449" s="676"/>
      <c r="BJ449" s="676"/>
      <c r="BK449" s="676"/>
      <c r="BL449" s="676"/>
      <c r="BM449" s="676"/>
      <c r="BN449" s="676"/>
      <c r="BO449" s="676"/>
      <c r="BP449" s="676"/>
      <c r="BQ449" s="676"/>
      <c r="BR449" s="677"/>
      <c r="BS449" s="627">
        <v>5000</v>
      </c>
      <c r="BT449" s="628"/>
      <c r="BU449" s="628"/>
      <c r="BV449" s="628"/>
      <c r="BW449" s="628"/>
      <c r="BX449" s="628"/>
      <c r="BY449" s="628"/>
      <c r="BZ449" s="628"/>
      <c r="CA449" s="628"/>
      <c r="CB449" s="628"/>
      <c r="CC449" s="628"/>
      <c r="CD449" s="628"/>
      <c r="CE449" s="628"/>
      <c r="CF449" s="628"/>
      <c r="CG449" s="628"/>
      <c r="CH449" s="629"/>
      <c r="CI449" s="627">
        <f t="shared" si="6"/>
        <v>5000</v>
      </c>
      <c r="CJ449" s="628"/>
      <c r="CK449" s="628"/>
      <c r="CL449" s="628"/>
      <c r="CM449" s="628"/>
      <c r="CN449" s="628"/>
      <c r="CO449" s="628"/>
      <c r="CP449" s="628"/>
      <c r="CQ449" s="628"/>
      <c r="CR449" s="628"/>
      <c r="CS449" s="628"/>
      <c r="CT449" s="628"/>
      <c r="CU449" s="628"/>
      <c r="CV449" s="628"/>
      <c r="CW449" s="628"/>
      <c r="CX449" s="628"/>
      <c r="CY449" s="628"/>
      <c r="CZ449" s="629"/>
      <c r="DA449" s="214"/>
    </row>
    <row r="450" spans="1:105" s="16" customFormat="1" ht="15" hidden="1" customHeight="1" x14ac:dyDescent="0.3">
      <c r="A450" s="630" t="s">
        <v>479</v>
      </c>
      <c r="B450" s="631"/>
      <c r="C450" s="631"/>
      <c r="D450" s="631"/>
      <c r="E450" s="631"/>
      <c r="F450" s="631"/>
      <c r="G450" s="632"/>
      <c r="H450" s="584" t="s">
        <v>612</v>
      </c>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5"/>
      <c r="AL450" s="585"/>
      <c r="AM450" s="585"/>
      <c r="AN450" s="585"/>
      <c r="AO450" s="585"/>
      <c r="AP450" s="585"/>
      <c r="AQ450" s="585"/>
      <c r="AR450" s="585"/>
      <c r="AS450" s="585"/>
      <c r="AT450" s="585"/>
      <c r="AU450" s="585"/>
      <c r="AV450" s="585"/>
      <c r="AW450" s="585"/>
      <c r="AX450" s="585"/>
      <c r="AY450" s="585"/>
      <c r="AZ450" s="585"/>
      <c r="BA450" s="585"/>
      <c r="BB450" s="586"/>
      <c r="BC450" s="675"/>
      <c r="BD450" s="676"/>
      <c r="BE450" s="676"/>
      <c r="BF450" s="676"/>
      <c r="BG450" s="676"/>
      <c r="BH450" s="676"/>
      <c r="BI450" s="676"/>
      <c r="BJ450" s="676"/>
      <c r="BK450" s="676"/>
      <c r="BL450" s="676"/>
      <c r="BM450" s="676"/>
      <c r="BN450" s="676"/>
      <c r="BO450" s="676"/>
      <c r="BP450" s="676"/>
      <c r="BQ450" s="676"/>
      <c r="BR450" s="677"/>
      <c r="BS450" s="627"/>
      <c r="BT450" s="628"/>
      <c r="BU450" s="628"/>
      <c r="BV450" s="628"/>
      <c r="BW450" s="628"/>
      <c r="BX450" s="628"/>
      <c r="BY450" s="628"/>
      <c r="BZ450" s="628"/>
      <c r="CA450" s="628"/>
      <c r="CB450" s="628"/>
      <c r="CC450" s="628"/>
      <c r="CD450" s="628"/>
      <c r="CE450" s="628"/>
      <c r="CF450" s="628"/>
      <c r="CG450" s="628"/>
      <c r="CH450" s="629"/>
      <c r="CI450" s="627">
        <f t="shared" si="6"/>
        <v>0</v>
      </c>
      <c r="CJ450" s="628"/>
      <c r="CK450" s="628"/>
      <c r="CL450" s="628"/>
      <c r="CM450" s="628"/>
      <c r="CN450" s="628"/>
      <c r="CO450" s="628"/>
      <c r="CP450" s="628"/>
      <c r="CQ450" s="628"/>
      <c r="CR450" s="628"/>
      <c r="CS450" s="628"/>
      <c r="CT450" s="628"/>
      <c r="CU450" s="628"/>
      <c r="CV450" s="628"/>
      <c r="CW450" s="628"/>
      <c r="CX450" s="628"/>
      <c r="CY450" s="628"/>
      <c r="CZ450" s="629"/>
      <c r="DA450" s="214"/>
    </row>
    <row r="451" spans="1:105" s="16" customFormat="1" ht="30" customHeight="1" x14ac:dyDescent="0.3">
      <c r="A451" s="630" t="s">
        <v>481</v>
      </c>
      <c r="B451" s="631"/>
      <c r="C451" s="631"/>
      <c r="D451" s="631"/>
      <c r="E451" s="631"/>
      <c r="F451" s="631"/>
      <c r="G451" s="632"/>
      <c r="H451" s="584" t="s">
        <v>825</v>
      </c>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5"/>
      <c r="AL451" s="585"/>
      <c r="AM451" s="585"/>
      <c r="AN451" s="585"/>
      <c r="AO451" s="585"/>
      <c r="AP451" s="585"/>
      <c r="AQ451" s="585"/>
      <c r="AR451" s="585"/>
      <c r="AS451" s="585"/>
      <c r="AT451" s="585"/>
      <c r="AU451" s="585"/>
      <c r="AV451" s="585"/>
      <c r="AW451" s="585"/>
      <c r="AX451" s="585"/>
      <c r="AY451" s="585"/>
      <c r="AZ451" s="585"/>
      <c r="BA451" s="585"/>
      <c r="BB451" s="586"/>
      <c r="BC451" s="675">
        <v>1</v>
      </c>
      <c r="BD451" s="676"/>
      <c r="BE451" s="676"/>
      <c r="BF451" s="676"/>
      <c r="BG451" s="676"/>
      <c r="BH451" s="676"/>
      <c r="BI451" s="676"/>
      <c r="BJ451" s="676"/>
      <c r="BK451" s="676"/>
      <c r="BL451" s="676"/>
      <c r="BM451" s="676"/>
      <c r="BN451" s="676"/>
      <c r="BO451" s="676"/>
      <c r="BP451" s="676"/>
      <c r="BQ451" s="676"/>
      <c r="BR451" s="677"/>
      <c r="BS451" s="627">
        <v>5000</v>
      </c>
      <c r="BT451" s="628"/>
      <c r="BU451" s="628"/>
      <c r="BV451" s="628"/>
      <c r="BW451" s="628"/>
      <c r="BX451" s="628"/>
      <c r="BY451" s="628"/>
      <c r="BZ451" s="628"/>
      <c r="CA451" s="628"/>
      <c r="CB451" s="628"/>
      <c r="CC451" s="628"/>
      <c r="CD451" s="628"/>
      <c r="CE451" s="628"/>
      <c r="CF451" s="628"/>
      <c r="CG451" s="628"/>
      <c r="CH451" s="629"/>
      <c r="CI451" s="627">
        <f t="shared" si="6"/>
        <v>5000</v>
      </c>
      <c r="CJ451" s="628"/>
      <c r="CK451" s="628"/>
      <c r="CL451" s="628"/>
      <c r="CM451" s="628"/>
      <c r="CN451" s="628"/>
      <c r="CO451" s="628"/>
      <c r="CP451" s="628"/>
      <c r="CQ451" s="628"/>
      <c r="CR451" s="628"/>
      <c r="CS451" s="628"/>
      <c r="CT451" s="628"/>
      <c r="CU451" s="628"/>
      <c r="CV451" s="628"/>
      <c r="CW451" s="628"/>
      <c r="CX451" s="628"/>
      <c r="CY451" s="628"/>
      <c r="CZ451" s="629"/>
      <c r="DA451" s="214"/>
    </row>
    <row r="452" spans="1:105" s="16" customFormat="1" ht="36.75" customHeight="1" x14ac:dyDescent="0.3">
      <c r="A452" s="630" t="s">
        <v>483</v>
      </c>
      <c r="B452" s="631"/>
      <c r="C452" s="631"/>
      <c r="D452" s="631"/>
      <c r="E452" s="631"/>
      <c r="F452" s="631"/>
      <c r="G452" s="632"/>
      <c r="H452" s="584" t="s">
        <v>957</v>
      </c>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5"/>
      <c r="AL452" s="585"/>
      <c r="AM452" s="585"/>
      <c r="AN452" s="585"/>
      <c r="AO452" s="585"/>
      <c r="AP452" s="585"/>
      <c r="AQ452" s="585"/>
      <c r="AR452" s="585"/>
      <c r="AS452" s="585"/>
      <c r="AT452" s="585"/>
      <c r="AU452" s="585"/>
      <c r="AV452" s="585"/>
      <c r="AW452" s="585"/>
      <c r="AX452" s="585"/>
      <c r="AY452" s="585"/>
      <c r="AZ452" s="585"/>
      <c r="BA452" s="585"/>
      <c r="BB452" s="586"/>
      <c r="BC452" s="675">
        <v>1</v>
      </c>
      <c r="BD452" s="676"/>
      <c r="BE452" s="676"/>
      <c r="BF452" s="676"/>
      <c r="BG452" s="676"/>
      <c r="BH452" s="676"/>
      <c r="BI452" s="676"/>
      <c r="BJ452" s="676"/>
      <c r="BK452" s="676"/>
      <c r="BL452" s="676"/>
      <c r="BM452" s="676"/>
      <c r="BN452" s="676"/>
      <c r="BO452" s="676"/>
      <c r="BP452" s="676"/>
      <c r="BQ452" s="676"/>
      <c r="BR452" s="677"/>
      <c r="BS452" s="627">
        <v>5000</v>
      </c>
      <c r="BT452" s="628"/>
      <c r="BU452" s="628"/>
      <c r="BV452" s="628"/>
      <c r="BW452" s="628"/>
      <c r="BX452" s="628"/>
      <c r="BY452" s="628"/>
      <c r="BZ452" s="628"/>
      <c r="CA452" s="628"/>
      <c r="CB452" s="628"/>
      <c r="CC452" s="628"/>
      <c r="CD452" s="628"/>
      <c r="CE452" s="628"/>
      <c r="CF452" s="628"/>
      <c r="CG452" s="628"/>
      <c r="CH452" s="629"/>
      <c r="CI452" s="627">
        <f t="shared" si="6"/>
        <v>5000</v>
      </c>
      <c r="CJ452" s="628"/>
      <c r="CK452" s="628"/>
      <c r="CL452" s="628"/>
      <c r="CM452" s="628"/>
      <c r="CN452" s="628"/>
      <c r="CO452" s="628"/>
      <c r="CP452" s="628"/>
      <c r="CQ452" s="628"/>
      <c r="CR452" s="628"/>
      <c r="CS452" s="628"/>
      <c r="CT452" s="628"/>
      <c r="CU452" s="628"/>
      <c r="CV452" s="628"/>
      <c r="CW452" s="628"/>
      <c r="CX452" s="628"/>
      <c r="CY452" s="628"/>
      <c r="CZ452" s="629"/>
      <c r="DA452" s="214"/>
    </row>
    <row r="453" spans="1:105" s="16" customFormat="1" ht="21.75" customHeight="1" x14ac:dyDescent="0.3">
      <c r="A453" s="630" t="s">
        <v>485</v>
      </c>
      <c r="B453" s="631"/>
      <c r="C453" s="631"/>
      <c r="D453" s="631"/>
      <c r="E453" s="631"/>
      <c r="F453" s="631"/>
      <c r="G453" s="632"/>
      <c r="H453" s="584" t="s">
        <v>959</v>
      </c>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5"/>
      <c r="AL453" s="585"/>
      <c r="AM453" s="585"/>
      <c r="AN453" s="585"/>
      <c r="AO453" s="585"/>
      <c r="AP453" s="585"/>
      <c r="AQ453" s="585"/>
      <c r="AR453" s="585"/>
      <c r="AS453" s="585"/>
      <c r="AT453" s="585"/>
      <c r="AU453" s="585"/>
      <c r="AV453" s="585"/>
      <c r="AW453" s="585"/>
      <c r="AX453" s="585"/>
      <c r="AY453" s="585"/>
      <c r="AZ453" s="585"/>
      <c r="BA453" s="585"/>
      <c r="BB453" s="586"/>
      <c r="BC453" s="675">
        <v>1</v>
      </c>
      <c r="BD453" s="676"/>
      <c r="BE453" s="676"/>
      <c r="BF453" s="676"/>
      <c r="BG453" s="676"/>
      <c r="BH453" s="676"/>
      <c r="BI453" s="676"/>
      <c r="BJ453" s="676"/>
      <c r="BK453" s="676"/>
      <c r="BL453" s="676"/>
      <c r="BM453" s="676"/>
      <c r="BN453" s="676"/>
      <c r="BO453" s="676"/>
      <c r="BP453" s="676"/>
      <c r="BQ453" s="676"/>
      <c r="BR453" s="677"/>
      <c r="BS453" s="627">
        <v>10000</v>
      </c>
      <c r="BT453" s="628"/>
      <c r="BU453" s="628"/>
      <c r="BV453" s="628"/>
      <c r="BW453" s="628"/>
      <c r="BX453" s="628"/>
      <c r="BY453" s="628"/>
      <c r="BZ453" s="628"/>
      <c r="CA453" s="628"/>
      <c r="CB453" s="628"/>
      <c r="CC453" s="628"/>
      <c r="CD453" s="628"/>
      <c r="CE453" s="628"/>
      <c r="CF453" s="628"/>
      <c r="CG453" s="628"/>
      <c r="CH453" s="629"/>
      <c r="CI453" s="627">
        <f t="shared" si="6"/>
        <v>10000</v>
      </c>
      <c r="CJ453" s="628"/>
      <c r="CK453" s="628"/>
      <c r="CL453" s="628"/>
      <c r="CM453" s="628"/>
      <c r="CN453" s="628"/>
      <c r="CO453" s="628"/>
      <c r="CP453" s="628"/>
      <c r="CQ453" s="628"/>
      <c r="CR453" s="628"/>
      <c r="CS453" s="628"/>
      <c r="CT453" s="628"/>
      <c r="CU453" s="628"/>
      <c r="CV453" s="628"/>
      <c r="CW453" s="628"/>
      <c r="CX453" s="628"/>
      <c r="CY453" s="628"/>
      <c r="CZ453" s="629"/>
      <c r="DA453" s="214"/>
    </row>
    <row r="454" spans="1:105" s="16" customFormat="1" ht="41.25" customHeight="1" x14ac:dyDescent="0.3">
      <c r="A454" s="630" t="s">
        <v>487</v>
      </c>
      <c r="B454" s="631"/>
      <c r="C454" s="631"/>
      <c r="D454" s="631"/>
      <c r="E454" s="631"/>
      <c r="F454" s="631"/>
      <c r="G454" s="632"/>
      <c r="H454" s="584" t="s">
        <v>960</v>
      </c>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5"/>
      <c r="AL454" s="585"/>
      <c r="AM454" s="585"/>
      <c r="AN454" s="585"/>
      <c r="AO454" s="585"/>
      <c r="AP454" s="585"/>
      <c r="AQ454" s="585"/>
      <c r="AR454" s="585"/>
      <c r="AS454" s="585"/>
      <c r="AT454" s="585"/>
      <c r="AU454" s="585"/>
      <c r="AV454" s="585"/>
      <c r="AW454" s="585"/>
      <c r="AX454" s="585"/>
      <c r="AY454" s="585"/>
      <c r="AZ454" s="585"/>
      <c r="BA454" s="585"/>
      <c r="BB454" s="586"/>
      <c r="BC454" s="675">
        <v>3</v>
      </c>
      <c r="BD454" s="676"/>
      <c r="BE454" s="676"/>
      <c r="BF454" s="676"/>
      <c r="BG454" s="676"/>
      <c r="BH454" s="676"/>
      <c r="BI454" s="676"/>
      <c r="BJ454" s="676"/>
      <c r="BK454" s="676"/>
      <c r="BL454" s="676"/>
      <c r="BM454" s="676"/>
      <c r="BN454" s="676"/>
      <c r="BO454" s="676"/>
      <c r="BP454" s="676"/>
      <c r="BQ454" s="676"/>
      <c r="BR454" s="677"/>
      <c r="BS454" s="627">
        <f>CI454/BC454</f>
        <v>3333.3333333333335</v>
      </c>
      <c r="BT454" s="628"/>
      <c r="BU454" s="628"/>
      <c r="BV454" s="628"/>
      <c r="BW454" s="628"/>
      <c r="BX454" s="628"/>
      <c r="BY454" s="628"/>
      <c r="BZ454" s="628"/>
      <c r="CA454" s="628"/>
      <c r="CB454" s="628"/>
      <c r="CC454" s="628"/>
      <c r="CD454" s="628"/>
      <c r="CE454" s="628"/>
      <c r="CF454" s="628"/>
      <c r="CG454" s="628"/>
      <c r="CH454" s="629"/>
      <c r="CI454" s="627">
        <v>10000</v>
      </c>
      <c r="CJ454" s="628"/>
      <c r="CK454" s="628"/>
      <c r="CL454" s="628"/>
      <c r="CM454" s="628"/>
      <c r="CN454" s="628"/>
      <c r="CO454" s="628"/>
      <c r="CP454" s="628"/>
      <c r="CQ454" s="628"/>
      <c r="CR454" s="628"/>
      <c r="CS454" s="628"/>
      <c r="CT454" s="628"/>
      <c r="CU454" s="628"/>
      <c r="CV454" s="628"/>
      <c r="CW454" s="628"/>
      <c r="CX454" s="628"/>
      <c r="CY454" s="628"/>
      <c r="CZ454" s="629"/>
      <c r="DA454" s="214"/>
    </row>
    <row r="455" spans="1:105" s="16" customFormat="1" ht="15" customHeight="1" x14ac:dyDescent="0.3">
      <c r="A455" s="630" t="s">
        <v>489</v>
      </c>
      <c r="B455" s="631"/>
      <c r="C455" s="631"/>
      <c r="D455" s="631"/>
      <c r="E455" s="631"/>
      <c r="F455" s="631"/>
      <c r="G455" s="632"/>
      <c r="H455" s="584" t="s">
        <v>862</v>
      </c>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5"/>
      <c r="AL455" s="585"/>
      <c r="AM455" s="585"/>
      <c r="AN455" s="585"/>
      <c r="AO455" s="585"/>
      <c r="AP455" s="585"/>
      <c r="AQ455" s="585"/>
      <c r="AR455" s="585"/>
      <c r="AS455" s="585"/>
      <c r="AT455" s="585"/>
      <c r="AU455" s="585"/>
      <c r="AV455" s="585"/>
      <c r="AW455" s="585"/>
      <c r="AX455" s="585"/>
      <c r="AY455" s="585"/>
      <c r="AZ455" s="585"/>
      <c r="BA455" s="585"/>
      <c r="BB455" s="586"/>
      <c r="BC455" s="675">
        <v>1</v>
      </c>
      <c r="BD455" s="676"/>
      <c r="BE455" s="676"/>
      <c r="BF455" s="676"/>
      <c r="BG455" s="676"/>
      <c r="BH455" s="676"/>
      <c r="BI455" s="676"/>
      <c r="BJ455" s="676"/>
      <c r="BK455" s="676"/>
      <c r="BL455" s="676"/>
      <c r="BM455" s="676"/>
      <c r="BN455" s="676"/>
      <c r="BO455" s="676"/>
      <c r="BP455" s="676"/>
      <c r="BQ455" s="676"/>
      <c r="BR455" s="677"/>
      <c r="BS455" s="627">
        <v>3000</v>
      </c>
      <c r="BT455" s="628"/>
      <c r="BU455" s="628"/>
      <c r="BV455" s="628"/>
      <c r="BW455" s="628"/>
      <c r="BX455" s="628"/>
      <c r="BY455" s="628"/>
      <c r="BZ455" s="628"/>
      <c r="CA455" s="628"/>
      <c r="CB455" s="628"/>
      <c r="CC455" s="628"/>
      <c r="CD455" s="628"/>
      <c r="CE455" s="628"/>
      <c r="CF455" s="628"/>
      <c r="CG455" s="628"/>
      <c r="CH455" s="629"/>
      <c r="CI455" s="627">
        <f t="shared" si="6"/>
        <v>3000</v>
      </c>
      <c r="CJ455" s="628"/>
      <c r="CK455" s="628"/>
      <c r="CL455" s="628"/>
      <c r="CM455" s="628"/>
      <c r="CN455" s="628"/>
      <c r="CO455" s="628"/>
      <c r="CP455" s="628"/>
      <c r="CQ455" s="628"/>
      <c r="CR455" s="628"/>
      <c r="CS455" s="628"/>
      <c r="CT455" s="628"/>
      <c r="CU455" s="628"/>
      <c r="CV455" s="628"/>
      <c r="CW455" s="628"/>
      <c r="CX455" s="628"/>
      <c r="CY455" s="628"/>
      <c r="CZ455" s="629"/>
      <c r="DA455" s="214"/>
    </row>
    <row r="456" spans="1:105" s="16" customFormat="1" ht="15" customHeight="1" x14ac:dyDescent="0.3">
      <c r="A456" s="630" t="s">
        <v>491</v>
      </c>
      <c r="B456" s="631"/>
      <c r="C456" s="631"/>
      <c r="D456" s="631"/>
      <c r="E456" s="631"/>
      <c r="F456" s="631"/>
      <c r="G456" s="632"/>
      <c r="H456" s="584" t="s">
        <v>613</v>
      </c>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5"/>
      <c r="AL456" s="585"/>
      <c r="AM456" s="585"/>
      <c r="AN456" s="585"/>
      <c r="AO456" s="585"/>
      <c r="AP456" s="585"/>
      <c r="AQ456" s="585"/>
      <c r="AR456" s="585"/>
      <c r="AS456" s="585"/>
      <c r="AT456" s="585"/>
      <c r="AU456" s="585"/>
      <c r="AV456" s="585"/>
      <c r="AW456" s="585"/>
      <c r="AX456" s="585"/>
      <c r="AY456" s="585"/>
      <c r="AZ456" s="585"/>
      <c r="BA456" s="585"/>
      <c r="BB456" s="586"/>
      <c r="BC456" s="675">
        <v>1</v>
      </c>
      <c r="BD456" s="676"/>
      <c r="BE456" s="676"/>
      <c r="BF456" s="676"/>
      <c r="BG456" s="676"/>
      <c r="BH456" s="676"/>
      <c r="BI456" s="676"/>
      <c r="BJ456" s="676"/>
      <c r="BK456" s="676"/>
      <c r="BL456" s="676"/>
      <c r="BM456" s="676"/>
      <c r="BN456" s="676"/>
      <c r="BO456" s="676"/>
      <c r="BP456" s="676"/>
      <c r="BQ456" s="676"/>
      <c r="BR456" s="677"/>
      <c r="BS456" s="627">
        <v>10000</v>
      </c>
      <c r="BT456" s="628"/>
      <c r="BU456" s="628"/>
      <c r="BV456" s="628"/>
      <c r="BW456" s="628"/>
      <c r="BX456" s="628"/>
      <c r="BY456" s="628"/>
      <c r="BZ456" s="628"/>
      <c r="CA456" s="628"/>
      <c r="CB456" s="628"/>
      <c r="CC456" s="628"/>
      <c r="CD456" s="628"/>
      <c r="CE456" s="628"/>
      <c r="CF456" s="628"/>
      <c r="CG456" s="628"/>
      <c r="CH456" s="629"/>
      <c r="CI456" s="627">
        <f t="shared" si="6"/>
        <v>10000</v>
      </c>
      <c r="CJ456" s="628"/>
      <c r="CK456" s="628"/>
      <c r="CL456" s="628"/>
      <c r="CM456" s="628"/>
      <c r="CN456" s="628"/>
      <c r="CO456" s="628"/>
      <c r="CP456" s="628"/>
      <c r="CQ456" s="628"/>
      <c r="CR456" s="628"/>
      <c r="CS456" s="628"/>
      <c r="CT456" s="628"/>
      <c r="CU456" s="628"/>
      <c r="CV456" s="628"/>
      <c r="CW456" s="628"/>
      <c r="CX456" s="628"/>
      <c r="CY456" s="628"/>
      <c r="CZ456" s="629"/>
      <c r="DA456" s="214"/>
    </row>
    <row r="457" spans="1:105" s="16" customFormat="1" ht="44.25" hidden="1" customHeight="1" x14ac:dyDescent="0.3">
      <c r="A457" s="630" t="s">
        <v>523</v>
      </c>
      <c r="B457" s="631"/>
      <c r="C457" s="631"/>
      <c r="D457" s="631"/>
      <c r="E457" s="631"/>
      <c r="F457" s="631"/>
      <c r="G457" s="632"/>
      <c r="H457" s="584" t="s">
        <v>614</v>
      </c>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5"/>
      <c r="AL457" s="585"/>
      <c r="AM457" s="585"/>
      <c r="AN457" s="585"/>
      <c r="AO457" s="585"/>
      <c r="AP457" s="585"/>
      <c r="AQ457" s="585"/>
      <c r="AR457" s="585"/>
      <c r="AS457" s="585"/>
      <c r="AT457" s="585"/>
      <c r="AU457" s="585"/>
      <c r="AV457" s="585"/>
      <c r="AW457" s="585"/>
      <c r="AX457" s="585"/>
      <c r="AY457" s="585"/>
      <c r="AZ457" s="585"/>
      <c r="BA457" s="585"/>
      <c r="BB457" s="586"/>
      <c r="BC457" s="675">
        <v>1</v>
      </c>
      <c r="BD457" s="676"/>
      <c r="BE457" s="676"/>
      <c r="BF457" s="676"/>
      <c r="BG457" s="676"/>
      <c r="BH457" s="676"/>
      <c r="BI457" s="676"/>
      <c r="BJ457" s="676"/>
      <c r="BK457" s="676"/>
      <c r="BL457" s="676"/>
      <c r="BM457" s="676"/>
      <c r="BN457" s="676"/>
      <c r="BO457" s="676"/>
      <c r="BP457" s="676"/>
      <c r="BQ457" s="676"/>
      <c r="BR457" s="677"/>
      <c r="BS457" s="627"/>
      <c r="BT457" s="628"/>
      <c r="BU457" s="628"/>
      <c r="BV457" s="628"/>
      <c r="BW457" s="628"/>
      <c r="BX457" s="628"/>
      <c r="BY457" s="628"/>
      <c r="BZ457" s="628"/>
      <c r="CA457" s="628"/>
      <c r="CB457" s="628"/>
      <c r="CC457" s="628"/>
      <c r="CD457" s="628"/>
      <c r="CE457" s="628"/>
      <c r="CF457" s="628"/>
      <c r="CG457" s="628"/>
      <c r="CH457" s="629"/>
      <c r="CI457" s="627">
        <f t="shared" si="6"/>
        <v>0</v>
      </c>
      <c r="CJ457" s="628"/>
      <c r="CK457" s="628"/>
      <c r="CL457" s="628"/>
      <c r="CM457" s="628"/>
      <c r="CN457" s="628"/>
      <c r="CO457" s="628"/>
      <c r="CP457" s="628"/>
      <c r="CQ457" s="628"/>
      <c r="CR457" s="628"/>
      <c r="CS457" s="628"/>
      <c r="CT457" s="628"/>
      <c r="CU457" s="628"/>
      <c r="CV457" s="628"/>
      <c r="CW457" s="628"/>
      <c r="CX457" s="628"/>
      <c r="CY457" s="628"/>
      <c r="CZ457" s="629"/>
      <c r="DA457" s="214"/>
    </row>
    <row r="458" spans="1:105" s="16" customFormat="1" ht="24.75" customHeight="1" x14ac:dyDescent="0.3">
      <c r="A458" s="630" t="s">
        <v>493</v>
      </c>
      <c r="B458" s="631"/>
      <c r="C458" s="631"/>
      <c r="D458" s="631"/>
      <c r="E458" s="631"/>
      <c r="F458" s="631"/>
      <c r="G458" s="632"/>
      <c r="H458" s="584" t="s">
        <v>615</v>
      </c>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5"/>
      <c r="AL458" s="585"/>
      <c r="AM458" s="585"/>
      <c r="AN458" s="585"/>
      <c r="AO458" s="585"/>
      <c r="AP458" s="585"/>
      <c r="AQ458" s="585"/>
      <c r="AR458" s="585"/>
      <c r="AS458" s="585"/>
      <c r="AT458" s="585"/>
      <c r="AU458" s="585"/>
      <c r="AV458" s="585"/>
      <c r="AW458" s="585"/>
      <c r="AX458" s="585"/>
      <c r="AY458" s="585"/>
      <c r="AZ458" s="585"/>
      <c r="BA458" s="585"/>
      <c r="BB458" s="586"/>
      <c r="BC458" s="675">
        <v>2</v>
      </c>
      <c r="BD458" s="676"/>
      <c r="BE458" s="676"/>
      <c r="BF458" s="676"/>
      <c r="BG458" s="676"/>
      <c r="BH458" s="676"/>
      <c r="BI458" s="676"/>
      <c r="BJ458" s="676"/>
      <c r="BK458" s="676"/>
      <c r="BL458" s="676"/>
      <c r="BM458" s="676"/>
      <c r="BN458" s="676"/>
      <c r="BO458" s="676"/>
      <c r="BP458" s="676"/>
      <c r="BQ458" s="676"/>
      <c r="BR458" s="677"/>
      <c r="BS458" s="627">
        <v>3600</v>
      </c>
      <c r="BT458" s="628"/>
      <c r="BU458" s="628"/>
      <c r="BV458" s="628"/>
      <c r="BW458" s="628"/>
      <c r="BX458" s="628"/>
      <c r="BY458" s="628"/>
      <c r="BZ458" s="628"/>
      <c r="CA458" s="628"/>
      <c r="CB458" s="628"/>
      <c r="CC458" s="628"/>
      <c r="CD458" s="628"/>
      <c r="CE458" s="628"/>
      <c r="CF458" s="628"/>
      <c r="CG458" s="628"/>
      <c r="CH458" s="629"/>
      <c r="CI458" s="627">
        <f t="shared" si="6"/>
        <v>7200</v>
      </c>
      <c r="CJ458" s="628"/>
      <c r="CK458" s="628"/>
      <c r="CL458" s="628"/>
      <c r="CM458" s="628"/>
      <c r="CN458" s="628"/>
      <c r="CO458" s="628"/>
      <c r="CP458" s="628"/>
      <c r="CQ458" s="628"/>
      <c r="CR458" s="628"/>
      <c r="CS458" s="628"/>
      <c r="CT458" s="628"/>
      <c r="CU458" s="628"/>
      <c r="CV458" s="628"/>
      <c r="CW458" s="628"/>
      <c r="CX458" s="628"/>
      <c r="CY458" s="628"/>
      <c r="CZ458" s="629"/>
      <c r="DA458" s="214"/>
    </row>
    <row r="459" spans="1:105" s="16" customFormat="1" ht="30.75" customHeight="1" x14ac:dyDescent="0.3">
      <c r="A459" s="630" t="s">
        <v>515</v>
      </c>
      <c r="B459" s="631"/>
      <c r="C459" s="631"/>
      <c r="D459" s="631"/>
      <c r="E459" s="631"/>
      <c r="F459" s="631"/>
      <c r="G459" s="632"/>
      <c r="H459" s="584" t="s">
        <v>616</v>
      </c>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5"/>
      <c r="AL459" s="585"/>
      <c r="AM459" s="585"/>
      <c r="AN459" s="585"/>
      <c r="AO459" s="585"/>
      <c r="AP459" s="585"/>
      <c r="AQ459" s="585"/>
      <c r="AR459" s="585"/>
      <c r="AS459" s="585"/>
      <c r="AT459" s="585"/>
      <c r="AU459" s="585"/>
      <c r="AV459" s="585"/>
      <c r="AW459" s="585"/>
      <c r="AX459" s="585"/>
      <c r="AY459" s="585"/>
      <c r="AZ459" s="585"/>
      <c r="BA459" s="585"/>
      <c r="BB459" s="586"/>
      <c r="BC459" s="675">
        <v>1</v>
      </c>
      <c r="BD459" s="676"/>
      <c r="BE459" s="676"/>
      <c r="BF459" s="676"/>
      <c r="BG459" s="676"/>
      <c r="BH459" s="676"/>
      <c r="BI459" s="676"/>
      <c r="BJ459" s="676"/>
      <c r="BK459" s="676"/>
      <c r="BL459" s="676"/>
      <c r="BM459" s="676"/>
      <c r="BN459" s="676"/>
      <c r="BO459" s="676"/>
      <c r="BP459" s="676"/>
      <c r="BQ459" s="676"/>
      <c r="BR459" s="677"/>
      <c r="BS459" s="627">
        <v>20000</v>
      </c>
      <c r="BT459" s="628"/>
      <c r="BU459" s="628"/>
      <c r="BV459" s="628"/>
      <c r="BW459" s="628"/>
      <c r="BX459" s="628"/>
      <c r="BY459" s="628"/>
      <c r="BZ459" s="628"/>
      <c r="CA459" s="628"/>
      <c r="CB459" s="628"/>
      <c r="CC459" s="628"/>
      <c r="CD459" s="628"/>
      <c r="CE459" s="628"/>
      <c r="CF459" s="628"/>
      <c r="CG459" s="628"/>
      <c r="CH459" s="629"/>
      <c r="CI459" s="627">
        <f t="shared" si="6"/>
        <v>20000</v>
      </c>
      <c r="CJ459" s="628"/>
      <c r="CK459" s="628"/>
      <c r="CL459" s="628"/>
      <c r="CM459" s="628"/>
      <c r="CN459" s="628"/>
      <c r="CO459" s="628"/>
      <c r="CP459" s="628"/>
      <c r="CQ459" s="628"/>
      <c r="CR459" s="628"/>
      <c r="CS459" s="628"/>
      <c r="CT459" s="628"/>
      <c r="CU459" s="628"/>
      <c r="CV459" s="628"/>
      <c r="CW459" s="628"/>
      <c r="CX459" s="628"/>
      <c r="CY459" s="628"/>
      <c r="CZ459" s="629"/>
      <c r="DA459" s="214"/>
    </row>
    <row r="460" spans="1:105" s="16" customFormat="1" ht="20.25" hidden="1" customHeight="1" x14ac:dyDescent="0.3">
      <c r="A460" s="630" t="s">
        <v>530</v>
      </c>
      <c r="B460" s="631"/>
      <c r="C460" s="631"/>
      <c r="D460" s="631"/>
      <c r="E460" s="631"/>
      <c r="F460" s="631"/>
      <c r="G460" s="632"/>
      <c r="H460" s="584" t="s">
        <v>617</v>
      </c>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5"/>
      <c r="AL460" s="585"/>
      <c r="AM460" s="585"/>
      <c r="AN460" s="585"/>
      <c r="AO460" s="585"/>
      <c r="AP460" s="585"/>
      <c r="AQ460" s="585"/>
      <c r="AR460" s="585"/>
      <c r="AS460" s="585"/>
      <c r="AT460" s="585"/>
      <c r="AU460" s="585"/>
      <c r="AV460" s="585"/>
      <c r="AW460" s="585"/>
      <c r="AX460" s="585"/>
      <c r="AY460" s="585"/>
      <c r="AZ460" s="585"/>
      <c r="BA460" s="585"/>
      <c r="BB460" s="586"/>
      <c r="BC460" s="675">
        <v>2</v>
      </c>
      <c r="BD460" s="676"/>
      <c r="BE460" s="676"/>
      <c r="BF460" s="676"/>
      <c r="BG460" s="676"/>
      <c r="BH460" s="676"/>
      <c r="BI460" s="676"/>
      <c r="BJ460" s="676"/>
      <c r="BK460" s="676"/>
      <c r="BL460" s="676"/>
      <c r="BM460" s="676"/>
      <c r="BN460" s="676"/>
      <c r="BO460" s="676"/>
      <c r="BP460" s="676"/>
      <c r="BQ460" s="676"/>
      <c r="BR460" s="677"/>
      <c r="BS460" s="627"/>
      <c r="BT460" s="628"/>
      <c r="BU460" s="628"/>
      <c r="BV460" s="628"/>
      <c r="BW460" s="628"/>
      <c r="BX460" s="628"/>
      <c r="BY460" s="628"/>
      <c r="BZ460" s="628"/>
      <c r="CA460" s="628"/>
      <c r="CB460" s="628"/>
      <c r="CC460" s="628"/>
      <c r="CD460" s="628"/>
      <c r="CE460" s="628"/>
      <c r="CF460" s="628"/>
      <c r="CG460" s="628"/>
      <c r="CH460" s="629"/>
      <c r="CI460" s="627">
        <f t="shared" si="6"/>
        <v>0</v>
      </c>
      <c r="CJ460" s="628"/>
      <c r="CK460" s="628"/>
      <c r="CL460" s="628"/>
      <c r="CM460" s="628"/>
      <c r="CN460" s="628"/>
      <c r="CO460" s="628"/>
      <c r="CP460" s="628"/>
      <c r="CQ460" s="628"/>
      <c r="CR460" s="628"/>
      <c r="CS460" s="628"/>
      <c r="CT460" s="628"/>
      <c r="CU460" s="628"/>
      <c r="CV460" s="628"/>
      <c r="CW460" s="628"/>
      <c r="CX460" s="628"/>
      <c r="CY460" s="628"/>
      <c r="CZ460" s="629"/>
      <c r="DA460" s="214"/>
    </row>
    <row r="461" spans="1:105" s="16" customFormat="1" ht="15" customHeight="1" x14ac:dyDescent="0.3">
      <c r="A461" s="630" t="s">
        <v>519</v>
      </c>
      <c r="B461" s="631"/>
      <c r="C461" s="631"/>
      <c r="D461" s="631"/>
      <c r="E461" s="631"/>
      <c r="F461" s="631"/>
      <c r="G461" s="632"/>
      <c r="H461" s="584" t="s">
        <v>826</v>
      </c>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5"/>
      <c r="AL461" s="585"/>
      <c r="AM461" s="585"/>
      <c r="AN461" s="585"/>
      <c r="AO461" s="585"/>
      <c r="AP461" s="585"/>
      <c r="AQ461" s="585"/>
      <c r="AR461" s="585"/>
      <c r="AS461" s="585"/>
      <c r="AT461" s="585"/>
      <c r="AU461" s="585"/>
      <c r="AV461" s="585"/>
      <c r="AW461" s="585"/>
      <c r="AX461" s="585"/>
      <c r="AY461" s="585"/>
      <c r="AZ461" s="585"/>
      <c r="BA461" s="585"/>
      <c r="BB461" s="586"/>
      <c r="BC461" s="675">
        <v>1</v>
      </c>
      <c r="BD461" s="676"/>
      <c r="BE461" s="676"/>
      <c r="BF461" s="676"/>
      <c r="BG461" s="676"/>
      <c r="BH461" s="676"/>
      <c r="BI461" s="676"/>
      <c r="BJ461" s="676"/>
      <c r="BK461" s="676"/>
      <c r="BL461" s="676"/>
      <c r="BM461" s="676"/>
      <c r="BN461" s="676"/>
      <c r="BO461" s="676"/>
      <c r="BP461" s="676"/>
      <c r="BQ461" s="676"/>
      <c r="BR461" s="677"/>
      <c r="BS461" s="627">
        <v>20000</v>
      </c>
      <c r="BT461" s="628"/>
      <c r="BU461" s="628"/>
      <c r="BV461" s="628"/>
      <c r="BW461" s="628"/>
      <c r="BX461" s="628"/>
      <c r="BY461" s="628"/>
      <c r="BZ461" s="628"/>
      <c r="CA461" s="628"/>
      <c r="CB461" s="628"/>
      <c r="CC461" s="628"/>
      <c r="CD461" s="628"/>
      <c r="CE461" s="628"/>
      <c r="CF461" s="628"/>
      <c r="CG461" s="628"/>
      <c r="CH461" s="629"/>
      <c r="CI461" s="627">
        <f t="shared" si="6"/>
        <v>20000</v>
      </c>
      <c r="CJ461" s="628"/>
      <c r="CK461" s="628"/>
      <c r="CL461" s="628"/>
      <c r="CM461" s="628"/>
      <c r="CN461" s="628"/>
      <c r="CO461" s="628"/>
      <c r="CP461" s="628"/>
      <c r="CQ461" s="628"/>
      <c r="CR461" s="628"/>
      <c r="CS461" s="628"/>
      <c r="CT461" s="628"/>
      <c r="CU461" s="628"/>
      <c r="CV461" s="628"/>
      <c r="CW461" s="628"/>
      <c r="CX461" s="628"/>
      <c r="CY461" s="628"/>
      <c r="CZ461" s="629"/>
      <c r="DA461" s="214"/>
    </row>
    <row r="462" spans="1:105" s="16" customFormat="1" ht="22.95" customHeight="1" x14ac:dyDescent="0.3">
      <c r="A462" s="630" t="s">
        <v>521</v>
      </c>
      <c r="B462" s="631"/>
      <c r="C462" s="631"/>
      <c r="D462" s="631"/>
      <c r="E462" s="631"/>
      <c r="F462" s="631"/>
      <c r="G462" s="632"/>
      <c r="H462" s="584" t="s">
        <v>961</v>
      </c>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5"/>
      <c r="AL462" s="585"/>
      <c r="AM462" s="585"/>
      <c r="AN462" s="585"/>
      <c r="AO462" s="585"/>
      <c r="AP462" s="585"/>
      <c r="AQ462" s="585"/>
      <c r="AR462" s="585"/>
      <c r="AS462" s="585"/>
      <c r="AT462" s="585"/>
      <c r="AU462" s="585"/>
      <c r="AV462" s="585"/>
      <c r="AW462" s="585"/>
      <c r="AX462" s="585"/>
      <c r="AY462" s="585"/>
      <c r="AZ462" s="585"/>
      <c r="BA462" s="585"/>
      <c r="BB462" s="586"/>
      <c r="BC462" s="675">
        <v>1</v>
      </c>
      <c r="BD462" s="676"/>
      <c r="BE462" s="676"/>
      <c r="BF462" s="676"/>
      <c r="BG462" s="676"/>
      <c r="BH462" s="676"/>
      <c r="BI462" s="676"/>
      <c r="BJ462" s="676"/>
      <c r="BK462" s="676"/>
      <c r="BL462" s="676"/>
      <c r="BM462" s="676"/>
      <c r="BN462" s="676"/>
      <c r="BO462" s="676"/>
      <c r="BP462" s="676"/>
      <c r="BQ462" s="676"/>
      <c r="BR462" s="677"/>
      <c r="BS462" s="627">
        <v>10000</v>
      </c>
      <c r="BT462" s="628"/>
      <c r="BU462" s="628"/>
      <c r="BV462" s="628"/>
      <c r="BW462" s="628"/>
      <c r="BX462" s="628"/>
      <c r="BY462" s="628"/>
      <c r="BZ462" s="628"/>
      <c r="CA462" s="628"/>
      <c r="CB462" s="628"/>
      <c r="CC462" s="628"/>
      <c r="CD462" s="628"/>
      <c r="CE462" s="628"/>
      <c r="CF462" s="628"/>
      <c r="CG462" s="628"/>
      <c r="CH462" s="629"/>
      <c r="CI462" s="627">
        <f t="shared" si="6"/>
        <v>10000</v>
      </c>
      <c r="CJ462" s="628"/>
      <c r="CK462" s="628"/>
      <c r="CL462" s="628"/>
      <c r="CM462" s="628"/>
      <c r="CN462" s="628"/>
      <c r="CO462" s="628"/>
      <c r="CP462" s="628"/>
      <c r="CQ462" s="628"/>
      <c r="CR462" s="628"/>
      <c r="CS462" s="628"/>
      <c r="CT462" s="628"/>
      <c r="CU462" s="628"/>
      <c r="CV462" s="628"/>
      <c r="CW462" s="628"/>
      <c r="CX462" s="628"/>
      <c r="CY462" s="628"/>
      <c r="CZ462" s="629"/>
      <c r="DA462" s="214"/>
    </row>
    <row r="463" spans="1:105" s="16" customFormat="1" ht="15" customHeight="1" x14ac:dyDescent="0.3">
      <c r="A463" s="630" t="s">
        <v>523</v>
      </c>
      <c r="B463" s="631"/>
      <c r="C463" s="631"/>
      <c r="D463" s="631"/>
      <c r="E463" s="631"/>
      <c r="F463" s="631"/>
      <c r="G463" s="632"/>
      <c r="H463" s="584" t="s">
        <v>618</v>
      </c>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5"/>
      <c r="AL463" s="585"/>
      <c r="AM463" s="585"/>
      <c r="AN463" s="585"/>
      <c r="AO463" s="585"/>
      <c r="AP463" s="585"/>
      <c r="AQ463" s="585"/>
      <c r="AR463" s="585"/>
      <c r="AS463" s="585"/>
      <c r="AT463" s="585"/>
      <c r="AU463" s="585"/>
      <c r="AV463" s="585"/>
      <c r="AW463" s="585"/>
      <c r="AX463" s="585"/>
      <c r="AY463" s="585"/>
      <c r="AZ463" s="585"/>
      <c r="BA463" s="585"/>
      <c r="BB463" s="586"/>
      <c r="BC463" s="675">
        <v>1</v>
      </c>
      <c r="BD463" s="676"/>
      <c r="BE463" s="676"/>
      <c r="BF463" s="676"/>
      <c r="BG463" s="676"/>
      <c r="BH463" s="676"/>
      <c r="BI463" s="676"/>
      <c r="BJ463" s="676"/>
      <c r="BK463" s="676"/>
      <c r="BL463" s="676"/>
      <c r="BM463" s="676"/>
      <c r="BN463" s="676"/>
      <c r="BO463" s="676"/>
      <c r="BP463" s="676"/>
      <c r="BQ463" s="676"/>
      <c r="BR463" s="677"/>
      <c r="BS463" s="627">
        <v>2000</v>
      </c>
      <c r="BT463" s="628"/>
      <c r="BU463" s="628"/>
      <c r="BV463" s="628"/>
      <c r="BW463" s="628"/>
      <c r="BX463" s="628"/>
      <c r="BY463" s="628"/>
      <c r="BZ463" s="628"/>
      <c r="CA463" s="628"/>
      <c r="CB463" s="628"/>
      <c r="CC463" s="628"/>
      <c r="CD463" s="628"/>
      <c r="CE463" s="628"/>
      <c r="CF463" s="628"/>
      <c r="CG463" s="628"/>
      <c r="CH463" s="629"/>
      <c r="CI463" s="627">
        <f t="shared" si="6"/>
        <v>2000</v>
      </c>
      <c r="CJ463" s="628"/>
      <c r="CK463" s="628"/>
      <c r="CL463" s="628"/>
      <c r="CM463" s="628"/>
      <c r="CN463" s="628"/>
      <c r="CO463" s="628"/>
      <c r="CP463" s="628"/>
      <c r="CQ463" s="628"/>
      <c r="CR463" s="628"/>
      <c r="CS463" s="628"/>
      <c r="CT463" s="628"/>
      <c r="CU463" s="628"/>
      <c r="CV463" s="628"/>
      <c r="CW463" s="628"/>
      <c r="CX463" s="628"/>
      <c r="CY463" s="628"/>
      <c r="CZ463" s="629"/>
      <c r="DA463" s="214"/>
    </row>
    <row r="464" spans="1:105" s="16" customFormat="1" ht="15" customHeight="1" x14ac:dyDescent="0.3">
      <c r="A464" s="630" t="s">
        <v>525</v>
      </c>
      <c r="B464" s="631"/>
      <c r="C464" s="631"/>
      <c r="D464" s="631"/>
      <c r="E464" s="631"/>
      <c r="F464" s="631"/>
      <c r="G464" s="632"/>
      <c r="H464" s="584" t="s">
        <v>619</v>
      </c>
      <c r="I464" s="585"/>
      <c r="J464" s="585"/>
      <c r="K464" s="585"/>
      <c r="L464" s="585"/>
      <c r="M464" s="585"/>
      <c r="N464" s="585"/>
      <c r="O464" s="585"/>
      <c r="P464" s="585"/>
      <c r="Q464" s="585"/>
      <c r="R464" s="585"/>
      <c r="S464" s="585"/>
      <c r="T464" s="585"/>
      <c r="U464" s="585"/>
      <c r="V464" s="585"/>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c r="AV464" s="585"/>
      <c r="AW464" s="585"/>
      <c r="AX464" s="585"/>
      <c r="AY464" s="585"/>
      <c r="AZ464" s="585"/>
      <c r="BA464" s="585"/>
      <c r="BB464" s="586"/>
      <c r="BC464" s="675">
        <v>1</v>
      </c>
      <c r="BD464" s="676"/>
      <c r="BE464" s="676"/>
      <c r="BF464" s="676"/>
      <c r="BG464" s="676"/>
      <c r="BH464" s="676"/>
      <c r="BI464" s="676"/>
      <c r="BJ464" s="676"/>
      <c r="BK464" s="676"/>
      <c r="BL464" s="676"/>
      <c r="BM464" s="676"/>
      <c r="BN464" s="676"/>
      <c r="BO464" s="676"/>
      <c r="BP464" s="676"/>
      <c r="BQ464" s="676"/>
      <c r="BR464" s="677"/>
      <c r="BS464" s="627">
        <v>10000</v>
      </c>
      <c r="BT464" s="628"/>
      <c r="BU464" s="628"/>
      <c r="BV464" s="628"/>
      <c r="BW464" s="628"/>
      <c r="BX464" s="628"/>
      <c r="BY464" s="628"/>
      <c r="BZ464" s="628"/>
      <c r="CA464" s="628"/>
      <c r="CB464" s="628"/>
      <c r="CC464" s="628"/>
      <c r="CD464" s="628"/>
      <c r="CE464" s="628"/>
      <c r="CF464" s="628"/>
      <c r="CG464" s="628"/>
      <c r="CH464" s="629"/>
      <c r="CI464" s="627">
        <f t="shared" si="6"/>
        <v>10000</v>
      </c>
      <c r="CJ464" s="628"/>
      <c r="CK464" s="628"/>
      <c r="CL464" s="628"/>
      <c r="CM464" s="628"/>
      <c r="CN464" s="628"/>
      <c r="CO464" s="628"/>
      <c r="CP464" s="628"/>
      <c r="CQ464" s="628"/>
      <c r="CR464" s="628"/>
      <c r="CS464" s="628"/>
      <c r="CT464" s="628"/>
      <c r="CU464" s="628"/>
      <c r="CV464" s="628"/>
      <c r="CW464" s="628"/>
      <c r="CX464" s="628"/>
      <c r="CY464" s="628"/>
      <c r="CZ464" s="629"/>
      <c r="DA464" s="214"/>
    </row>
    <row r="465" spans="1:105" s="16" customFormat="1" ht="15" customHeight="1" x14ac:dyDescent="0.3">
      <c r="A465" s="630" t="s">
        <v>526</v>
      </c>
      <c r="B465" s="631"/>
      <c r="C465" s="631"/>
      <c r="D465" s="631"/>
      <c r="E465" s="631"/>
      <c r="F465" s="631"/>
      <c r="G465" s="632"/>
      <c r="H465" s="584" t="s">
        <v>620</v>
      </c>
      <c r="I465" s="585"/>
      <c r="J465" s="585"/>
      <c r="K465" s="585"/>
      <c r="L465" s="585"/>
      <c r="M465" s="585"/>
      <c r="N465" s="585"/>
      <c r="O465" s="585"/>
      <c r="P465" s="585"/>
      <c r="Q465" s="585"/>
      <c r="R465" s="585"/>
      <c r="S465" s="585"/>
      <c r="T465" s="585"/>
      <c r="U465" s="585"/>
      <c r="V465" s="585"/>
      <c r="W465" s="585"/>
      <c r="X465" s="585"/>
      <c r="Y465" s="585"/>
      <c r="Z465" s="585"/>
      <c r="AA465" s="585"/>
      <c r="AB465" s="585"/>
      <c r="AC465" s="585"/>
      <c r="AD465" s="585"/>
      <c r="AE465" s="585"/>
      <c r="AF465" s="585"/>
      <c r="AG465" s="585"/>
      <c r="AH465" s="585"/>
      <c r="AI465" s="585"/>
      <c r="AJ465" s="585"/>
      <c r="AK465" s="585"/>
      <c r="AL465" s="585"/>
      <c r="AM465" s="585"/>
      <c r="AN465" s="585"/>
      <c r="AO465" s="585"/>
      <c r="AP465" s="585"/>
      <c r="AQ465" s="585"/>
      <c r="AR465" s="585"/>
      <c r="AS465" s="585"/>
      <c r="AT465" s="585"/>
      <c r="AU465" s="585"/>
      <c r="AV465" s="585"/>
      <c r="AW465" s="585"/>
      <c r="AX465" s="585"/>
      <c r="AY465" s="585"/>
      <c r="AZ465" s="585"/>
      <c r="BA465" s="585"/>
      <c r="BB465" s="586"/>
      <c r="BC465" s="675">
        <v>10</v>
      </c>
      <c r="BD465" s="676"/>
      <c r="BE465" s="676"/>
      <c r="BF465" s="676"/>
      <c r="BG465" s="676"/>
      <c r="BH465" s="676"/>
      <c r="BI465" s="676"/>
      <c r="BJ465" s="676"/>
      <c r="BK465" s="676"/>
      <c r="BL465" s="676"/>
      <c r="BM465" s="676"/>
      <c r="BN465" s="676"/>
      <c r="BO465" s="676"/>
      <c r="BP465" s="676"/>
      <c r="BQ465" s="676"/>
      <c r="BR465" s="677"/>
      <c r="BS465" s="627">
        <f>CI465/BC465</f>
        <v>2500</v>
      </c>
      <c r="BT465" s="628"/>
      <c r="BU465" s="628"/>
      <c r="BV465" s="628"/>
      <c r="BW465" s="628"/>
      <c r="BX465" s="628"/>
      <c r="BY465" s="628"/>
      <c r="BZ465" s="628"/>
      <c r="CA465" s="628"/>
      <c r="CB465" s="628"/>
      <c r="CC465" s="628"/>
      <c r="CD465" s="628"/>
      <c r="CE465" s="628"/>
      <c r="CF465" s="628"/>
      <c r="CG465" s="628"/>
      <c r="CH465" s="629"/>
      <c r="CI465" s="627">
        <v>25000</v>
      </c>
      <c r="CJ465" s="628"/>
      <c r="CK465" s="628"/>
      <c r="CL465" s="628"/>
      <c r="CM465" s="628"/>
      <c r="CN465" s="628"/>
      <c r="CO465" s="628"/>
      <c r="CP465" s="628"/>
      <c r="CQ465" s="628"/>
      <c r="CR465" s="628"/>
      <c r="CS465" s="628"/>
      <c r="CT465" s="628"/>
      <c r="CU465" s="628"/>
      <c r="CV465" s="628"/>
      <c r="CW465" s="628"/>
      <c r="CX465" s="628"/>
      <c r="CY465" s="628"/>
      <c r="CZ465" s="629"/>
      <c r="DA465" s="214"/>
    </row>
    <row r="466" spans="1:105" s="16" customFormat="1" ht="15" customHeight="1" x14ac:dyDescent="0.3">
      <c r="A466" s="630" t="s">
        <v>530</v>
      </c>
      <c r="B466" s="631"/>
      <c r="C466" s="631"/>
      <c r="D466" s="631"/>
      <c r="E466" s="631"/>
      <c r="F466" s="631"/>
      <c r="G466" s="632"/>
      <c r="H466" s="584" t="s">
        <v>827</v>
      </c>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5"/>
      <c r="AL466" s="585"/>
      <c r="AM466" s="585"/>
      <c r="AN466" s="585"/>
      <c r="AO466" s="585"/>
      <c r="AP466" s="585"/>
      <c r="AQ466" s="585"/>
      <c r="AR466" s="585"/>
      <c r="AS466" s="585"/>
      <c r="AT466" s="585"/>
      <c r="AU466" s="585"/>
      <c r="AV466" s="585"/>
      <c r="AW466" s="585"/>
      <c r="AX466" s="585"/>
      <c r="AY466" s="585"/>
      <c r="AZ466" s="585"/>
      <c r="BA466" s="585"/>
      <c r="BB466" s="586"/>
      <c r="BC466" s="675">
        <v>1</v>
      </c>
      <c r="BD466" s="676"/>
      <c r="BE466" s="676"/>
      <c r="BF466" s="676"/>
      <c r="BG466" s="676"/>
      <c r="BH466" s="676"/>
      <c r="BI466" s="676"/>
      <c r="BJ466" s="676"/>
      <c r="BK466" s="676"/>
      <c r="BL466" s="676"/>
      <c r="BM466" s="676"/>
      <c r="BN466" s="676"/>
      <c r="BO466" s="676"/>
      <c r="BP466" s="676"/>
      <c r="BQ466" s="676"/>
      <c r="BR466" s="677"/>
      <c r="BS466" s="627">
        <v>2000</v>
      </c>
      <c r="BT466" s="628"/>
      <c r="BU466" s="628"/>
      <c r="BV466" s="628"/>
      <c r="BW466" s="628"/>
      <c r="BX466" s="628"/>
      <c r="BY466" s="628"/>
      <c r="BZ466" s="628"/>
      <c r="CA466" s="628"/>
      <c r="CB466" s="628"/>
      <c r="CC466" s="628"/>
      <c r="CD466" s="628"/>
      <c r="CE466" s="628"/>
      <c r="CF466" s="628"/>
      <c r="CG466" s="628"/>
      <c r="CH466" s="629"/>
      <c r="CI466" s="627">
        <f t="shared" si="6"/>
        <v>2000</v>
      </c>
      <c r="CJ466" s="628"/>
      <c r="CK466" s="628"/>
      <c r="CL466" s="628"/>
      <c r="CM466" s="628"/>
      <c r="CN466" s="628"/>
      <c r="CO466" s="628"/>
      <c r="CP466" s="628"/>
      <c r="CQ466" s="628"/>
      <c r="CR466" s="628"/>
      <c r="CS466" s="628"/>
      <c r="CT466" s="628"/>
      <c r="CU466" s="628"/>
      <c r="CV466" s="628"/>
      <c r="CW466" s="628"/>
      <c r="CX466" s="628"/>
      <c r="CY466" s="628"/>
      <c r="CZ466" s="629"/>
      <c r="DA466" s="214"/>
    </row>
    <row r="467" spans="1:105" s="16" customFormat="1" ht="15" customHeight="1" x14ac:dyDescent="0.3">
      <c r="A467" s="630" t="s">
        <v>621</v>
      </c>
      <c r="B467" s="631"/>
      <c r="C467" s="631"/>
      <c r="D467" s="631"/>
      <c r="E467" s="631"/>
      <c r="F467" s="631"/>
      <c r="G467" s="632"/>
      <c r="H467" s="584" t="s">
        <v>962</v>
      </c>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5"/>
      <c r="AL467" s="585"/>
      <c r="AM467" s="585"/>
      <c r="AN467" s="585"/>
      <c r="AO467" s="585"/>
      <c r="AP467" s="585"/>
      <c r="AQ467" s="585"/>
      <c r="AR467" s="585"/>
      <c r="AS467" s="585"/>
      <c r="AT467" s="585"/>
      <c r="AU467" s="585"/>
      <c r="AV467" s="585"/>
      <c r="AW467" s="585"/>
      <c r="AX467" s="585"/>
      <c r="AY467" s="585"/>
      <c r="AZ467" s="585"/>
      <c r="BA467" s="585"/>
      <c r="BB467" s="586"/>
      <c r="BC467" s="675">
        <v>1</v>
      </c>
      <c r="BD467" s="676"/>
      <c r="BE467" s="676"/>
      <c r="BF467" s="676"/>
      <c r="BG467" s="676"/>
      <c r="BH467" s="676"/>
      <c r="BI467" s="676"/>
      <c r="BJ467" s="676"/>
      <c r="BK467" s="676"/>
      <c r="BL467" s="676"/>
      <c r="BM467" s="676"/>
      <c r="BN467" s="676"/>
      <c r="BO467" s="676"/>
      <c r="BP467" s="676"/>
      <c r="BQ467" s="676"/>
      <c r="BR467" s="677"/>
      <c r="BS467" s="627">
        <v>5000</v>
      </c>
      <c r="BT467" s="628"/>
      <c r="BU467" s="628"/>
      <c r="BV467" s="628"/>
      <c r="BW467" s="628"/>
      <c r="BX467" s="628"/>
      <c r="BY467" s="628"/>
      <c r="BZ467" s="628"/>
      <c r="CA467" s="628"/>
      <c r="CB467" s="628"/>
      <c r="CC467" s="628"/>
      <c r="CD467" s="628"/>
      <c r="CE467" s="628"/>
      <c r="CF467" s="628"/>
      <c r="CG467" s="628"/>
      <c r="CH467" s="629"/>
      <c r="CI467" s="627">
        <f t="shared" si="6"/>
        <v>5000</v>
      </c>
      <c r="CJ467" s="628"/>
      <c r="CK467" s="628"/>
      <c r="CL467" s="628"/>
      <c r="CM467" s="628"/>
      <c r="CN467" s="628"/>
      <c r="CO467" s="628"/>
      <c r="CP467" s="628"/>
      <c r="CQ467" s="628"/>
      <c r="CR467" s="628"/>
      <c r="CS467" s="628"/>
      <c r="CT467" s="628"/>
      <c r="CU467" s="628"/>
      <c r="CV467" s="628"/>
      <c r="CW467" s="628"/>
      <c r="CX467" s="628"/>
      <c r="CY467" s="628"/>
      <c r="CZ467" s="629"/>
      <c r="DA467" s="214"/>
    </row>
    <row r="468" spans="1:105" s="16" customFormat="1" ht="15" hidden="1" customHeight="1" x14ac:dyDescent="0.3">
      <c r="A468" s="630" t="s">
        <v>622</v>
      </c>
      <c r="B468" s="631"/>
      <c r="C468" s="631"/>
      <c r="D468" s="631"/>
      <c r="E468" s="631"/>
      <c r="F468" s="631"/>
      <c r="G468" s="632"/>
      <c r="H468" s="584" t="s">
        <v>965</v>
      </c>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5"/>
      <c r="AL468" s="585"/>
      <c r="AM468" s="585"/>
      <c r="AN468" s="585"/>
      <c r="AO468" s="585"/>
      <c r="AP468" s="585"/>
      <c r="AQ468" s="585"/>
      <c r="AR468" s="585"/>
      <c r="AS468" s="585"/>
      <c r="AT468" s="585"/>
      <c r="AU468" s="585"/>
      <c r="AV468" s="585"/>
      <c r="AW468" s="585"/>
      <c r="AX468" s="585"/>
      <c r="AY468" s="585"/>
      <c r="AZ468" s="585"/>
      <c r="BA468" s="585"/>
      <c r="BB468" s="586"/>
      <c r="BC468" s="675">
        <v>1</v>
      </c>
      <c r="BD468" s="676"/>
      <c r="BE468" s="676"/>
      <c r="BF468" s="676"/>
      <c r="BG468" s="676"/>
      <c r="BH468" s="676"/>
      <c r="BI468" s="676"/>
      <c r="BJ468" s="676"/>
      <c r="BK468" s="676"/>
      <c r="BL468" s="676"/>
      <c r="BM468" s="676"/>
      <c r="BN468" s="676"/>
      <c r="BO468" s="676"/>
      <c r="BP468" s="676"/>
      <c r="BQ468" s="676"/>
      <c r="BR468" s="677"/>
      <c r="BS468" s="627">
        <v>0</v>
      </c>
      <c r="BT468" s="628"/>
      <c r="BU468" s="628"/>
      <c r="BV468" s="628"/>
      <c r="BW468" s="628"/>
      <c r="BX468" s="628"/>
      <c r="BY468" s="628"/>
      <c r="BZ468" s="628"/>
      <c r="CA468" s="628"/>
      <c r="CB468" s="628"/>
      <c r="CC468" s="628"/>
      <c r="CD468" s="628"/>
      <c r="CE468" s="628"/>
      <c r="CF468" s="628"/>
      <c r="CG468" s="628"/>
      <c r="CH468" s="629"/>
      <c r="CI468" s="627">
        <f t="shared" si="6"/>
        <v>0</v>
      </c>
      <c r="CJ468" s="628"/>
      <c r="CK468" s="628"/>
      <c r="CL468" s="628"/>
      <c r="CM468" s="628"/>
      <c r="CN468" s="628"/>
      <c r="CO468" s="628"/>
      <c r="CP468" s="628"/>
      <c r="CQ468" s="628"/>
      <c r="CR468" s="628"/>
      <c r="CS468" s="628"/>
      <c r="CT468" s="628"/>
      <c r="CU468" s="628"/>
      <c r="CV468" s="628"/>
      <c r="CW468" s="628"/>
      <c r="CX468" s="628"/>
      <c r="CY468" s="628"/>
      <c r="CZ468" s="629"/>
      <c r="DA468" s="214"/>
    </row>
    <row r="469" spans="1:105" s="16" customFormat="1" ht="15" hidden="1" customHeight="1" x14ac:dyDescent="0.3">
      <c r="A469" s="630" t="s">
        <v>623</v>
      </c>
      <c r="B469" s="631"/>
      <c r="C469" s="631"/>
      <c r="D469" s="631"/>
      <c r="E469" s="631"/>
      <c r="F469" s="631"/>
      <c r="G469" s="632"/>
      <c r="H469" s="584" t="s">
        <v>828</v>
      </c>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5"/>
      <c r="AL469" s="585"/>
      <c r="AM469" s="585"/>
      <c r="AN469" s="585"/>
      <c r="AO469" s="585"/>
      <c r="AP469" s="585"/>
      <c r="AQ469" s="585"/>
      <c r="AR469" s="585"/>
      <c r="AS469" s="585"/>
      <c r="AT469" s="585"/>
      <c r="AU469" s="585"/>
      <c r="AV469" s="585"/>
      <c r="AW469" s="585"/>
      <c r="AX469" s="585"/>
      <c r="AY469" s="585"/>
      <c r="AZ469" s="585"/>
      <c r="BA469" s="585"/>
      <c r="BB469" s="586"/>
      <c r="BC469" s="675">
        <v>1</v>
      </c>
      <c r="BD469" s="676"/>
      <c r="BE469" s="676"/>
      <c r="BF469" s="676"/>
      <c r="BG469" s="676"/>
      <c r="BH469" s="676"/>
      <c r="BI469" s="676"/>
      <c r="BJ469" s="676"/>
      <c r="BK469" s="676"/>
      <c r="BL469" s="676"/>
      <c r="BM469" s="676"/>
      <c r="BN469" s="676"/>
      <c r="BO469" s="676"/>
      <c r="BP469" s="676"/>
      <c r="BQ469" s="676"/>
      <c r="BR469" s="677"/>
      <c r="BS469" s="627"/>
      <c r="BT469" s="628"/>
      <c r="BU469" s="628"/>
      <c r="BV469" s="628"/>
      <c r="BW469" s="628"/>
      <c r="BX469" s="628"/>
      <c r="BY469" s="628"/>
      <c r="BZ469" s="628"/>
      <c r="CA469" s="628"/>
      <c r="CB469" s="628"/>
      <c r="CC469" s="628"/>
      <c r="CD469" s="628"/>
      <c r="CE469" s="628"/>
      <c r="CF469" s="628"/>
      <c r="CG469" s="628"/>
      <c r="CH469" s="629"/>
      <c r="CI469" s="627">
        <f t="shared" si="6"/>
        <v>0</v>
      </c>
      <c r="CJ469" s="628"/>
      <c r="CK469" s="628"/>
      <c r="CL469" s="628"/>
      <c r="CM469" s="628"/>
      <c r="CN469" s="628"/>
      <c r="CO469" s="628"/>
      <c r="CP469" s="628"/>
      <c r="CQ469" s="628"/>
      <c r="CR469" s="628"/>
      <c r="CS469" s="628"/>
      <c r="CT469" s="628"/>
      <c r="CU469" s="628"/>
      <c r="CV469" s="628"/>
      <c r="CW469" s="628"/>
      <c r="CX469" s="628"/>
      <c r="CY469" s="628"/>
      <c r="CZ469" s="629"/>
      <c r="DA469" s="214"/>
    </row>
    <row r="470" spans="1:105" s="16" customFormat="1" ht="25.5" hidden="1" customHeight="1" x14ac:dyDescent="0.3">
      <c r="A470" s="630" t="s">
        <v>387</v>
      </c>
      <c r="B470" s="631"/>
      <c r="C470" s="631"/>
      <c r="D470" s="631"/>
      <c r="E470" s="631"/>
      <c r="F470" s="631"/>
      <c r="G470" s="632"/>
      <c r="H470" s="584" t="s">
        <v>964</v>
      </c>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5"/>
      <c r="AL470" s="585"/>
      <c r="AM470" s="585"/>
      <c r="AN470" s="585"/>
      <c r="AO470" s="585"/>
      <c r="AP470" s="585"/>
      <c r="AQ470" s="585"/>
      <c r="AR470" s="585"/>
      <c r="AS470" s="585"/>
      <c r="AT470" s="585"/>
      <c r="AU470" s="585"/>
      <c r="AV470" s="585"/>
      <c r="AW470" s="585"/>
      <c r="AX470" s="585"/>
      <c r="AY470" s="585"/>
      <c r="AZ470" s="585"/>
      <c r="BA470" s="585"/>
      <c r="BB470" s="586"/>
      <c r="BC470" s="675">
        <v>1</v>
      </c>
      <c r="BD470" s="676"/>
      <c r="BE470" s="676"/>
      <c r="BF470" s="676"/>
      <c r="BG470" s="676"/>
      <c r="BH470" s="676"/>
      <c r="BI470" s="676"/>
      <c r="BJ470" s="676"/>
      <c r="BK470" s="676"/>
      <c r="BL470" s="676"/>
      <c r="BM470" s="676"/>
      <c r="BN470" s="676"/>
      <c r="BO470" s="676"/>
      <c r="BP470" s="676"/>
      <c r="BQ470" s="676"/>
      <c r="BR470" s="677"/>
      <c r="BS470" s="627">
        <v>0</v>
      </c>
      <c r="BT470" s="628"/>
      <c r="BU470" s="628"/>
      <c r="BV470" s="628"/>
      <c r="BW470" s="628"/>
      <c r="BX470" s="628"/>
      <c r="BY470" s="628"/>
      <c r="BZ470" s="628"/>
      <c r="CA470" s="628"/>
      <c r="CB470" s="628"/>
      <c r="CC470" s="628"/>
      <c r="CD470" s="628"/>
      <c r="CE470" s="628"/>
      <c r="CF470" s="628"/>
      <c r="CG470" s="628"/>
      <c r="CH470" s="629"/>
      <c r="CI470" s="627">
        <f t="shared" si="6"/>
        <v>0</v>
      </c>
      <c r="CJ470" s="628"/>
      <c r="CK470" s="628"/>
      <c r="CL470" s="628"/>
      <c r="CM470" s="628"/>
      <c r="CN470" s="628"/>
      <c r="CO470" s="628"/>
      <c r="CP470" s="628"/>
      <c r="CQ470" s="628"/>
      <c r="CR470" s="628"/>
      <c r="CS470" s="628"/>
      <c r="CT470" s="628"/>
      <c r="CU470" s="628"/>
      <c r="CV470" s="628"/>
      <c r="CW470" s="628"/>
      <c r="CX470" s="628"/>
      <c r="CY470" s="628"/>
      <c r="CZ470" s="629"/>
      <c r="DA470" s="214"/>
    </row>
    <row r="471" spans="1:105" s="16" customFormat="1" ht="15" customHeight="1" x14ac:dyDescent="0.3">
      <c r="A471" s="630" t="s">
        <v>624</v>
      </c>
      <c r="B471" s="631"/>
      <c r="C471" s="631"/>
      <c r="D471" s="631"/>
      <c r="E471" s="631"/>
      <c r="F471" s="631"/>
      <c r="G471" s="632"/>
      <c r="H471" s="584" t="s">
        <v>834</v>
      </c>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5"/>
      <c r="AL471" s="585"/>
      <c r="AM471" s="585"/>
      <c r="AN471" s="585"/>
      <c r="AO471" s="585"/>
      <c r="AP471" s="585"/>
      <c r="AQ471" s="585"/>
      <c r="AR471" s="585"/>
      <c r="AS471" s="585"/>
      <c r="AT471" s="585"/>
      <c r="AU471" s="585"/>
      <c r="AV471" s="585"/>
      <c r="AW471" s="585"/>
      <c r="AX471" s="585"/>
      <c r="AY471" s="585"/>
      <c r="AZ471" s="585"/>
      <c r="BA471" s="585"/>
      <c r="BB471" s="586"/>
      <c r="BC471" s="675">
        <v>1</v>
      </c>
      <c r="BD471" s="676"/>
      <c r="BE471" s="676"/>
      <c r="BF471" s="676"/>
      <c r="BG471" s="676"/>
      <c r="BH471" s="676"/>
      <c r="BI471" s="676"/>
      <c r="BJ471" s="676"/>
      <c r="BK471" s="676"/>
      <c r="BL471" s="676"/>
      <c r="BM471" s="676"/>
      <c r="BN471" s="676"/>
      <c r="BO471" s="676"/>
      <c r="BP471" s="676"/>
      <c r="BQ471" s="676"/>
      <c r="BR471" s="677"/>
      <c r="BS471" s="627">
        <v>10000</v>
      </c>
      <c r="BT471" s="628"/>
      <c r="BU471" s="628"/>
      <c r="BV471" s="628"/>
      <c r="BW471" s="628"/>
      <c r="BX471" s="628"/>
      <c r="BY471" s="628"/>
      <c r="BZ471" s="628"/>
      <c r="CA471" s="628"/>
      <c r="CB471" s="628"/>
      <c r="CC471" s="628"/>
      <c r="CD471" s="628"/>
      <c r="CE471" s="628"/>
      <c r="CF471" s="628"/>
      <c r="CG471" s="628"/>
      <c r="CH471" s="629"/>
      <c r="CI471" s="627">
        <f t="shared" si="6"/>
        <v>10000</v>
      </c>
      <c r="CJ471" s="628"/>
      <c r="CK471" s="628"/>
      <c r="CL471" s="628"/>
      <c r="CM471" s="628"/>
      <c r="CN471" s="628"/>
      <c r="CO471" s="628"/>
      <c r="CP471" s="628"/>
      <c r="CQ471" s="628"/>
      <c r="CR471" s="628"/>
      <c r="CS471" s="628"/>
      <c r="CT471" s="628"/>
      <c r="CU471" s="628"/>
      <c r="CV471" s="628"/>
      <c r="CW471" s="628"/>
      <c r="CX471" s="628"/>
      <c r="CY471" s="628"/>
      <c r="CZ471" s="629"/>
      <c r="DA471" s="214"/>
    </row>
    <row r="472" spans="1:105" s="16" customFormat="1" ht="25.5" hidden="1" customHeight="1" x14ac:dyDescent="0.3">
      <c r="A472" s="630" t="s">
        <v>626</v>
      </c>
      <c r="B472" s="631"/>
      <c r="C472" s="631"/>
      <c r="D472" s="631"/>
      <c r="E472" s="631"/>
      <c r="F472" s="631"/>
      <c r="G472" s="632"/>
      <c r="H472" s="584" t="s">
        <v>627</v>
      </c>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5"/>
      <c r="AL472" s="585"/>
      <c r="AM472" s="585"/>
      <c r="AN472" s="585"/>
      <c r="AO472" s="585"/>
      <c r="AP472" s="585"/>
      <c r="AQ472" s="585"/>
      <c r="AR472" s="585"/>
      <c r="AS472" s="585"/>
      <c r="AT472" s="585"/>
      <c r="AU472" s="585"/>
      <c r="AV472" s="585"/>
      <c r="AW472" s="585"/>
      <c r="AX472" s="585"/>
      <c r="AY472" s="585"/>
      <c r="AZ472" s="585"/>
      <c r="BA472" s="585"/>
      <c r="BB472" s="586"/>
      <c r="BC472" s="675">
        <v>1</v>
      </c>
      <c r="BD472" s="676"/>
      <c r="BE472" s="676"/>
      <c r="BF472" s="676"/>
      <c r="BG472" s="676"/>
      <c r="BH472" s="676"/>
      <c r="BI472" s="676"/>
      <c r="BJ472" s="676"/>
      <c r="BK472" s="676"/>
      <c r="BL472" s="676"/>
      <c r="BM472" s="676"/>
      <c r="BN472" s="676"/>
      <c r="BO472" s="676"/>
      <c r="BP472" s="676"/>
      <c r="BQ472" s="676"/>
      <c r="BR472" s="677"/>
      <c r="BS472" s="627"/>
      <c r="BT472" s="628"/>
      <c r="BU472" s="628"/>
      <c r="BV472" s="628"/>
      <c r="BW472" s="628"/>
      <c r="BX472" s="628"/>
      <c r="BY472" s="628"/>
      <c r="BZ472" s="628"/>
      <c r="CA472" s="628"/>
      <c r="CB472" s="628"/>
      <c r="CC472" s="628"/>
      <c r="CD472" s="628"/>
      <c r="CE472" s="628"/>
      <c r="CF472" s="628"/>
      <c r="CG472" s="628"/>
      <c r="CH472" s="629"/>
      <c r="CI472" s="627">
        <f t="shared" si="6"/>
        <v>0</v>
      </c>
      <c r="CJ472" s="628"/>
      <c r="CK472" s="628"/>
      <c r="CL472" s="628"/>
      <c r="CM472" s="628"/>
      <c r="CN472" s="628"/>
      <c r="CO472" s="628"/>
      <c r="CP472" s="628"/>
      <c r="CQ472" s="628"/>
      <c r="CR472" s="628"/>
      <c r="CS472" s="628"/>
      <c r="CT472" s="628"/>
      <c r="CU472" s="628"/>
      <c r="CV472" s="628"/>
      <c r="CW472" s="628"/>
      <c r="CX472" s="628"/>
      <c r="CY472" s="628"/>
      <c r="CZ472" s="629"/>
      <c r="DA472" s="214"/>
    </row>
    <row r="473" spans="1:105" s="16" customFormat="1" ht="18" customHeight="1" x14ac:dyDescent="0.3">
      <c r="A473" s="630" t="s">
        <v>628</v>
      </c>
      <c r="B473" s="631"/>
      <c r="C473" s="631"/>
      <c r="D473" s="631"/>
      <c r="E473" s="631"/>
      <c r="F473" s="631"/>
      <c r="G473" s="632"/>
      <c r="H473" s="584" t="s">
        <v>966</v>
      </c>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5"/>
      <c r="AL473" s="585"/>
      <c r="AM473" s="585"/>
      <c r="AN473" s="585"/>
      <c r="AO473" s="585"/>
      <c r="AP473" s="585"/>
      <c r="AQ473" s="585"/>
      <c r="AR473" s="585"/>
      <c r="AS473" s="585"/>
      <c r="AT473" s="585"/>
      <c r="AU473" s="585"/>
      <c r="AV473" s="585"/>
      <c r="AW473" s="585"/>
      <c r="AX473" s="585"/>
      <c r="AY473" s="585"/>
      <c r="AZ473" s="585"/>
      <c r="BA473" s="585"/>
      <c r="BB473" s="586"/>
      <c r="BC473" s="675">
        <v>1</v>
      </c>
      <c r="BD473" s="676"/>
      <c r="BE473" s="676"/>
      <c r="BF473" s="676"/>
      <c r="BG473" s="676"/>
      <c r="BH473" s="676"/>
      <c r="BI473" s="676"/>
      <c r="BJ473" s="676"/>
      <c r="BK473" s="676"/>
      <c r="BL473" s="676"/>
      <c r="BM473" s="676"/>
      <c r="BN473" s="676"/>
      <c r="BO473" s="676"/>
      <c r="BP473" s="676"/>
      <c r="BQ473" s="676"/>
      <c r="BR473" s="677"/>
      <c r="BS473" s="627">
        <v>10000</v>
      </c>
      <c r="BT473" s="628"/>
      <c r="BU473" s="628"/>
      <c r="BV473" s="628"/>
      <c r="BW473" s="628"/>
      <c r="BX473" s="628"/>
      <c r="BY473" s="628"/>
      <c r="BZ473" s="628"/>
      <c r="CA473" s="628"/>
      <c r="CB473" s="628"/>
      <c r="CC473" s="628"/>
      <c r="CD473" s="628"/>
      <c r="CE473" s="628"/>
      <c r="CF473" s="628"/>
      <c r="CG473" s="628"/>
      <c r="CH473" s="629"/>
      <c r="CI473" s="627">
        <f t="shared" si="6"/>
        <v>10000</v>
      </c>
      <c r="CJ473" s="628"/>
      <c r="CK473" s="628"/>
      <c r="CL473" s="628"/>
      <c r="CM473" s="628"/>
      <c r="CN473" s="628"/>
      <c r="CO473" s="628"/>
      <c r="CP473" s="628"/>
      <c r="CQ473" s="628"/>
      <c r="CR473" s="628"/>
      <c r="CS473" s="628"/>
      <c r="CT473" s="628"/>
      <c r="CU473" s="628"/>
      <c r="CV473" s="628"/>
      <c r="CW473" s="628"/>
      <c r="CX473" s="628"/>
      <c r="CY473" s="628"/>
      <c r="CZ473" s="629"/>
      <c r="DA473" s="214"/>
    </row>
    <row r="474" spans="1:105" s="16" customFormat="1" ht="18" customHeight="1" x14ac:dyDescent="0.3">
      <c r="A474" s="630" t="s">
        <v>625</v>
      </c>
      <c r="B474" s="631"/>
      <c r="C474" s="631"/>
      <c r="D474" s="631"/>
      <c r="E474" s="631"/>
      <c r="F474" s="631"/>
      <c r="G474" s="632"/>
      <c r="H474" s="584" t="s">
        <v>829</v>
      </c>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5"/>
      <c r="AL474" s="585"/>
      <c r="AM474" s="585"/>
      <c r="AN474" s="585"/>
      <c r="AO474" s="585"/>
      <c r="AP474" s="585"/>
      <c r="AQ474" s="585"/>
      <c r="AR474" s="585"/>
      <c r="AS474" s="585"/>
      <c r="AT474" s="585"/>
      <c r="AU474" s="585"/>
      <c r="AV474" s="585"/>
      <c r="AW474" s="585"/>
      <c r="AX474" s="585"/>
      <c r="AY474" s="585"/>
      <c r="AZ474" s="585"/>
      <c r="BA474" s="585"/>
      <c r="BB474" s="586"/>
      <c r="BC474" s="675">
        <v>1</v>
      </c>
      <c r="BD474" s="676"/>
      <c r="BE474" s="676"/>
      <c r="BF474" s="676"/>
      <c r="BG474" s="676"/>
      <c r="BH474" s="676"/>
      <c r="BI474" s="676"/>
      <c r="BJ474" s="676"/>
      <c r="BK474" s="676"/>
      <c r="BL474" s="676"/>
      <c r="BM474" s="676"/>
      <c r="BN474" s="676"/>
      <c r="BO474" s="676"/>
      <c r="BP474" s="676"/>
      <c r="BQ474" s="676"/>
      <c r="BR474" s="677"/>
      <c r="BS474" s="627">
        <v>5000</v>
      </c>
      <c r="BT474" s="628"/>
      <c r="BU474" s="628"/>
      <c r="BV474" s="628"/>
      <c r="BW474" s="628"/>
      <c r="BX474" s="628"/>
      <c r="BY474" s="628"/>
      <c r="BZ474" s="628"/>
      <c r="CA474" s="628"/>
      <c r="CB474" s="628"/>
      <c r="CC474" s="628"/>
      <c r="CD474" s="628"/>
      <c r="CE474" s="628"/>
      <c r="CF474" s="628"/>
      <c r="CG474" s="628"/>
      <c r="CH474" s="629"/>
      <c r="CI474" s="627">
        <f t="shared" si="6"/>
        <v>5000</v>
      </c>
      <c r="CJ474" s="628"/>
      <c r="CK474" s="628"/>
      <c r="CL474" s="628"/>
      <c r="CM474" s="628"/>
      <c r="CN474" s="628"/>
      <c r="CO474" s="628"/>
      <c r="CP474" s="628"/>
      <c r="CQ474" s="628"/>
      <c r="CR474" s="628"/>
      <c r="CS474" s="628"/>
      <c r="CT474" s="628"/>
      <c r="CU474" s="628"/>
      <c r="CV474" s="628"/>
      <c r="CW474" s="628"/>
      <c r="CX474" s="628"/>
      <c r="CY474" s="628"/>
      <c r="CZ474" s="629"/>
      <c r="DA474" s="214"/>
    </row>
    <row r="475" spans="1:105" s="16" customFormat="1" ht="15" customHeight="1" x14ac:dyDescent="0.3">
      <c r="A475" s="630" t="s">
        <v>388</v>
      </c>
      <c r="B475" s="631"/>
      <c r="C475" s="631"/>
      <c r="D475" s="631"/>
      <c r="E475" s="631"/>
      <c r="F475" s="631"/>
      <c r="G475" s="632"/>
      <c r="H475" s="584" t="s">
        <v>630</v>
      </c>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5"/>
      <c r="AL475" s="585"/>
      <c r="AM475" s="585"/>
      <c r="AN475" s="585"/>
      <c r="AO475" s="585"/>
      <c r="AP475" s="585"/>
      <c r="AQ475" s="585"/>
      <c r="AR475" s="585"/>
      <c r="AS475" s="585"/>
      <c r="AT475" s="585"/>
      <c r="AU475" s="585"/>
      <c r="AV475" s="585"/>
      <c r="AW475" s="585"/>
      <c r="AX475" s="585"/>
      <c r="AY475" s="585"/>
      <c r="AZ475" s="585"/>
      <c r="BA475" s="585"/>
      <c r="BB475" s="586"/>
      <c r="BC475" s="675">
        <v>1</v>
      </c>
      <c r="BD475" s="676"/>
      <c r="BE475" s="676"/>
      <c r="BF475" s="676"/>
      <c r="BG475" s="676"/>
      <c r="BH475" s="676"/>
      <c r="BI475" s="676"/>
      <c r="BJ475" s="676"/>
      <c r="BK475" s="676"/>
      <c r="BL475" s="676"/>
      <c r="BM475" s="676"/>
      <c r="BN475" s="676"/>
      <c r="BO475" s="676"/>
      <c r="BP475" s="676"/>
      <c r="BQ475" s="676"/>
      <c r="BR475" s="677"/>
      <c r="BS475" s="627">
        <v>5000</v>
      </c>
      <c r="BT475" s="628"/>
      <c r="BU475" s="628"/>
      <c r="BV475" s="628"/>
      <c r="BW475" s="628"/>
      <c r="BX475" s="628"/>
      <c r="BY475" s="628"/>
      <c r="BZ475" s="628"/>
      <c r="CA475" s="628"/>
      <c r="CB475" s="628"/>
      <c r="CC475" s="628"/>
      <c r="CD475" s="628"/>
      <c r="CE475" s="628"/>
      <c r="CF475" s="628"/>
      <c r="CG475" s="628"/>
      <c r="CH475" s="629"/>
      <c r="CI475" s="627">
        <f t="shared" si="6"/>
        <v>5000</v>
      </c>
      <c r="CJ475" s="628"/>
      <c r="CK475" s="628"/>
      <c r="CL475" s="628"/>
      <c r="CM475" s="628"/>
      <c r="CN475" s="628"/>
      <c r="CO475" s="628"/>
      <c r="CP475" s="628"/>
      <c r="CQ475" s="628"/>
      <c r="CR475" s="628"/>
      <c r="CS475" s="628"/>
      <c r="CT475" s="628"/>
      <c r="CU475" s="628"/>
      <c r="CV475" s="628"/>
      <c r="CW475" s="628"/>
      <c r="CX475" s="628"/>
      <c r="CY475" s="628"/>
      <c r="CZ475" s="629"/>
      <c r="DA475" s="214"/>
    </row>
    <row r="476" spans="1:105" s="16" customFormat="1" ht="21" hidden="1" customHeight="1" x14ac:dyDescent="0.3">
      <c r="A476" s="630" t="s">
        <v>631</v>
      </c>
      <c r="B476" s="631"/>
      <c r="C476" s="631"/>
      <c r="D476" s="631"/>
      <c r="E476" s="631"/>
      <c r="F476" s="631"/>
      <c r="G476" s="632"/>
      <c r="H476" s="584" t="s">
        <v>632</v>
      </c>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c r="AV476" s="585"/>
      <c r="AW476" s="585"/>
      <c r="AX476" s="585"/>
      <c r="AY476" s="585"/>
      <c r="AZ476" s="585"/>
      <c r="BA476" s="585"/>
      <c r="BB476" s="586"/>
      <c r="BC476" s="675">
        <v>1</v>
      </c>
      <c r="BD476" s="676"/>
      <c r="BE476" s="676"/>
      <c r="BF476" s="676"/>
      <c r="BG476" s="676"/>
      <c r="BH476" s="676"/>
      <c r="BI476" s="676"/>
      <c r="BJ476" s="676"/>
      <c r="BK476" s="676"/>
      <c r="BL476" s="676"/>
      <c r="BM476" s="676"/>
      <c r="BN476" s="676"/>
      <c r="BO476" s="676"/>
      <c r="BP476" s="676"/>
      <c r="BQ476" s="676"/>
      <c r="BR476" s="677"/>
      <c r="BS476" s="627"/>
      <c r="BT476" s="628"/>
      <c r="BU476" s="628"/>
      <c r="BV476" s="628"/>
      <c r="BW476" s="628"/>
      <c r="BX476" s="628"/>
      <c r="BY476" s="628"/>
      <c r="BZ476" s="628"/>
      <c r="CA476" s="628"/>
      <c r="CB476" s="628"/>
      <c r="CC476" s="628"/>
      <c r="CD476" s="628"/>
      <c r="CE476" s="628"/>
      <c r="CF476" s="628"/>
      <c r="CG476" s="628"/>
      <c r="CH476" s="629"/>
      <c r="CI476" s="627">
        <f t="shared" si="6"/>
        <v>0</v>
      </c>
      <c r="CJ476" s="628"/>
      <c r="CK476" s="628"/>
      <c r="CL476" s="628"/>
      <c r="CM476" s="628"/>
      <c r="CN476" s="628"/>
      <c r="CO476" s="628"/>
      <c r="CP476" s="628"/>
      <c r="CQ476" s="628"/>
      <c r="CR476" s="628"/>
      <c r="CS476" s="628"/>
      <c r="CT476" s="628"/>
      <c r="CU476" s="628"/>
      <c r="CV476" s="628"/>
      <c r="CW476" s="628"/>
      <c r="CX476" s="628"/>
      <c r="CY476" s="628"/>
      <c r="CZ476" s="629"/>
      <c r="DA476" s="214"/>
    </row>
    <row r="477" spans="1:105" s="16" customFormat="1" ht="26.25" hidden="1" customHeight="1" x14ac:dyDescent="0.3">
      <c r="A477" s="630" t="s">
        <v>631</v>
      </c>
      <c r="B477" s="631"/>
      <c r="C477" s="631"/>
      <c r="D477" s="631"/>
      <c r="E477" s="631"/>
      <c r="F477" s="631"/>
      <c r="G477" s="632"/>
      <c r="H477" s="584" t="s">
        <v>633</v>
      </c>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5"/>
      <c r="AL477" s="585"/>
      <c r="AM477" s="585"/>
      <c r="AN477" s="585"/>
      <c r="AO477" s="585"/>
      <c r="AP477" s="585"/>
      <c r="AQ477" s="585"/>
      <c r="AR477" s="585"/>
      <c r="AS477" s="585"/>
      <c r="AT477" s="585"/>
      <c r="AU477" s="585"/>
      <c r="AV477" s="585"/>
      <c r="AW477" s="585"/>
      <c r="AX477" s="585"/>
      <c r="AY477" s="585"/>
      <c r="AZ477" s="585"/>
      <c r="BA477" s="585"/>
      <c r="BB477" s="586"/>
      <c r="BC477" s="675">
        <v>1</v>
      </c>
      <c r="BD477" s="676"/>
      <c r="BE477" s="676"/>
      <c r="BF477" s="676"/>
      <c r="BG477" s="676"/>
      <c r="BH477" s="676"/>
      <c r="BI477" s="676"/>
      <c r="BJ477" s="676"/>
      <c r="BK477" s="676"/>
      <c r="BL477" s="676"/>
      <c r="BM477" s="676"/>
      <c r="BN477" s="676"/>
      <c r="BO477" s="676"/>
      <c r="BP477" s="676"/>
      <c r="BQ477" s="676"/>
      <c r="BR477" s="677"/>
      <c r="BS477" s="627"/>
      <c r="BT477" s="628"/>
      <c r="BU477" s="628"/>
      <c r="BV477" s="628"/>
      <c r="BW477" s="628"/>
      <c r="BX477" s="628"/>
      <c r="BY477" s="628"/>
      <c r="BZ477" s="628"/>
      <c r="CA477" s="628"/>
      <c r="CB477" s="628"/>
      <c r="CC477" s="628"/>
      <c r="CD477" s="628"/>
      <c r="CE477" s="628"/>
      <c r="CF477" s="628"/>
      <c r="CG477" s="628"/>
      <c r="CH477" s="629"/>
      <c r="CI477" s="627">
        <f t="shared" si="6"/>
        <v>0</v>
      </c>
      <c r="CJ477" s="628"/>
      <c r="CK477" s="628"/>
      <c r="CL477" s="628"/>
      <c r="CM477" s="628"/>
      <c r="CN477" s="628"/>
      <c r="CO477" s="628"/>
      <c r="CP477" s="628"/>
      <c r="CQ477" s="628"/>
      <c r="CR477" s="628"/>
      <c r="CS477" s="628"/>
      <c r="CT477" s="628"/>
      <c r="CU477" s="628"/>
      <c r="CV477" s="628"/>
      <c r="CW477" s="628"/>
      <c r="CX477" s="628"/>
      <c r="CY477" s="628"/>
      <c r="CZ477" s="629"/>
      <c r="DA477" s="214"/>
    </row>
    <row r="478" spans="1:105" s="16" customFormat="1" ht="27" hidden="1" customHeight="1" x14ac:dyDescent="0.3">
      <c r="A478" s="630" t="s">
        <v>629</v>
      </c>
      <c r="B478" s="631"/>
      <c r="C478" s="631"/>
      <c r="D478" s="631"/>
      <c r="E478" s="631"/>
      <c r="F478" s="631"/>
      <c r="G478" s="632"/>
      <c r="H478" s="584" t="s">
        <v>831</v>
      </c>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5"/>
      <c r="AL478" s="585"/>
      <c r="AM478" s="585"/>
      <c r="AN478" s="585"/>
      <c r="AO478" s="585"/>
      <c r="AP478" s="585"/>
      <c r="AQ478" s="585"/>
      <c r="AR478" s="585"/>
      <c r="AS478" s="585"/>
      <c r="AT478" s="585"/>
      <c r="AU478" s="585"/>
      <c r="AV478" s="585"/>
      <c r="AW478" s="585"/>
      <c r="AX478" s="585"/>
      <c r="AY478" s="585"/>
      <c r="AZ478" s="585"/>
      <c r="BA478" s="585"/>
      <c r="BB478" s="586"/>
      <c r="BC478" s="675">
        <v>1</v>
      </c>
      <c r="BD478" s="676"/>
      <c r="BE478" s="676"/>
      <c r="BF478" s="676"/>
      <c r="BG478" s="676"/>
      <c r="BH478" s="676"/>
      <c r="BI478" s="676"/>
      <c r="BJ478" s="676"/>
      <c r="BK478" s="676"/>
      <c r="BL478" s="676"/>
      <c r="BM478" s="676"/>
      <c r="BN478" s="676"/>
      <c r="BO478" s="676"/>
      <c r="BP478" s="676"/>
      <c r="BQ478" s="676"/>
      <c r="BR478" s="677"/>
      <c r="BS478" s="627"/>
      <c r="BT478" s="628"/>
      <c r="BU478" s="628"/>
      <c r="BV478" s="628"/>
      <c r="BW478" s="628"/>
      <c r="BX478" s="628"/>
      <c r="BY478" s="628"/>
      <c r="BZ478" s="628"/>
      <c r="CA478" s="628"/>
      <c r="CB478" s="628"/>
      <c r="CC478" s="628"/>
      <c r="CD478" s="628"/>
      <c r="CE478" s="628"/>
      <c r="CF478" s="628"/>
      <c r="CG478" s="628"/>
      <c r="CH478" s="629"/>
      <c r="CI478" s="627">
        <f t="shared" si="6"/>
        <v>0</v>
      </c>
      <c r="CJ478" s="628"/>
      <c r="CK478" s="628"/>
      <c r="CL478" s="628"/>
      <c r="CM478" s="628"/>
      <c r="CN478" s="628"/>
      <c r="CO478" s="628"/>
      <c r="CP478" s="628"/>
      <c r="CQ478" s="628"/>
      <c r="CR478" s="628"/>
      <c r="CS478" s="628"/>
      <c r="CT478" s="628"/>
      <c r="CU478" s="628"/>
      <c r="CV478" s="628"/>
      <c r="CW478" s="628"/>
      <c r="CX478" s="628"/>
      <c r="CY478" s="628"/>
      <c r="CZ478" s="629"/>
      <c r="DA478" s="214"/>
    </row>
    <row r="479" spans="1:105" s="16" customFormat="1" ht="25.2" hidden="1" customHeight="1" x14ac:dyDescent="0.3">
      <c r="A479" s="630" t="s">
        <v>631</v>
      </c>
      <c r="B479" s="631"/>
      <c r="C479" s="631"/>
      <c r="D479" s="631"/>
      <c r="E479" s="631"/>
      <c r="F479" s="631"/>
      <c r="G479" s="632"/>
      <c r="H479" s="584" t="s">
        <v>885</v>
      </c>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5"/>
      <c r="AL479" s="585"/>
      <c r="AM479" s="585"/>
      <c r="AN479" s="585"/>
      <c r="AO479" s="585"/>
      <c r="AP479" s="585"/>
      <c r="AQ479" s="585"/>
      <c r="AR479" s="585"/>
      <c r="AS479" s="585"/>
      <c r="AT479" s="585"/>
      <c r="AU479" s="585"/>
      <c r="AV479" s="585"/>
      <c r="AW479" s="585"/>
      <c r="AX479" s="585"/>
      <c r="AY479" s="585"/>
      <c r="AZ479" s="585"/>
      <c r="BA479" s="585"/>
      <c r="BB479" s="586"/>
      <c r="BC479" s="675">
        <v>1</v>
      </c>
      <c r="BD479" s="676"/>
      <c r="BE479" s="676"/>
      <c r="BF479" s="676"/>
      <c r="BG479" s="676"/>
      <c r="BH479" s="676"/>
      <c r="BI479" s="676"/>
      <c r="BJ479" s="676"/>
      <c r="BK479" s="676"/>
      <c r="BL479" s="676"/>
      <c r="BM479" s="676"/>
      <c r="BN479" s="676"/>
      <c r="BO479" s="676"/>
      <c r="BP479" s="676"/>
      <c r="BQ479" s="676"/>
      <c r="BR479" s="677"/>
      <c r="BS479" s="627"/>
      <c r="BT479" s="628"/>
      <c r="BU479" s="628"/>
      <c r="BV479" s="628"/>
      <c r="BW479" s="628"/>
      <c r="BX479" s="628"/>
      <c r="BY479" s="628"/>
      <c r="BZ479" s="628"/>
      <c r="CA479" s="628"/>
      <c r="CB479" s="628"/>
      <c r="CC479" s="628"/>
      <c r="CD479" s="628"/>
      <c r="CE479" s="628"/>
      <c r="CF479" s="628"/>
      <c r="CG479" s="628"/>
      <c r="CH479" s="629"/>
      <c r="CI479" s="627">
        <f t="shared" si="6"/>
        <v>0</v>
      </c>
      <c r="CJ479" s="628"/>
      <c r="CK479" s="628"/>
      <c r="CL479" s="628"/>
      <c r="CM479" s="628"/>
      <c r="CN479" s="628"/>
      <c r="CO479" s="628"/>
      <c r="CP479" s="628"/>
      <c r="CQ479" s="628"/>
      <c r="CR479" s="628"/>
      <c r="CS479" s="628"/>
      <c r="CT479" s="628"/>
      <c r="CU479" s="628"/>
      <c r="CV479" s="628"/>
      <c r="CW479" s="628"/>
      <c r="CX479" s="628"/>
      <c r="CY479" s="628"/>
      <c r="CZ479" s="629"/>
      <c r="DA479" s="214"/>
    </row>
    <row r="480" spans="1:105" s="16" customFormat="1" ht="25.2" customHeight="1" x14ac:dyDescent="0.3">
      <c r="A480" s="630" t="s">
        <v>830</v>
      </c>
      <c r="B480" s="631"/>
      <c r="C480" s="631"/>
      <c r="D480" s="631"/>
      <c r="E480" s="631"/>
      <c r="F480" s="631"/>
      <c r="G480" s="632"/>
      <c r="H480" s="584" t="s">
        <v>956</v>
      </c>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5"/>
      <c r="AL480" s="585"/>
      <c r="AM480" s="585"/>
      <c r="AN480" s="585"/>
      <c r="AO480" s="585"/>
      <c r="AP480" s="585"/>
      <c r="AQ480" s="585"/>
      <c r="AR480" s="585"/>
      <c r="AS480" s="585"/>
      <c r="AT480" s="585"/>
      <c r="AU480" s="585"/>
      <c r="AV480" s="585"/>
      <c r="AW480" s="585"/>
      <c r="AX480" s="585"/>
      <c r="AY480" s="585"/>
      <c r="AZ480" s="585"/>
      <c r="BA480" s="585"/>
      <c r="BB480" s="586"/>
      <c r="BC480" s="675">
        <v>1</v>
      </c>
      <c r="BD480" s="676"/>
      <c r="BE480" s="676"/>
      <c r="BF480" s="676"/>
      <c r="BG480" s="676"/>
      <c r="BH480" s="676"/>
      <c r="BI480" s="676"/>
      <c r="BJ480" s="676"/>
      <c r="BK480" s="676"/>
      <c r="BL480" s="676"/>
      <c r="BM480" s="676"/>
      <c r="BN480" s="676"/>
      <c r="BO480" s="676"/>
      <c r="BP480" s="676"/>
      <c r="BQ480" s="676"/>
      <c r="BR480" s="677"/>
      <c r="BS480" s="627">
        <v>4000</v>
      </c>
      <c r="BT480" s="628"/>
      <c r="BU480" s="628"/>
      <c r="BV480" s="628"/>
      <c r="BW480" s="628"/>
      <c r="BX480" s="628"/>
      <c r="BY480" s="628"/>
      <c r="BZ480" s="628"/>
      <c r="CA480" s="628"/>
      <c r="CB480" s="628"/>
      <c r="CC480" s="628"/>
      <c r="CD480" s="628"/>
      <c r="CE480" s="628"/>
      <c r="CF480" s="628"/>
      <c r="CG480" s="628"/>
      <c r="CH480" s="629"/>
      <c r="CI480" s="627">
        <f t="shared" si="6"/>
        <v>4000</v>
      </c>
      <c r="CJ480" s="628"/>
      <c r="CK480" s="628"/>
      <c r="CL480" s="628"/>
      <c r="CM480" s="628"/>
      <c r="CN480" s="628"/>
      <c r="CO480" s="628"/>
      <c r="CP480" s="628"/>
      <c r="CQ480" s="628"/>
      <c r="CR480" s="628"/>
      <c r="CS480" s="628"/>
      <c r="CT480" s="628"/>
      <c r="CU480" s="628"/>
      <c r="CV480" s="628"/>
      <c r="CW480" s="628"/>
      <c r="CX480" s="628"/>
      <c r="CY480" s="628"/>
      <c r="CZ480" s="629"/>
      <c r="DA480" s="214"/>
    </row>
    <row r="481" spans="1:106" s="16" customFormat="1" ht="15" customHeight="1" x14ac:dyDescent="0.3">
      <c r="A481" s="633" t="s">
        <v>292</v>
      </c>
      <c r="B481" s="634"/>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4"/>
      <c r="AY481" s="634"/>
      <c r="AZ481" s="634"/>
      <c r="BA481" s="634"/>
      <c r="BB481" s="635"/>
      <c r="BC481" s="544" t="s">
        <v>4</v>
      </c>
      <c r="BD481" s="545"/>
      <c r="BE481" s="545"/>
      <c r="BF481" s="545"/>
      <c r="BG481" s="545"/>
      <c r="BH481" s="545"/>
      <c r="BI481" s="545"/>
      <c r="BJ481" s="545"/>
      <c r="BK481" s="545"/>
      <c r="BL481" s="545"/>
      <c r="BM481" s="545"/>
      <c r="BN481" s="545"/>
      <c r="BO481" s="545"/>
      <c r="BP481" s="545"/>
      <c r="BQ481" s="545"/>
      <c r="BR481" s="546"/>
      <c r="BS481" s="544" t="s">
        <v>4</v>
      </c>
      <c r="BT481" s="545"/>
      <c r="BU481" s="545"/>
      <c r="BV481" s="545"/>
      <c r="BW481" s="545"/>
      <c r="BX481" s="545"/>
      <c r="BY481" s="545"/>
      <c r="BZ481" s="545"/>
      <c r="CA481" s="545"/>
      <c r="CB481" s="545"/>
      <c r="CC481" s="545"/>
      <c r="CD481" s="545"/>
      <c r="CE481" s="545"/>
      <c r="CF481" s="545"/>
      <c r="CG481" s="545"/>
      <c r="CH481" s="546"/>
      <c r="CI481" s="636">
        <f>SUM(CI441:CZ479)+CI477+CI480</f>
        <v>200200</v>
      </c>
      <c r="CJ481" s="654"/>
      <c r="CK481" s="654"/>
      <c r="CL481" s="654"/>
      <c r="CM481" s="654"/>
      <c r="CN481" s="654"/>
      <c r="CO481" s="654"/>
      <c r="CP481" s="654"/>
      <c r="CQ481" s="654"/>
      <c r="CR481" s="654"/>
      <c r="CS481" s="654"/>
      <c r="CT481" s="654"/>
      <c r="CU481" s="654"/>
      <c r="CV481" s="654"/>
      <c r="CW481" s="654"/>
      <c r="CX481" s="654"/>
      <c r="CY481" s="654"/>
      <c r="CZ481" s="655"/>
      <c r="DA481" s="214"/>
    </row>
    <row r="482" spans="1:106" s="16" customFormat="1" ht="15" customHeight="1" x14ac:dyDescent="0.3">
      <c r="A482" s="648" t="s">
        <v>634</v>
      </c>
      <c r="B482" s="649"/>
      <c r="C482" s="649"/>
      <c r="D482" s="649"/>
      <c r="E482" s="649"/>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649"/>
      <c r="AY482" s="649"/>
      <c r="AZ482" s="649"/>
      <c r="BA482" s="649"/>
      <c r="BB482" s="649"/>
      <c r="BC482" s="649"/>
      <c r="BD482" s="649"/>
      <c r="BE482" s="649"/>
      <c r="BF482" s="649"/>
      <c r="BG482" s="649"/>
      <c r="BH482" s="649"/>
      <c r="BI482" s="649"/>
      <c r="BJ482" s="649"/>
      <c r="BK482" s="649"/>
      <c r="BL482" s="649"/>
      <c r="BM482" s="649"/>
      <c r="BN482" s="649"/>
      <c r="BO482" s="649"/>
      <c r="BP482" s="649"/>
      <c r="BQ482" s="649"/>
      <c r="BR482" s="649"/>
      <c r="BS482" s="649"/>
      <c r="BT482" s="649"/>
      <c r="BU482" s="649"/>
      <c r="BV482" s="649"/>
      <c r="BW482" s="649"/>
      <c r="BX482" s="649"/>
      <c r="BY482" s="649"/>
      <c r="BZ482" s="649"/>
      <c r="CA482" s="649"/>
      <c r="CB482" s="649"/>
      <c r="CC482" s="649"/>
      <c r="CD482" s="649"/>
      <c r="CE482" s="649"/>
      <c r="CF482" s="649"/>
      <c r="CG482" s="649"/>
      <c r="CH482" s="649"/>
      <c r="CI482" s="649"/>
      <c r="CJ482" s="649"/>
      <c r="CK482" s="649"/>
      <c r="CL482" s="649"/>
      <c r="CM482" s="649"/>
      <c r="CN482" s="649"/>
      <c r="CO482" s="649"/>
      <c r="CP482" s="649"/>
      <c r="CQ482" s="649"/>
      <c r="CR482" s="649"/>
      <c r="CS482" s="649"/>
      <c r="CT482" s="649"/>
      <c r="CU482" s="649"/>
      <c r="CV482" s="649"/>
      <c r="CW482" s="649"/>
      <c r="CX482" s="649"/>
      <c r="CY482" s="649"/>
      <c r="CZ482" s="649"/>
      <c r="DA482" s="214"/>
    </row>
    <row r="483" spans="1:106" s="16" customFormat="1" ht="15" customHeight="1" x14ac:dyDescent="0.3">
      <c r="A483" s="630" t="s">
        <v>441</v>
      </c>
      <c r="B483" s="631"/>
      <c r="C483" s="631"/>
      <c r="D483" s="631"/>
      <c r="E483" s="631"/>
      <c r="F483" s="631"/>
      <c r="G483" s="632"/>
      <c r="H483" s="584" t="s">
        <v>635</v>
      </c>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5"/>
      <c r="AL483" s="585"/>
      <c r="AM483" s="585"/>
      <c r="AN483" s="585"/>
      <c r="AO483" s="585"/>
      <c r="AP483" s="585"/>
      <c r="AQ483" s="585"/>
      <c r="AR483" s="585"/>
      <c r="AS483" s="585"/>
      <c r="AT483" s="585"/>
      <c r="AU483" s="585"/>
      <c r="AV483" s="585"/>
      <c r="AW483" s="585"/>
      <c r="AX483" s="585"/>
      <c r="AY483" s="585"/>
      <c r="AZ483" s="585"/>
      <c r="BA483" s="585"/>
      <c r="BB483" s="586"/>
      <c r="BC483" s="675">
        <v>1</v>
      </c>
      <c r="BD483" s="676"/>
      <c r="BE483" s="676"/>
      <c r="BF483" s="676"/>
      <c r="BG483" s="676"/>
      <c r="BH483" s="676"/>
      <c r="BI483" s="676"/>
      <c r="BJ483" s="676"/>
      <c r="BK483" s="676"/>
      <c r="BL483" s="676"/>
      <c r="BM483" s="676"/>
      <c r="BN483" s="676"/>
      <c r="BO483" s="676"/>
      <c r="BP483" s="676"/>
      <c r="BQ483" s="676"/>
      <c r="BR483" s="677"/>
      <c r="BS483" s="627">
        <f>CI483/BC483</f>
        <v>0</v>
      </c>
      <c r="BT483" s="628"/>
      <c r="BU483" s="628"/>
      <c r="BV483" s="628"/>
      <c r="BW483" s="628"/>
      <c r="BX483" s="628"/>
      <c r="BY483" s="628"/>
      <c r="BZ483" s="628"/>
      <c r="CA483" s="628"/>
      <c r="CB483" s="628"/>
      <c r="CC483" s="628"/>
      <c r="CD483" s="628"/>
      <c r="CE483" s="628"/>
      <c r="CF483" s="628"/>
      <c r="CG483" s="628"/>
      <c r="CH483" s="629"/>
      <c r="CI483" s="627">
        <v>0</v>
      </c>
      <c r="CJ483" s="628"/>
      <c r="CK483" s="628"/>
      <c r="CL483" s="628"/>
      <c r="CM483" s="628"/>
      <c r="CN483" s="628"/>
      <c r="CO483" s="628"/>
      <c r="CP483" s="628"/>
      <c r="CQ483" s="628"/>
      <c r="CR483" s="628"/>
      <c r="CS483" s="628"/>
      <c r="CT483" s="628"/>
      <c r="CU483" s="628"/>
      <c r="CV483" s="628"/>
      <c r="CW483" s="628"/>
      <c r="CX483" s="628"/>
      <c r="CY483" s="628"/>
      <c r="CZ483" s="629"/>
      <c r="DA483" s="214"/>
    </row>
    <row r="484" spans="1:106" s="16" customFormat="1" ht="21" customHeight="1" x14ac:dyDescent="0.3">
      <c r="A484" s="630" t="s">
        <v>444</v>
      </c>
      <c r="B484" s="631"/>
      <c r="C484" s="631"/>
      <c r="D484" s="631"/>
      <c r="E484" s="631"/>
      <c r="F484" s="631"/>
      <c r="G484" s="632"/>
      <c r="H484" s="584" t="s">
        <v>833</v>
      </c>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585"/>
      <c r="AY484" s="585"/>
      <c r="AZ484" s="585"/>
      <c r="BA484" s="585"/>
      <c r="BB484" s="586"/>
      <c r="BC484" s="675">
        <v>1</v>
      </c>
      <c r="BD484" s="676"/>
      <c r="BE484" s="676"/>
      <c r="BF484" s="676"/>
      <c r="BG484" s="676"/>
      <c r="BH484" s="676"/>
      <c r="BI484" s="676"/>
      <c r="BJ484" s="676"/>
      <c r="BK484" s="676"/>
      <c r="BL484" s="676"/>
      <c r="BM484" s="676"/>
      <c r="BN484" s="676"/>
      <c r="BO484" s="676"/>
      <c r="BP484" s="676"/>
      <c r="BQ484" s="676"/>
      <c r="BR484" s="677"/>
      <c r="BS484" s="627">
        <f>CI484/BC484</f>
        <v>10000</v>
      </c>
      <c r="BT484" s="628"/>
      <c r="BU484" s="628"/>
      <c r="BV484" s="628"/>
      <c r="BW484" s="628"/>
      <c r="BX484" s="628"/>
      <c r="BY484" s="628"/>
      <c r="BZ484" s="628"/>
      <c r="CA484" s="628"/>
      <c r="CB484" s="628"/>
      <c r="CC484" s="628"/>
      <c r="CD484" s="628"/>
      <c r="CE484" s="628"/>
      <c r="CF484" s="628"/>
      <c r="CG484" s="628"/>
      <c r="CH484" s="629"/>
      <c r="CI484" s="627">
        <v>10000</v>
      </c>
      <c r="CJ484" s="628"/>
      <c r="CK484" s="628"/>
      <c r="CL484" s="628"/>
      <c r="CM484" s="628"/>
      <c r="CN484" s="628"/>
      <c r="CO484" s="628"/>
      <c r="CP484" s="628"/>
      <c r="CQ484" s="628"/>
      <c r="CR484" s="628"/>
      <c r="CS484" s="628"/>
      <c r="CT484" s="628"/>
      <c r="CU484" s="628"/>
      <c r="CV484" s="628"/>
      <c r="CW484" s="628"/>
      <c r="CX484" s="628"/>
      <c r="CY484" s="628"/>
      <c r="CZ484" s="629"/>
      <c r="DA484" s="214"/>
    </row>
    <row r="485" spans="1:106" s="16" customFormat="1" ht="27.75" customHeight="1" x14ac:dyDescent="0.3">
      <c r="A485" s="630" t="s">
        <v>446</v>
      </c>
      <c r="B485" s="631"/>
      <c r="C485" s="631"/>
      <c r="D485" s="631"/>
      <c r="E485" s="631"/>
      <c r="F485" s="631"/>
      <c r="G485" s="632"/>
      <c r="H485" s="584" t="s">
        <v>896</v>
      </c>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5"/>
      <c r="AL485" s="585"/>
      <c r="AM485" s="585"/>
      <c r="AN485" s="585"/>
      <c r="AO485" s="585"/>
      <c r="AP485" s="585"/>
      <c r="AQ485" s="585"/>
      <c r="AR485" s="585"/>
      <c r="AS485" s="585"/>
      <c r="AT485" s="585"/>
      <c r="AU485" s="585"/>
      <c r="AV485" s="585"/>
      <c r="AW485" s="585"/>
      <c r="AX485" s="585"/>
      <c r="AY485" s="585"/>
      <c r="AZ485" s="585"/>
      <c r="BA485" s="585"/>
      <c r="BB485" s="586"/>
      <c r="BC485" s="675">
        <v>1</v>
      </c>
      <c r="BD485" s="676"/>
      <c r="BE485" s="676"/>
      <c r="BF485" s="676"/>
      <c r="BG485" s="676"/>
      <c r="BH485" s="676"/>
      <c r="BI485" s="676"/>
      <c r="BJ485" s="676"/>
      <c r="BK485" s="676"/>
      <c r="BL485" s="676"/>
      <c r="BM485" s="676"/>
      <c r="BN485" s="676"/>
      <c r="BO485" s="676"/>
      <c r="BP485" s="676"/>
      <c r="BQ485" s="676"/>
      <c r="BR485" s="677"/>
      <c r="BS485" s="627">
        <f>CI485/BC485</f>
        <v>0</v>
      </c>
      <c r="BT485" s="628"/>
      <c r="BU485" s="628"/>
      <c r="BV485" s="628"/>
      <c r="BW485" s="628"/>
      <c r="BX485" s="628"/>
      <c r="BY485" s="628"/>
      <c r="BZ485" s="628"/>
      <c r="CA485" s="628"/>
      <c r="CB485" s="628"/>
      <c r="CC485" s="628"/>
      <c r="CD485" s="628"/>
      <c r="CE485" s="628"/>
      <c r="CF485" s="628"/>
      <c r="CG485" s="628"/>
      <c r="CH485" s="629"/>
      <c r="CI485" s="627">
        <v>0</v>
      </c>
      <c r="CJ485" s="628"/>
      <c r="CK485" s="628"/>
      <c r="CL485" s="628"/>
      <c r="CM485" s="628"/>
      <c r="CN485" s="628"/>
      <c r="CO485" s="628"/>
      <c r="CP485" s="628"/>
      <c r="CQ485" s="628"/>
      <c r="CR485" s="628"/>
      <c r="CS485" s="628"/>
      <c r="CT485" s="628"/>
      <c r="CU485" s="628"/>
      <c r="CV485" s="628"/>
      <c r="CW485" s="628"/>
      <c r="CX485" s="628"/>
      <c r="CY485" s="628"/>
      <c r="CZ485" s="629"/>
      <c r="DA485" s="214"/>
    </row>
    <row r="486" spans="1:106" s="16" customFormat="1" ht="27.75" hidden="1" customHeight="1" x14ac:dyDescent="0.3">
      <c r="A486" s="630" t="s">
        <v>551</v>
      </c>
      <c r="B486" s="631"/>
      <c r="C486" s="631"/>
      <c r="D486" s="631"/>
      <c r="E486" s="631"/>
      <c r="F486" s="631"/>
      <c r="G486" s="632"/>
      <c r="H486" s="584" t="s">
        <v>928</v>
      </c>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5"/>
      <c r="AL486" s="585"/>
      <c r="AM486" s="585"/>
      <c r="AN486" s="585"/>
      <c r="AO486" s="585"/>
      <c r="AP486" s="585"/>
      <c r="AQ486" s="585"/>
      <c r="AR486" s="585"/>
      <c r="AS486" s="585"/>
      <c r="AT486" s="585"/>
      <c r="AU486" s="585"/>
      <c r="AV486" s="585"/>
      <c r="AW486" s="585"/>
      <c r="AX486" s="585"/>
      <c r="AY486" s="585"/>
      <c r="AZ486" s="585"/>
      <c r="BA486" s="585"/>
      <c r="BB486" s="586"/>
      <c r="BC486" s="675">
        <v>1</v>
      </c>
      <c r="BD486" s="676"/>
      <c r="BE486" s="676"/>
      <c r="BF486" s="676"/>
      <c r="BG486" s="676"/>
      <c r="BH486" s="676"/>
      <c r="BI486" s="676"/>
      <c r="BJ486" s="676"/>
      <c r="BK486" s="676"/>
      <c r="BL486" s="676"/>
      <c r="BM486" s="676"/>
      <c r="BN486" s="676"/>
      <c r="BO486" s="676"/>
      <c r="BP486" s="676"/>
      <c r="BQ486" s="676"/>
      <c r="BR486" s="677"/>
      <c r="BS486" s="627">
        <f>CI486/BC486</f>
        <v>0</v>
      </c>
      <c r="BT486" s="628"/>
      <c r="BU486" s="628"/>
      <c r="BV486" s="628"/>
      <c r="BW486" s="628"/>
      <c r="BX486" s="628"/>
      <c r="BY486" s="628"/>
      <c r="BZ486" s="628"/>
      <c r="CA486" s="628"/>
      <c r="CB486" s="628"/>
      <c r="CC486" s="628"/>
      <c r="CD486" s="628"/>
      <c r="CE486" s="628"/>
      <c r="CF486" s="628"/>
      <c r="CG486" s="628"/>
      <c r="CH486" s="629"/>
      <c r="CI486" s="627"/>
      <c r="CJ486" s="628"/>
      <c r="CK486" s="628"/>
      <c r="CL486" s="628"/>
      <c r="CM486" s="628"/>
      <c r="CN486" s="628"/>
      <c r="CO486" s="628"/>
      <c r="CP486" s="628"/>
      <c r="CQ486" s="628"/>
      <c r="CR486" s="628"/>
      <c r="CS486" s="628"/>
      <c r="CT486" s="628"/>
      <c r="CU486" s="628"/>
      <c r="CV486" s="628"/>
      <c r="CW486" s="628"/>
      <c r="CX486" s="628"/>
      <c r="CY486" s="628"/>
      <c r="CZ486" s="629"/>
      <c r="DA486" s="214"/>
    </row>
    <row r="487" spans="1:106" s="16" customFormat="1" ht="15" hidden="1" customHeight="1" x14ac:dyDescent="0.3">
      <c r="A487" s="630" t="s">
        <v>599</v>
      </c>
      <c r="B487" s="631"/>
      <c r="C487" s="631"/>
      <c r="D487" s="631"/>
      <c r="E487" s="631"/>
      <c r="F487" s="631"/>
      <c r="G487" s="632"/>
      <c r="H487" s="584" t="s">
        <v>929</v>
      </c>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5"/>
      <c r="AL487" s="585"/>
      <c r="AM487" s="585"/>
      <c r="AN487" s="585"/>
      <c r="AO487" s="585"/>
      <c r="AP487" s="585"/>
      <c r="AQ487" s="585"/>
      <c r="AR487" s="585"/>
      <c r="AS487" s="585"/>
      <c r="AT487" s="585"/>
      <c r="AU487" s="585"/>
      <c r="AV487" s="585"/>
      <c r="AW487" s="585"/>
      <c r="AX487" s="585"/>
      <c r="AY487" s="585"/>
      <c r="AZ487" s="585"/>
      <c r="BA487" s="585"/>
      <c r="BB487" s="586"/>
      <c r="BC487" s="675">
        <v>1</v>
      </c>
      <c r="BD487" s="676"/>
      <c r="BE487" s="676"/>
      <c r="BF487" s="676"/>
      <c r="BG487" s="676"/>
      <c r="BH487" s="676"/>
      <c r="BI487" s="676"/>
      <c r="BJ487" s="676"/>
      <c r="BK487" s="676"/>
      <c r="BL487" s="676"/>
      <c r="BM487" s="676"/>
      <c r="BN487" s="676"/>
      <c r="BO487" s="676"/>
      <c r="BP487" s="676"/>
      <c r="BQ487" s="676"/>
      <c r="BR487" s="677"/>
      <c r="BS487" s="627">
        <f>CI487/BC487</f>
        <v>0</v>
      </c>
      <c r="BT487" s="628"/>
      <c r="BU487" s="628"/>
      <c r="BV487" s="628"/>
      <c r="BW487" s="628"/>
      <c r="BX487" s="628"/>
      <c r="BY487" s="628"/>
      <c r="BZ487" s="628"/>
      <c r="CA487" s="628"/>
      <c r="CB487" s="628"/>
      <c r="CC487" s="628"/>
      <c r="CD487" s="628"/>
      <c r="CE487" s="628"/>
      <c r="CF487" s="628"/>
      <c r="CG487" s="628"/>
      <c r="CH487" s="629"/>
      <c r="CI487" s="627"/>
      <c r="CJ487" s="628"/>
      <c r="CK487" s="628"/>
      <c r="CL487" s="628"/>
      <c r="CM487" s="628"/>
      <c r="CN487" s="628"/>
      <c r="CO487" s="628"/>
      <c r="CP487" s="628"/>
      <c r="CQ487" s="628"/>
      <c r="CR487" s="628"/>
      <c r="CS487" s="628"/>
      <c r="CT487" s="628"/>
      <c r="CU487" s="628"/>
      <c r="CV487" s="628"/>
      <c r="CW487" s="628"/>
      <c r="CX487" s="628"/>
      <c r="CY487" s="628"/>
      <c r="CZ487" s="629"/>
      <c r="DA487" s="214"/>
    </row>
    <row r="488" spans="1:106" s="16" customFormat="1" ht="15" customHeight="1" x14ac:dyDescent="0.3">
      <c r="A488" s="633" t="s">
        <v>292</v>
      </c>
      <c r="B488" s="634"/>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4"/>
      <c r="AL488" s="634"/>
      <c r="AM488" s="634"/>
      <c r="AN488" s="634"/>
      <c r="AO488" s="634"/>
      <c r="AP488" s="634"/>
      <c r="AQ488" s="634"/>
      <c r="AR488" s="634"/>
      <c r="AS488" s="634"/>
      <c r="AT488" s="634"/>
      <c r="AU488" s="634"/>
      <c r="AV488" s="634"/>
      <c r="AW488" s="634"/>
      <c r="AX488" s="634"/>
      <c r="AY488" s="634"/>
      <c r="AZ488" s="634"/>
      <c r="BA488" s="634"/>
      <c r="BB488" s="635"/>
      <c r="BC488" s="544" t="s">
        <v>4</v>
      </c>
      <c r="BD488" s="545"/>
      <c r="BE488" s="545"/>
      <c r="BF488" s="545"/>
      <c r="BG488" s="545"/>
      <c r="BH488" s="545"/>
      <c r="BI488" s="545"/>
      <c r="BJ488" s="545"/>
      <c r="BK488" s="545"/>
      <c r="BL488" s="545"/>
      <c r="BM488" s="545"/>
      <c r="BN488" s="545"/>
      <c r="BO488" s="545"/>
      <c r="BP488" s="545"/>
      <c r="BQ488" s="545"/>
      <c r="BR488" s="546"/>
      <c r="BS488" s="544" t="s">
        <v>4</v>
      </c>
      <c r="BT488" s="545"/>
      <c r="BU488" s="545"/>
      <c r="BV488" s="545"/>
      <c r="BW488" s="545"/>
      <c r="BX488" s="545"/>
      <c r="BY488" s="545"/>
      <c r="BZ488" s="545"/>
      <c r="CA488" s="545"/>
      <c r="CB488" s="545"/>
      <c r="CC488" s="545"/>
      <c r="CD488" s="545"/>
      <c r="CE488" s="545"/>
      <c r="CF488" s="545"/>
      <c r="CG488" s="545"/>
      <c r="CH488" s="546"/>
      <c r="CI488" s="636">
        <f>SUM(CI483:CI487)</f>
        <v>10000</v>
      </c>
      <c r="CJ488" s="637"/>
      <c r="CK488" s="637"/>
      <c r="CL488" s="637"/>
      <c r="CM488" s="637"/>
      <c r="CN488" s="637"/>
      <c r="CO488" s="637"/>
      <c r="CP488" s="637"/>
      <c r="CQ488" s="637"/>
      <c r="CR488" s="637"/>
      <c r="CS488" s="637"/>
      <c r="CT488" s="637"/>
      <c r="CU488" s="637"/>
      <c r="CV488" s="637"/>
      <c r="CW488" s="637"/>
      <c r="CX488" s="637"/>
      <c r="CY488" s="637"/>
      <c r="CZ488" s="638"/>
      <c r="DA488" s="220"/>
    </row>
    <row r="489" spans="1:106" s="16" customFormat="1" ht="15" hidden="1" customHeight="1" x14ac:dyDescent="0.3">
      <c r="A489" s="648" t="s">
        <v>573</v>
      </c>
      <c r="B489" s="649"/>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49"/>
      <c r="AK489" s="649"/>
      <c r="AL489" s="649"/>
      <c r="AM489" s="649"/>
      <c r="AN489" s="649"/>
      <c r="AO489" s="649"/>
      <c r="AP489" s="649"/>
      <c r="AQ489" s="649"/>
      <c r="AR489" s="649"/>
      <c r="AS489" s="649"/>
      <c r="AT489" s="649"/>
      <c r="AU489" s="649"/>
      <c r="AV489" s="649"/>
      <c r="AW489" s="649"/>
      <c r="AX489" s="649"/>
      <c r="AY489" s="649"/>
      <c r="AZ489" s="649"/>
      <c r="BA489" s="649"/>
      <c r="BB489" s="649"/>
      <c r="BC489" s="649"/>
      <c r="BD489" s="649"/>
      <c r="BE489" s="649"/>
      <c r="BF489" s="649"/>
      <c r="BG489" s="649"/>
      <c r="BH489" s="649"/>
      <c r="BI489" s="649"/>
      <c r="BJ489" s="649"/>
      <c r="BK489" s="649"/>
      <c r="BL489" s="649"/>
      <c r="BM489" s="649"/>
      <c r="BN489" s="649"/>
      <c r="BO489" s="649"/>
      <c r="BP489" s="649"/>
      <c r="BQ489" s="649"/>
      <c r="BR489" s="649"/>
      <c r="BS489" s="649"/>
      <c r="BT489" s="649"/>
      <c r="BU489" s="649"/>
      <c r="BV489" s="649"/>
      <c r="BW489" s="649"/>
      <c r="BX489" s="649"/>
      <c r="BY489" s="649"/>
      <c r="BZ489" s="649"/>
      <c r="CA489" s="649"/>
      <c r="CB489" s="649"/>
      <c r="CC489" s="649"/>
      <c r="CD489" s="649"/>
      <c r="CE489" s="649"/>
      <c r="CF489" s="649"/>
      <c r="CG489" s="649"/>
      <c r="CH489" s="649"/>
      <c r="CI489" s="649"/>
      <c r="CJ489" s="649"/>
      <c r="CK489" s="649"/>
      <c r="CL489" s="649"/>
      <c r="CM489" s="649"/>
      <c r="CN489" s="649"/>
      <c r="CO489" s="649"/>
      <c r="CP489" s="649"/>
      <c r="CQ489" s="649"/>
      <c r="CR489" s="649"/>
      <c r="CS489" s="649"/>
      <c r="CT489" s="649"/>
      <c r="CU489" s="649"/>
      <c r="CV489" s="649"/>
      <c r="CW489" s="649"/>
      <c r="CX489" s="649"/>
      <c r="CY489" s="649"/>
      <c r="CZ489" s="649"/>
      <c r="DA489" s="214"/>
    </row>
    <row r="490" spans="1:106" s="16" customFormat="1" ht="15" hidden="1" customHeight="1" x14ac:dyDescent="0.3">
      <c r="A490" s="630" t="s">
        <v>441</v>
      </c>
      <c r="B490" s="631"/>
      <c r="C490" s="631"/>
      <c r="D490" s="631"/>
      <c r="E490" s="631"/>
      <c r="F490" s="631"/>
      <c r="G490" s="632"/>
      <c r="H490" s="584" t="s">
        <v>636</v>
      </c>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5"/>
      <c r="AL490" s="585"/>
      <c r="AM490" s="585"/>
      <c r="AN490" s="585"/>
      <c r="AO490" s="585"/>
      <c r="AP490" s="585"/>
      <c r="AQ490" s="585"/>
      <c r="AR490" s="585"/>
      <c r="AS490" s="585"/>
      <c r="AT490" s="585"/>
      <c r="AU490" s="585"/>
      <c r="AV490" s="585"/>
      <c r="AW490" s="585"/>
      <c r="AX490" s="585"/>
      <c r="AY490" s="585"/>
      <c r="AZ490" s="585"/>
      <c r="BA490" s="585"/>
      <c r="BB490" s="586"/>
      <c r="BC490" s="675">
        <v>2</v>
      </c>
      <c r="BD490" s="676"/>
      <c r="BE490" s="676"/>
      <c r="BF490" s="676"/>
      <c r="BG490" s="676"/>
      <c r="BH490" s="676"/>
      <c r="BI490" s="676"/>
      <c r="BJ490" s="676"/>
      <c r="BK490" s="676"/>
      <c r="BL490" s="676"/>
      <c r="BM490" s="676"/>
      <c r="BN490" s="676"/>
      <c r="BO490" s="676"/>
      <c r="BP490" s="676"/>
      <c r="BQ490" s="676"/>
      <c r="BR490" s="677"/>
      <c r="BS490" s="627">
        <f>CI490/BC490</f>
        <v>0</v>
      </c>
      <c r="BT490" s="628"/>
      <c r="BU490" s="628"/>
      <c r="BV490" s="628"/>
      <c r="BW490" s="628"/>
      <c r="BX490" s="628"/>
      <c r="BY490" s="628"/>
      <c r="BZ490" s="628"/>
      <c r="CA490" s="628"/>
      <c r="CB490" s="628"/>
      <c r="CC490" s="628"/>
      <c r="CD490" s="628"/>
      <c r="CE490" s="628"/>
      <c r="CF490" s="628"/>
      <c r="CG490" s="628"/>
      <c r="CH490" s="629"/>
      <c r="CI490" s="627"/>
      <c r="CJ490" s="628"/>
      <c r="CK490" s="628"/>
      <c r="CL490" s="628"/>
      <c r="CM490" s="628"/>
      <c r="CN490" s="628"/>
      <c r="CO490" s="628"/>
      <c r="CP490" s="628"/>
      <c r="CQ490" s="628"/>
      <c r="CR490" s="628"/>
      <c r="CS490" s="628"/>
      <c r="CT490" s="628"/>
      <c r="CU490" s="628"/>
      <c r="CV490" s="628"/>
      <c r="CW490" s="628"/>
      <c r="CX490" s="628"/>
      <c r="CY490" s="628"/>
      <c r="CZ490" s="629"/>
      <c r="DA490" s="217">
        <f>CI490</f>
        <v>0</v>
      </c>
    </row>
    <row r="491" spans="1:106" s="16" customFormat="1" ht="15" hidden="1" customHeight="1" x14ac:dyDescent="0.3">
      <c r="A491" s="630" t="s">
        <v>444</v>
      </c>
      <c r="B491" s="631"/>
      <c r="C491" s="631"/>
      <c r="D491" s="631"/>
      <c r="E491" s="631"/>
      <c r="F491" s="631"/>
      <c r="G491" s="632"/>
      <c r="H491" s="584" t="s">
        <v>637</v>
      </c>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5"/>
      <c r="AL491" s="585"/>
      <c r="AM491" s="585"/>
      <c r="AN491" s="585"/>
      <c r="AO491" s="585"/>
      <c r="AP491" s="585"/>
      <c r="AQ491" s="585"/>
      <c r="AR491" s="585"/>
      <c r="AS491" s="585"/>
      <c r="AT491" s="585"/>
      <c r="AU491" s="585"/>
      <c r="AV491" s="585"/>
      <c r="AW491" s="585"/>
      <c r="AX491" s="585"/>
      <c r="AY491" s="585"/>
      <c r="AZ491" s="585"/>
      <c r="BA491" s="585"/>
      <c r="BB491" s="586"/>
      <c r="BC491" s="675"/>
      <c r="BD491" s="676"/>
      <c r="BE491" s="676"/>
      <c r="BF491" s="676"/>
      <c r="BG491" s="676"/>
      <c r="BH491" s="676"/>
      <c r="BI491" s="676"/>
      <c r="BJ491" s="676"/>
      <c r="BK491" s="676"/>
      <c r="BL491" s="676"/>
      <c r="BM491" s="676"/>
      <c r="BN491" s="676"/>
      <c r="BO491" s="676"/>
      <c r="BP491" s="676"/>
      <c r="BQ491" s="676"/>
      <c r="BR491" s="677"/>
      <c r="BS491" s="627" t="e">
        <f t="shared" ref="BS491:BS498" si="7">CI491/BC491</f>
        <v>#DIV/0!</v>
      </c>
      <c r="BT491" s="628"/>
      <c r="BU491" s="628"/>
      <c r="BV491" s="628"/>
      <c r="BW491" s="628"/>
      <c r="BX491" s="628"/>
      <c r="BY491" s="628"/>
      <c r="BZ491" s="628"/>
      <c r="CA491" s="628"/>
      <c r="CB491" s="628"/>
      <c r="CC491" s="628"/>
      <c r="CD491" s="628"/>
      <c r="CE491" s="628"/>
      <c r="CF491" s="628"/>
      <c r="CG491" s="628"/>
      <c r="CH491" s="629"/>
      <c r="CI491" s="627"/>
      <c r="CJ491" s="628"/>
      <c r="CK491" s="628"/>
      <c r="CL491" s="628"/>
      <c r="CM491" s="628"/>
      <c r="CN491" s="628"/>
      <c r="CO491" s="628"/>
      <c r="CP491" s="628"/>
      <c r="CQ491" s="628"/>
      <c r="CR491" s="628"/>
      <c r="CS491" s="628"/>
      <c r="CT491" s="628"/>
      <c r="CU491" s="628"/>
      <c r="CV491" s="628"/>
      <c r="CW491" s="628"/>
      <c r="CX491" s="628"/>
      <c r="CY491" s="628"/>
      <c r="CZ491" s="629"/>
      <c r="DA491" s="227">
        <v>630100</v>
      </c>
      <c r="DB491" s="228" t="s">
        <v>638</v>
      </c>
    </row>
    <row r="492" spans="1:106" s="16" customFormat="1" ht="27.6" hidden="1" customHeight="1" x14ac:dyDescent="0.3">
      <c r="A492" s="630" t="s">
        <v>444</v>
      </c>
      <c r="B492" s="631"/>
      <c r="C492" s="631"/>
      <c r="D492" s="631"/>
      <c r="E492" s="631"/>
      <c r="F492" s="631"/>
      <c r="G492" s="632"/>
      <c r="H492" s="584" t="s">
        <v>846</v>
      </c>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5"/>
      <c r="AL492" s="585"/>
      <c r="AM492" s="585"/>
      <c r="AN492" s="585"/>
      <c r="AO492" s="585"/>
      <c r="AP492" s="585"/>
      <c r="AQ492" s="585"/>
      <c r="AR492" s="585"/>
      <c r="AS492" s="585"/>
      <c r="AT492" s="585"/>
      <c r="AU492" s="585"/>
      <c r="AV492" s="585"/>
      <c r="AW492" s="585"/>
      <c r="AX492" s="585"/>
      <c r="AY492" s="585"/>
      <c r="AZ492" s="585"/>
      <c r="BA492" s="585"/>
      <c r="BB492" s="586"/>
      <c r="BC492" s="675">
        <v>1</v>
      </c>
      <c r="BD492" s="676"/>
      <c r="BE492" s="676"/>
      <c r="BF492" s="676"/>
      <c r="BG492" s="676"/>
      <c r="BH492" s="676"/>
      <c r="BI492" s="676"/>
      <c r="BJ492" s="676"/>
      <c r="BK492" s="676"/>
      <c r="BL492" s="676"/>
      <c r="BM492" s="676"/>
      <c r="BN492" s="676"/>
      <c r="BO492" s="676"/>
      <c r="BP492" s="676"/>
      <c r="BQ492" s="676"/>
      <c r="BR492" s="677"/>
      <c r="BS492" s="627">
        <f t="shared" si="7"/>
        <v>0</v>
      </c>
      <c r="BT492" s="628"/>
      <c r="BU492" s="628"/>
      <c r="BV492" s="628"/>
      <c r="BW492" s="628"/>
      <c r="BX492" s="628"/>
      <c r="BY492" s="628"/>
      <c r="BZ492" s="628"/>
      <c r="CA492" s="628"/>
      <c r="CB492" s="628"/>
      <c r="CC492" s="628"/>
      <c r="CD492" s="628"/>
      <c r="CE492" s="628"/>
      <c r="CF492" s="628"/>
      <c r="CG492" s="628"/>
      <c r="CH492" s="629"/>
      <c r="CI492" s="627"/>
      <c r="CJ492" s="628"/>
      <c r="CK492" s="628"/>
      <c r="CL492" s="628"/>
      <c r="CM492" s="628"/>
      <c r="CN492" s="628"/>
      <c r="CO492" s="628"/>
      <c r="CP492" s="628"/>
      <c r="CQ492" s="628"/>
      <c r="CR492" s="628"/>
      <c r="CS492" s="628"/>
      <c r="CT492" s="628"/>
      <c r="CU492" s="628"/>
      <c r="CV492" s="628"/>
      <c r="CW492" s="628"/>
      <c r="CX492" s="628"/>
      <c r="CY492" s="628"/>
      <c r="CZ492" s="629"/>
      <c r="DA492" s="227"/>
      <c r="DB492" s="228"/>
    </row>
    <row r="493" spans="1:106" s="16" customFormat="1" ht="15" hidden="1" customHeight="1" x14ac:dyDescent="0.3">
      <c r="A493" s="630" t="s">
        <v>446</v>
      </c>
      <c r="B493" s="631"/>
      <c r="C493" s="631"/>
      <c r="D493" s="631"/>
      <c r="E493" s="631"/>
      <c r="F493" s="631"/>
      <c r="G493" s="632"/>
      <c r="H493" s="584" t="s">
        <v>858</v>
      </c>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5"/>
      <c r="AL493" s="585"/>
      <c r="AM493" s="585"/>
      <c r="AN493" s="585"/>
      <c r="AO493" s="585"/>
      <c r="AP493" s="585"/>
      <c r="AQ493" s="585"/>
      <c r="AR493" s="585"/>
      <c r="AS493" s="585"/>
      <c r="AT493" s="585"/>
      <c r="AU493" s="585"/>
      <c r="AV493" s="585"/>
      <c r="AW493" s="585"/>
      <c r="AX493" s="585"/>
      <c r="AY493" s="585"/>
      <c r="AZ493" s="585"/>
      <c r="BA493" s="585"/>
      <c r="BB493" s="586"/>
      <c r="BC493" s="675">
        <v>1</v>
      </c>
      <c r="BD493" s="676"/>
      <c r="BE493" s="676"/>
      <c r="BF493" s="676"/>
      <c r="BG493" s="676"/>
      <c r="BH493" s="676"/>
      <c r="BI493" s="676"/>
      <c r="BJ493" s="676"/>
      <c r="BK493" s="676"/>
      <c r="BL493" s="676"/>
      <c r="BM493" s="676"/>
      <c r="BN493" s="676"/>
      <c r="BO493" s="676"/>
      <c r="BP493" s="676"/>
      <c r="BQ493" s="676"/>
      <c r="BR493" s="677"/>
      <c r="BS493" s="627">
        <f t="shared" si="7"/>
        <v>0</v>
      </c>
      <c r="BT493" s="628"/>
      <c r="BU493" s="628"/>
      <c r="BV493" s="628"/>
      <c r="BW493" s="628"/>
      <c r="BX493" s="628"/>
      <c r="BY493" s="628"/>
      <c r="BZ493" s="628"/>
      <c r="CA493" s="628"/>
      <c r="CB493" s="628"/>
      <c r="CC493" s="628"/>
      <c r="CD493" s="628"/>
      <c r="CE493" s="628"/>
      <c r="CF493" s="628"/>
      <c r="CG493" s="628"/>
      <c r="CH493" s="629"/>
      <c r="CI493" s="627"/>
      <c r="CJ493" s="628"/>
      <c r="CK493" s="628"/>
      <c r="CL493" s="628"/>
      <c r="CM493" s="628"/>
      <c r="CN493" s="628"/>
      <c r="CO493" s="628"/>
      <c r="CP493" s="628"/>
      <c r="CQ493" s="628"/>
      <c r="CR493" s="628"/>
      <c r="CS493" s="628"/>
      <c r="CT493" s="628"/>
      <c r="CU493" s="628"/>
      <c r="CV493" s="628"/>
      <c r="CW493" s="628"/>
      <c r="CX493" s="628"/>
      <c r="CY493" s="628"/>
      <c r="CZ493" s="629"/>
      <c r="DA493" s="227"/>
      <c r="DB493" s="228"/>
    </row>
    <row r="494" spans="1:106" s="16" customFormat="1" ht="15" hidden="1" customHeight="1" x14ac:dyDescent="0.3">
      <c r="A494" s="630" t="s">
        <v>551</v>
      </c>
      <c r="B494" s="631"/>
      <c r="C494" s="631"/>
      <c r="D494" s="631"/>
      <c r="E494" s="631"/>
      <c r="F494" s="631"/>
      <c r="G494" s="632"/>
      <c r="H494" s="584" t="s">
        <v>859</v>
      </c>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5"/>
      <c r="AL494" s="585"/>
      <c r="AM494" s="585"/>
      <c r="AN494" s="585"/>
      <c r="AO494" s="585"/>
      <c r="AP494" s="585"/>
      <c r="AQ494" s="585"/>
      <c r="AR494" s="585"/>
      <c r="AS494" s="585"/>
      <c r="AT494" s="585"/>
      <c r="AU494" s="585"/>
      <c r="AV494" s="585"/>
      <c r="AW494" s="585"/>
      <c r="AX494" s="585"/>
      <c r="AY494" s="585"/>
      <c r="AZ494" s="585"/>
      <c r="BA494" s="585"/>
      <c r="BB494" s="586"/>
      <c r="BC494" s="675">
        <v>2</v>
      </c>
      <c r="BD494" s="676"/>
      <c r="BE494" s="676"/>
      <c r="BF494" s="676"/>
      <c r="BG494" s="676"/>
      <c r="BH494" s="676"/>
      <c r="BI494" s="676"/>
      <c r="BJ494" s="676"/>
      <c r="BK494" s="676"/>
      <c r="BL494" s="676"/>
      <c r="BM494" s="676"/>
      <c r="BN494" s="676"/>
      <c r="BO494" s="676"/>
      <c r="BP494" s="676"/>
      <c r="BQ494" s="676"/>
      <c r="BR494" s="677"/>
      <c r="BS494" s="627">
        <f t="shared" si="7"/>
        <v>0</v>
      </c>
      <c r="BT494" s="628"/>
      <c r="BU494" s="628"/>
      <c r="BV494" s="628"/>
      <c r="BW494" s="628"/>
      <c r="BX494" s="628"/>
      <c r="BY494" s="628"/>
      <c r="BZ494" s="628"/>
      <c r="CA494" s="628"/>
      <c r="CB494" s="628"/>
      <c r="CC494" s="628"/>
      <c r="CD494" s="628"/>
      <c r="CE494" s="628"/>
      <c r="CF494" s="628"/>
      <c r="CG494" s="628"/>
      <c r="CH494" s="629"/>
      <c r="CI494" s="627"/>
      <c r="CJ494" s="628"/>
      <c r="CK494" s="628"/>
      <c r="CL494" s="628"/>
      <c r="CM494" s="628"/>
      <c r="CN494" s="628"/>
      <c r="CO494" s="628"/>
      <c r="CP494" s="628"/>
      <c r="CQ494" s="628"/>
      <c r="CR494" s="628"/>
      <c r="CS494" s="628"/>
      <c r="CT494" s="628"/>
      <c r="CU494" s="628"/>
      <c r="CV494" s="628"/>
      <c r="CW494" s="628"/>
      <c r="CX494" s="628"/>
      <c r="CY494" s="628"/>
      <c r="CZ494" s="629"/>
      <c r="DA494" s="227"/>
      <c r="DB494" s="228"/>
    </row>
    <row r="495" spans="1:106" s="16" customFormat="1" ht="15" hidden="1" customHeight="1" x14ac:dyDescent="0.3">
      <c r="A495" s="630" t="s">
        <v>599</v>
      </c>
      <c r="B495" s="631"/>
      <c r="C495" s="631"/>
      <c r="D495" s="631"/>
      <c r="E495" s="631"/>
      <c r="F495" s="631"/>
      <c r="G495" s="632"/>
      <c r="H495" s="584" t="s">
        <v>860</v>
      </c>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5"/>
      <c r="AL495" s="585"/>
      <c r="AM495" s="585"/>
      <c r="AN495" s="585"/>
      <c r="AO495" s="585"/>
      <c r="AP495" s="585"/>
      <c r="AQ495" s="585"/>
      <c r="AR495" s="585"/>
      <c r="AS495" s="585"/>
      <c r="AT495" s="585"/>
      <c r="AU495" s="585"/>
      <c r="AV495" s="585"/>
      <c r="AW495" s="585"/>
      <c r="AX495" s="585"/>
      <c r="AY495" s="585"/>
      <c r="AZ495" s="585"/>
      <c r="BA495" s="585"/>
      <c r="BB495" s="586"/>
      <c r="BC495" s="675">
        <v>13</v>
      </c>
      <c r="BD495" s="676"/>
      <c r="BE495" s="676"/>
      <c r="BF495" s="676"/>
      <c r="BG495" s="676"/>
      <c r="BH495" s="676"/>
      <c r="BI495" s="676"/>
      <c r="BJ495" s="676"/>
      <c r="BK495" s="676"/>
      <c r="BL495" s="676"/>
      <c r="BM495" s="676"/>
      <c r="BN495" s="676"/>
      <c r="BO495" s="676"/>
      <c r="BP495" s="676"/>
      <c r="BQ495" s="676"/>
      <c r="BR495" s="677"/>
      <c r="BS495" s="627">
        <f t="shared" si="7"/>
        <v>0</v>
      </c>
      <c r="BT495" s="628"/>
      <c r="BU495" s="628"/>
      <c r="BV495" s="628"/>
      <c r="BW495" s="628"/>
      <c r="BX495" s="628"/>
      <c r="BY495" s="628"/>
      <c r="BZ495" s="628"/>
      <c r="CA495" s="628"/>
      <c r="CB495" s="628"/>
      <c r="CC495" s="628"/>
      <c r="CD495" s="628"/>
      <c r="CE495" s="628"/>
      <c r="CF495" s="628"/>
      <c r="CG495" s="628"/>
      <c r="CH495" s="629"/>
      <c r="CI495" s="627"/>
      <c r="CJ495" s="628"/>
      <c r="CK495" s="628"/>
      <c r="CL495" s="628"/>
      <c r="CM495" s="628"/>
      <c r="CN495" s="628"/>
      <c r="CO495" s="628"/>
      <c r="CP495" s="628"/>
      <c r="CQ495" s="628"/>
      <c r="CR495" s="628"/>
      <c r="CS495" s="628"/>
      <c r="CT495" s="628"/>
      <c r="CU495" s="628"/>
      <c r="CV495" s="628"/>
      <c r="CW495" s="628"/>
      <c r="CX495" s="628"/>
      <c r="CY495" s="628"/>
      <c r="CZ495" s="629"/>
      <c r="DA495" s="227"/>
      <c r="DB495" s="228"/>
    </row>
    <row r="496" spans="1:106" s="16" customFormat="1" ht="15" hidden="1" customHeight="1" x14ac:dyDescent="0.3">
      <c r="A496" s="630" t="s">
        <v>642</v>
      </c>
      <c r="B496" s="631"/>
      <c r="C496" s="631"/>
      <c r="D496" s="631"/>
      <c r="E496" s="631"/>
      <c r="F496" s="631"/>
      <c r="G496" s="632"/>
      <c r="H496" s="584" t="s">
        <v>887</v>
      </c>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5"/>
      <c r="AL496" s="585"/>
      <c r="AM496" s="585"/>
      <c r="AN496" s="585"/>
      <c r="AO496" s="585"/>
      <c r="AP496" s="585"/>
      <c r="AQ496" s="585"/>
      <c r="AR496" s="585"/>
      <c r="AS496" s="585"/>
      <c r="AT496" s="585"/>
      <c r="AU496" s="585"/>
      <c r="AV496" s="585"/>
      <c r="AW496" s="585"/>
      <c r="AX496" s="585"/>
      <c r="AY496" s="585"/>
      <c r="AZ496" s="585"/>
      <c r="BA496" s="585"/>
      <c r="BB496" s="586"/>
      <c r="BC496" s="675">
        <v>1</v>
      </c>
      <c r="BD496" s="676"/>
      <c r="BE496" s="676"/>
      <c r="BF496" s="676"/>
      <c r="BG496" s="676"/>
      <c r="BH496" s="676"/>
      <c r="BI496" s="676"/>
      <c r="BJ496" s="676"/>
      <c r="BK496" s="676"/>
      <c r="BL496" s="676"/>
      <c r="BM496" s="676"/>
      <c r="BN496" s="676"/>
      <c r="BO496" s="676"/>
      <c r="BP496" s="676"/>
      <c r="BQ496" s="676"/>
      <c r="BR496" s="677"/>
      <c r="BS496" s="627">
        <f t="shared" si="7"/>
        <v>0</v>
      </c>
      <c r="BT496" s="628"/>
      <c r="BU496" s="628"/>
      <c r="BV496" s="628"/>
      <c r="BW496" s="628"/>
      <c r="BX496" s="628"/>
      <c r="BY496" s="628"/>
      <c r="BZ496" s="628"/>
      <c r="CA496" s="628"/>
      <c r="CB496" s="628"/>
      <c r="CC496" s="628"/>
      <c r="CD496" s="628"/>
      <c r="CE496" s="628"/>
      <c r="CF496" s="628"/>
      <c r="CG496" s="628"/>
      <c r="CH496" s="629"/>
      <c r="CI496" s="627"/>
      <c r="CJ496" s="628"/>
      <c r="CK496" s="628"/>
      <c r="CL496" s="628"/>
      <c r="CM496" s="628"/>
      <c r="CN496" s="628"/>
      <c r="CO496" s="628"/>
      <c r="CP496" s="628"/>
      <c r="CQ496" s="628"/>
      <c r="CR496" s="628"/>
      <c r="CS496" s="628"/>
      <c r="CT496" s="628"/>
      <c r="CU496" s="628"/>
      <c r="CV496" s="628"/>
      <c r="CW496" s="628"/>
      <c r="CX496" s="628"/>
      <c r="CY496" s="628"/>
      <c r="CZ496" s="629"/>
      <c r="DA496" s="227"/>
      <c r="DB496" s="228"/>
    </row>
    <row r="497" spans="1:106" s="16" customFormat="1" ht="15" hidden="1" customHeight="1" x14ac:dyDescent="0.3">
      <c r="A497" s="630" t="s">
        <v>648</v>
      </c>
      <c r="B497" s="631"/>
      <c r="C497" s="631"/>
      <c r="D497" s="631"/>
      <c r="E497" s="631"/>
      <c r="F497" s="631"/>
      <c r="G497" s="632"/>
      <c r="H497" s="584" t="s">
        <v>639</v>
      </c>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585"/>
      <c r="AE497" s="585"/>
      <c r="AF497" s="585"/>
      <c r="AG497" s="585"/>
      <c r="AH497" s="585"/>
      <c r="AI497" s="585"/>
      <c r="AJ497" s="585"/>
      <c r="AK497" s="585"/>
      <c r="AL497" s="585"/>
      <c r="AM497" s="585"/>
      <c r="AN497" s="585"/>
      <c r="AO497" s="585"/>
      <c r="AP497" s="585"/>
      <c r="AQ497" s="585"/>
      <c r="AR497" s="585"/>
      <c r="AS497" s="585"/>
      <c r="AT497" s="585"/>
      <c r="AU497" s="585"/>
      <c r="AV497" s="585"/>
      <c r="AW497" s="585"/>
      <c r="AX497" s="585"/>
      <c r="AY497" s="585"/>
      <c r="AZ497" s="585"/>
      <c r="BA497" s="585"/>
      <c r="BB497" s="586"/>
      <c r="BC497" s="675">
        <v>1</v>
      </c>
      <c r="BD497" s="676"/>
      <c r="BE497" s="676"/>
      <c r="BF497" s="676"/>
      <c r="BG497" s="676"/>
      <c r="BH497" s="676"/>
      <c r="BI497" s="676"/>
      <c r="BJ497" s="676"/>
      <c r="BK497" s="676"/>
      <c r="BL497" s="676"/>
      <c r="BM497" s="676"/>
      <c r="BN497" s="676"/>
      <c r="BO497" s="676"/>
      <c r="BP497" s="676"/>
      <c r="BQ497" s="676"/>
      <c r="BR497" s="677"/>
      <c r="BS497" s="627">
        <f t="shared" si="7"/>
        <v>0</v>
      </c>
      <c r="BT497" s="628"/>
      <c r="BU497" s="628"/>
      <c r="BV497" s="628"/>
      <c r="BW497" s="628"/>
      <c r="BX497" s="628"/>
      <c r="BY497" s="628"/>
      <c r="BZ497" s="628"/>
      <c r="CA497" s="628"/>
      <c r="CB497" s="628"/>
      <c r="CC497" s="628"/>
      <c r="CD497" s="628"/>
      <c r="CE497" s="628"/>
      <c r="CF497" s="628"/>
      <c r="CG497" s="628"/>
      <c r="CH497" s="629"/>
      <c r="CI497" s="627"/>
      <c r="CJ497" s="628"/>
      <c r="CK497" s="628"/>
      <c r="CL497" s="628"/>
      <c r="CM497" s="628"/>
      <c r="CN497" s="628"/>
      <c r="CO497" s="628"/>
      <c r="CP497" s="628"/>
      <c r="CQ497" s="628"/>
      <c r="CR497" s="628"/>
      <c r="CS497" s="628"/>
      <c r="CT497" s="628"/>
      <c r="CU497" s="628"/>
      <c r="CV497" s="628"/>
      <c r="CW497" s="628"/>
      <c r="CX497" s="628"/>
      <c r="CY497" s="628"/>
      <c r="CZ497" s="629"/>
      <c r="DA497" s="214"/>
    </row>
    <row r="498" spans="1:106" s="16" customFormat="1" ht="15" hidden="1" customHeight="1" x14ac:dyDescent="0.3">
      <c r="A498" s="630" t="s">
        <v>650</v>
      </c>
      <c r="B498" s="631"/>
      <c r="C498" s="631"/>
      <c r="D498" s="631"/>
      <c r="E498" s="631"/>
      <c r="F498" s="631"/>
      <c r="G498" s="632"/>
      <c r="H498" s="584" t="s">
        <v>640</v>
      </c>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5"/>
      <c r="AF498" s="585"/>
      <c r="AG498" s="585"/>
      <c r="AH498" s="585"/>
      <c r="AI498" s="585"/>
      <c r="AJ498" s="585"/>
      <c r="AK498" s="585"/>
      <c r="AL498" s="585"/>
      <c r="AM498" s="585"/>
      <c r="AN498" s="585"/>
      <c r="AO498" s="585"/>
      <c r="AP498" s="585"/>
      <c r="AQ498" s="585"/>
      <c r="AR498" s="585"/>
      <c r="AS498" s="585"/>
      <c r="AT498" s="585"/>
      <c r="AU498" s="585"/>
      <c r="AV498" s="585"/>
      <c r="AW498" s="585"/>
      <c r="AX498" s="585"/>
      <c r="AY498" s="585"/>
      <c r="AZ498" s="585"/>
      <c r="BA498" s="585"/>
      <c r="BB498" s="586"/>
      <c r="BC498" s="675">
        <v>2</v>
      </c>
      <c r="BD498" s="676"/>
      <c r="BE498" s="676"/>
      <c r="BF498" s="676"/>
      <c r="BG498" s="676"/>
      <c r="BH498" s="676"/>
      <c r="BI498" s="676"/>
      <c r="BJ498" s="676"/>
      <c r="BK498" s="676"/>
      <c r="BL498" s="676"/>
      <c r="BM498" s="676"/>
      <c r="BN498" s="676"/>
      <c r="BO498" s="676"/>
      <c r="BP498" s="676"/>
      <c r="BQ498" s="676"/>
      <c r="BR498" s="677"/>
      <c r="BS498" s="627">
        <f t="shared" si="7"/>
        <v>0</v>
      </c>
      <c r="BT498" s="628"/>
      <c r="BU498" s="628"/>
      <c r="BV498" s="628"/>
      <c r="BW498" s="628"/>
      <c r="BX498" s="628"/>
      <c r="BY498" s="628"/>
      <c r="BZ498" s="628"/>
      <c r="CA498" s="628"/>
      <c r="CB498" s="628"/>
      <c r="CC498" s="628"/>
      <c r="CD498" s="628"/>
      <c r="CE498" s="628"/>
      <c r="CF498" s="628"/>
      <c r="CG498" s="628"/>
      <c r="CH498" s="629"/>
      <c r="CI498" s="627"/>
      <c r="CJ498" s="628"/>
      <c r="CK498" s="628"/>
      <c r="CL498" s="628"/>
      <c r="CM498" s="628"/>
      <c r="CN498" s="628"/>
      <c r="CO498" s="628"/>
      <c r="CP498" s="628"/>
      <c r="CQ498" s="628"/>
      <c r="CR498" s="628"/>
      <c r="CS498" s="628"/>
      <c r="CT498" s="628"/>
      <c r="CU498" s="628"/>
      <c r="CV498" s="628"/>
      <c r="CW498" s="628"/>
      <c r="CX498" s="628"/>
      <c r="CY498" s="628"/>
      <c r="CZ498" s="629"/>
      <c r="DA498" s="217">
        <f>CI497+CI498+CI499+CI558+CI844+CI876+CL142</f>
        <v>0</v>
      </c>
    </row>
    <row r="499" spans="1:106" s="16" customFormat="1" ht="15" hidden="1" customHeight="1" x14ac:dyDescent="0.3">
      <c r="A499" s="630" t="s">
        <v>651</v>
      </c>
      <c r="B499" s="631"/>
      <c r="C499" s="631"/>
      <c r="D499" s="631"/>
      <c r="E499" s="631"/>
      <c r="F499" s="631"/>
      <c r="G499" s="632"/>
      <c r="H499" s="584" t="s">
        <v>641</v>
      </c>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5"/>
      <c r="AL499" s="585"/>
      <c r="AM499" s="585"/>
      <c r="AN499" s="585"/>
      <c r="AO499" s="585"/>
      <c r="AP499" s="585"/>
      <c r="AQ499" s="585"/>
      <c r="AR499" s="585"/>
      <c r="AS499" s="585"/>
      <c r="AT499" s="585"/>
      <c r="AU499" s="585"/>
      <c r="AV499" s="585"/>
      <c r="AW499" s="585"/>
      <c r="AX499" s="585"/>
      <c r="AY499" s="585"/>
      <c r="AZ499" s="585"/>
      <c r="BA499" s="585"/>
      <c r="BB499" s="586"/>
      <c r="BC499" s="675">
        <v>0</v>
      </c>
      <c r="BD499" s="676"/>
      <c r="BE499" s="676"/>
      <c r="BF499" s="676"/>
      <c r="BG499" s="676"/>
      <c r="BH499" s="676"/>
      <c r="BI499" s="676"/>
      <c r="BJ499" s="676"/>
      <c r="BK499" s="676"/>
      <c r="BL499" s="676"/>
      <c r="BM499" s="676"/>
      <c r="BN499" s="676"/>
      <c r="BO499" s="676"/>
      <c r="BP499" s="676"/>
      <c r="BQ499" s="676"/>
      <c r="BR499" s="677"/>
      <c r="BS499" s="627">
        <v>0</v>
      </c>
      <c r="BT499" s="628"/>
      <c r="BU499" s="628"/>
      <c r="BV499" s="628"/>
      <c r="BW499" s="628"/>
      <c r="BX499" s="628"/>
      <c r="BY499" s="628"/>
      <c r="BZ499" s="628"/>
      <c r="CA499" s="628"/>
      <c r="CB499" s="628"/>
      <c r="CC499" s="628"/>
      <c r="CD499" s="628"/>
      <c r="CE499" s="628"/>
      <c r="CF499" s="628"/>
      <c r="CG499" s="628"/>
      <c r="CH499" s="629"/>
      <c r="CI499" s="627">
        <v>0</v>
      </c>
      <c r="CJ499" s="628"/>
      <c r="CK499" s="628"/>
      <c r="CL499" s="628"/>
      <c r="CM499" s="628"/>
      <c r="CN499" s="628"/>
      <c r="CO499" s="628"/>
      <c r="CP499" s="628"/>
      <c r="CQ499" s="628"/>
      <c r="CR499" s="628"/>
      <c r="CS499" s="628"/>
      <c r="CT499" s="628"/>
      <c r="CU499" s="628"/>
      <c r="CV499" s="628"/>
      <c r="CW499" s="628"/>
      <c r="CX499" s="628"/>
      <c r="CY499" s="628"/>
      <c r="CZ499" s="629"/>
      <c r="DA499" s="217"/>
    </row>
    <row r="500" spans="1:106" s="16" customFormat="1" ht="24.75" hidden="1" customHeight="1" x14ac:dyDescent="0.3">
      <c r="A500" s="630" t="s">
        <v>642</v>
      </c>
      <c r="B500" s="631"/>
      <c r="C500" s="631"/>
      <c r="D500" s="631"/>
      <c r="E500" s="631"/>
      <c r="F500" s="631"/>
      <c r="G500" s="632"/>
      <c r="H500" s="584" t="s">
        <v>643</v>
      </c>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5"/>
      <c r="AL500" s="585"/>
      <c r="AM500" s="585"/>
      <c r="AN500" s="585"/>
      <c r="AO500" s="585"/>
      <c r="AP500" s="585"/>
      <c r="AQ500" s="585"/>
      <c r="AR500" s="585"/>
      <c r="AS500" s="585"/>
      <c r="AT500" s="585"/>
      <c r="AU500" s="585"/>
      <c r="AV500" s="585"/>
      <c r="AW500" s="585"/>
      <c r="AX500" s="585"/>
      <c r="AY500" s="585"/>
      <c r="AZ500" s="585"/>
      <c r="BA500" s="585"/>
      <c r="BB500" s="586"/>
      <c r="BC500" s="675"/>
      <c r="BD500" s="676"/>
      <c r="BE500" s="676"/>
      <c r="BF500" s="676"/>
      <c r="BG500" s="676"/>
      <c r="BH500" s="676"/>
      <c r="BI500" s="676"/>
      <c r="BJ500" s="676"/>
      <c r="BK500" s="676"/>
      <c r="BL500" s="676"/>
      <c r="BM500" s="676"/>
      <c r="BN500" s="676"/>
      <c r="BO500" s="676"/>
      <c r="BP500" s="676"/>
      <c r="BQ500" s="676"/>
      <c r="BR500" s="677"/>
      <c r="BS500" s="627"/>
      <c r="BT500" s="628"/>
      <c r="BU500" s="628"/>
      <c r="BV500" s="628"/>
      <c r="BW500" s="628"/>
      <c r="BX500" s="628"/>
      <c r="BY500" s="628"/>
      <c r="BZ500" s="628"/>
      <c r="CA500" s="628"/>
      <c r="CB500" s="628"/>
      <c r="CC500" s="628"/>
      <c r="CD500" s="628"/>
      <c r="CE500" s="628"/>
      <c r="CF500" s="628"/>
      <c r="CG500" s="628"/>
      <c r="CH500" s="629"/>
      <c r="CI500" s="627"/>
      <c r="CJ500" s="628"/>
      <c r="CK500" s="628"/>
      <c r="CL500" s="628"/>
      <c r="CM500" s="628"/>
      <c r="CN500" s="628"/>
      <c r="CO500" s="628"/>
      <c r="CP500" s="628"/>
      <c r="CQ500" s="628"/>
      <c r="CR500" s="628"/>
      <c r="CS500" s="628"/>
      <c r="CT500" s="628"/>
      <c r="CU500" s="628"/>
      <c r="CV500" s="628"/>
      <c r="CW500" s="628"/>
      <c r="CX500" s="628"/>
      <c r="CY500" s="628"/>
      <c r="CZ500" s="629"/>
      <c r="DA500" s="227"/>
    </row>
    <row r="501" spans="1:106" s="16" customFormat="1" ht="15" hidden="1" customHeight="1" x14ac:dyDescent="0.3">
      <c r="A501" s="633" t="s">
        <v>292</v>
      </c>
      <c r="B501" s="634"/>
      <c r="C501" s="634"/>
      <c r="D501" s="634"/>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c r="AA501" s="634"/>
      <c r="AB501" s="634"/>
      <c r="AC501" s="634"/>
      <c r="AD501" s="634"/>
      <c r="AE501" s="634"/>
      <c r="AF501" s="634"/>
      <c r="AG501" s="634"/>
      <c r="AH501" s="634"/>
      <c r="AI501" s="634"/>
      <c r="AJ501" s="634"/>
      <c r="AK501" s="634"/>
      <c r="AL501" s="634"/>
      <c r="AM501" s="634"/>
      <c r="AN501" s="634"/>
      <c r="AO501" s="634"/>
      <c r="AP501" s="634"/>
      <c r="AQ501" s="634"/>
      <c r="AR501" s="634"/>
      <c r="AS501" s="634"/>
      <c r="AT501" s="634"/>
      <c r="AU501" s="634"/>
      <c r="AV501" s="634"/>
      <c r="AW501" s="634"/>
      <c r="AX501" s="634"/>
      <c r="AY501" s="634"/>
      <c r="AZ501" s="634"/>
      <c r="BA501" s="634"/>
      <c r="BB501" s="635"/>
      <c r="BC501" s="544" t="s">
        <v>4</v>
      </c>
      <c r="BD501" s="545"/>
      <c r="BE501" s="545"/>
      <c r="BF501" s="545"/>
      <c r="BG501" s="545"/>
      <c r="BH501" s="545"/>
      <c r="BI501" s="545"/>
      <c r="BJ501" s="545"/>
      <c r="BK501" s="545"/>
      <c r="BL501" s="545"/>
      <c r="BM501" s="545"/>
      <c r="BN501" s="545"/>
      <c r="BO501" s="545"/>
      <c r="BP501" s="545"/>
      <c r="BQ501" s="545"/>
      <c r="BR501" s="546"/>
      <c r="BS501" s="544" t="s">
        <v>4</v>
      </c>
      <c r="BT501" s="545"/>
      <c r="BU501" s="545"/>
      <c r="BV501" s="545"/>
      <c r="BW501" s="545"/>
      <c r="BX501" s="545"/>
      <c r="BY501" s="545"/>
      <c r="BZ501" s="545"/>
      <c r="CA501" s="545"/>
      <c r="CB501" s="545"/>
      <c r="CC501" s="545"/>
      <c r="CD501" s="545"/>
      <c r="CE501" s="545"/>
      <c r="CF501" s="545"/>
      <c r="CG501" s="545"/>
      <c r="CH501" s="546"/>
      <c r="CI501" s="636">
        <f>SUM(CI490:CZ500)</f>
        <v>0</v>
      </c>
      <c r="CJ501" s="637"/>
      <c r="CK501" s="637"/>
      <c r="CL501" s="637"/>
      <c r="CM501" s="637"/>
      <c r="CN501" s="637"/>
      <c r="CO501" s="637"/>
      <c r="CP501" s="637"/>
      <c r="CQ501" s="637"/>
      <c r="CR501" s="637"/>
      <c r="CS501" s="637"/>
      <c r="CT501" s="637"/>
      <c r="CU501" s="637"/>
      <c r="CV501" s="637"/>
      <c r="CW501" s="637"/>
      <c r="CX501" s="637"/>
      <c r="CY501" s="637"/>
      <c r="CZ501" s="638"/>
      <c r="DA501" s="217"/>
      <c r="DB501" s="228" t="s">
        <v>644</v>
      </c>
    </row>
    <row r="502" spans="1:106" s="16" customFormat="1" ht="15" customHeight="1" x14ac:dyDescent="0.3">
      <c r="A502" s="553" t="s">
        <v>56</v>
      </c>
      <c r="B502" s="554"/>
      <c r="C502" s="554"/>
      <c r="D502" s="554"/>
      <c r="E502" s="554"/>
      <c r="F502" s="554"/>
      <c r="G502" s="554"/>
      <c r="H502" s="554"/>
      <c r="I502" s="554"/>
      <c r="J502" s="554"/>
      <c r="K502" s="554"/>
      <c r="L502" s="554"/>
      <c r="M502" s="554"/>
      <c r="N502" s="554"/>
      <c r="O502" s="554"/>
      <c r="P502" s="554"/>
      <c r="Q502" s="554"/>
      <c r="R502" s="554"/>
      <c r="S502" s="554"/>
      <c r="T502" s="554"/>
      <c r="U502" s="554"/>
      <c r="V502" s="554"/>
      <c r="W502" s="554"/>
      <c r="X502" s="554"/>
      <c r="Y502" s="554"/>
      <c r="Z502" s="554"/>
      <c r="AA502" s="554"/>
      <c r="AB502" s="554"/>
      <c r="AC502" s="554"/>
      <c r="AD502" s="554"/>
      <c r="AE502" s="554"/>
      <c r="AF502" s="554"/>
      <c r="AG502" s="554"/>
      <c r="AH502" s="554"/>
      <c r="AI502" s="554"/>
      <c r="AJ502" s="554"/>
      <c r="AK502" s="554"/>
      <c r="AL502" s="554"/>
      <c r="AM502" s="554"/>
      <c r="AN502" s="554"/>
      <c r="AO502" s="554"/>
      <c r="AP502" s="554"/>
      <c r="AQ502" s="554"/>
      <c r="AR502" s="554"/>
      <c r="AS502" s="554"/>
      <c r="AT502" s="554"/>
      <c r="AU502" s="554"/>
      <c r="AV502" s="554"/>
      <c r="AW502" s="554"/>
      <c r="AX502" s="554"/>
      <c r="AY502" s="554"/>
      <c r="AZ502" s="554"/>
      <c r="BA502" s="554"/>
      <c r="BB502" s="555"/>
      <c r="BC502" s="582" t="s">
        <v>4</v>
      </c>
      <c r="BD502" s="582"/>
      <c r="BE502" s="582"/>
      <c r="BF502" s="582"/>
      <c r="BG502" s="582"/>
      <c r="BH502" s="582"/>
      <c r="BI502" s="582"/>
      <c r="BJ502" s="582"/>
      <c r="BK502" s="582"/>
      <c r="BL502" s="582"/>
      <c r="BM502" s="582"/>
      <c r="BN502" s="582"/>
      <c r="BO502" s="582"/>
      <c r="BP502" s="582"/>
      <c r="BQ502" s="582"/>
      <c r="BR502" s="582"/>
      <c r="BS502" s="582" t="s">
        <v>4</v>
      </c>
      <c r="BT502" s="582"/>
      <c r="BU502" s="582"/>
      <c r="BV502" s="582"/>
      <c r="BW502" s="582"/>
      <c r="BX502" s="582"/>
      <c r="BY502" s="582"/>
      <c r="BZ502" s="582"/>
      <c r="CA502" s="582"/>
      <c r="CB502" s="582"/>
      <c r="CC502" s="582"/>
      <c r="CD502" s="582"/>
      <c r="CE502" s="582"/>
      <c r="CF502" s="582"/>
      <c r="CG502" s="582"/>
      <c r="CH502" s="582"/>
      <c r="CI502" s="611">
        <f>CI481+CI488+CI501</f>
        <v>210200</v>
      </c>
      <c r="CJ502" s="560"/>
      <c r="CK502" s="560"/>
      <c r="CL502" s="560"/>
      <c r="CM502" s="560"/>
      <c r="CN502" s="560"/>
      <c r="CO502" s="560"/>
      <c r="CP502" s="560"/>
      <c r="CQ502" s="560"/>
      <c r="CR502" s="560"/>
      <c r="CS502" s="560"/>
      <c r="CT502" s="560"/>
      <c r="CU502" s="560"/>
      <c r="CV502" s="560"/>
      <c r="CW502" s="560"/>
      <c r="CX502" s="560"/>
      <c r="CY502" s="560"/>
      <c r="CZ502" s="560"/>
      <c r="DA502" s="220"/>
    </row>
    <row r="503" spans="1:106" s="16" customFormat="1" ht="15" customHeight="1" x14ac:dyDescent="0.3">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3"/>
      <c r="BD503" s="223"/>
      <c r="BE503" s="223"/>
      <c r="BF503" s="223"/>
      <c r="BG503" s="223"/>
      <c r="BH503" s="223"/>
      <c r="BI503" s="223"/>
      <c r="BJ503" s="223"/>
      <c r="BK503" s="223"/>
      <c r="BL503" s="223"/>
      <c r="BM503" s="223"/>
      <c r="BN503" s="223"/>
      <c r="BO503" s="223"/>
      <c r="BP503" s="223"/>
      <c r="BQ503" s="223"/>
      <c r="BR503" s="223"/>
      <c r="BS503" s="223"/>
      <c r="BT503" s="223"/>
      <c r="BU503" s="223"/>
      <c r="BV503" s="223"/>
      <c r="BW503" s="223"/>
      <c r="BX503" s="223"/>
      <c r="BY503" s="223"/>
      <c r="BZ503" s="223"/>
      <c r="CA503" s="223"/>
      <c r="CB503" s="223"/>
      <c r="CC503" s="223"/>
      <c r="CD503" s="223"/>
      <c r="CE503" s="223"/>
      <c r="CF503" s="223"/>
      <c r="CG503" s="223"/>
      <c r="CH503" s="223"/>
      <c r="CI503" s="229"/>
      <c r="CJ503" s="45"/>
      <c r="CK503" s="45"/>
      <c r="CL503" s="45"/>
      <c r="CM503" s="45"/>
      <c r="CN503" s="45"/>
      <c r="CO503" s="45"/>
      <c r="CP503" s="45"/>
      <c r="CQ503" s="45"/>
      <c r="CR503" s="45"/>
      <c r="CS503" s="45"/>
      <c r="CT503" s="45"/>
      <c r="CU503" s="45"/>
      <c r="CV503" s="45"/>
      <c r="CW503" s="45"/>
      <c r="CX503" s="45"/>
      <c r="CY503" s="45"/>
      <c r="CZ503" s="45"/>
      <c r="DA503" s="220"/>
    </row>
    <row r="504" spans="1:106" s="20" customFormat="1" ht="14.25" customHeight="1" x14ac:dyDescent="0.25">
      <c r="A504" s="594" t="s">
        <v>360</v>
      </c>
      <c r="B504" s="594"/>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4"/>
      <c r="AL504" s="594"/>
      <c r="AM504" s="594"/>
      <c r="AN504" s="594"/>
      <c r="AO504" s="594"/>
      <c r="AP504" s="594"/>
      <c r="AQ504" s="594"/>
      <c r="AR504" s="594"/>
      <c r="AS504" s="594"/>
      <c r="AT504" s="594"/>
      <c r="AU504" s="594"/>
      <c r="AV504" s="594"/>
      <c r="AW504" s="594"/>
      <c r="AX504" s="594"/>
      <c r="AY504" s="594"/>
      <c r="AZ504" s="594"/>
      <c r="BA504" s="594"/>
      <c r="BB504" s="594"/>
      <c r="BC504" s="594"/>
      <c r="BD504" s="594"/>
      <c r="BE504" s="594"/>
      <c r="BF504" s="594"/>
      <c r="BG504" s="594"/>
      <c r="BH504" s="594"/>
      <c r="BI504" s="594"/>
      <c r="BJ504" s="594"/>
      <c r="BK504" s="594"/>
      <c r="BL504" s="594"/>
      <c r="BM504" s="594"/>
      <c r="BN504" s="594"/>
      <c r="BO504" s="594"/>
      <c r="BP504" s="594"/>
      <c r="BQ504" s="594"/>
      <c r="BR504" s="594"/>
      <c r="BS504" s="594"/>
      <c r="BT504" s="594"/>
      <c r="BU504" s="594"/>
      <c r="BV504" s="594"/>
      <c r="BW504" s="594"/>
      <c r="BX504" s="594"/>
      <c r="BY504" s="594"/>
      <c r="BZ504" s="594"/>
      <c r="CA504" s="594"/>
      <c r="CB504" s="594"/>
      <c r="CC504" s="594"/>
      <c r="CD504" s="594"/>
      <c r="CE504" s="594"/>
      <c r="CF504" s="594"/>
      <c r="CG504" s="594"/>
      <c r="CH504" s="594"/>
      <c r="CI504" s="594"/>
      <c r="CJ504" s="594"/>
      <c r="CK504" s="594"/>
      <c r="CL504" s="594"/>
      <c r="CM504" s="594"/>
      <c r="CN504" s="594"/>
      <c r="CO504" s="594"/>
      <c r="CP504" s="594"/>
      <c r="CQ504" s="594"/>
      <c r="CR504" s="594"/>
      <c r="CS504" s="594"/>
      <c r="CT504" s="594"/>
      <c r="CU504" s="594"/>
      <c r="CV504" s="594"/>
      <c r="CW504" s="594"/>
      <c r="CX504" s="594"/>
      <c r="CY504" s="594"/>
      <c r="CZ504" s="594"/>
    </row>
    <row r="505" spans="1:106" s="20" customFormat="1" ht="9" customHeight="1" x14ac:dyDescent="0.25"/>
    <row r="506" spans="1:106" s="20" customFormat="1" ht="14.25" customHeight="1" x14ac:dyDescent="0.25">
      <c r="A506" s="20" t="s">
        <v>47</v>
      </c>
      <c r="W506" s="595" t="s">
        <v>587</v>
      </c>
      <c r="X506" s="595"/>
      <c r="Y506" s="595"/>
      <c r="Z506" s="595"/>
      <c r="AA506" s="595"/>
      <c r="AB506" s="595"/>
      <c r="AC506" s="595"/>
      <c r="AD506" s="595"/>
      <c r="AE506" s="595"/>
      <c r="AF506" s="595"/>
      <c r="AG506" s="595"/>
      <c r="AH506" s="595"/>
      <c r="AI506" s="595"/>
      <c r="AJ506" s="595"/>
      <c r="AK506" s="595"/>
      <c r="AL506" s="595"/>
      <c r="AM506" s="595"/>
      <c r="AN506" s="595"/>
      <c r="AO506" s="595"/>
      <c r="AP506" s="595"/>
      <c r="AQ506" s="595"/>
      <c r="AR506" s="595"/>
      <c r="AS506" s="595"/>
      <c r="AT506" s="595"/>
      <c r="AU506" s="595"/>
      <c r="AV506" s="595"/>
      <c r="AW506" s="595"/>
      <c r="AX506" s="595"/>
      <c r="AY506" s="595"/>
      <c r="AZ506" s="595"/>
      <c r="BA506" s="595"/>
      <c r="BB506" s="595"/>
      <c r="BC506" s="595"/>
      <c r="BD506" s="595"/>
      <c r="BE506" s="595"/>
      <c r="BF506" s="595"/>
      <c r="BG506" s="595"/>
      <c r="BH506" s="595"/>
      <c r="BI506" s="595"/>
      <c r="BJ506" s="595"/>
      <c r="BK506" s="595"/>
      <c r="BL506" s="595"/>
      <c r="BM506" s="595"/>
      <c r="BN506" s="595"/>
      <c r="BO506" s="595"/>
      <c r="BP506" s="595"/>
      <c r="BQ506" s="595"/>
      <c r="BR506" s="595"/>
      <c r="BS506" s="595"/>
      <c r="BT506" s="595"/>
      <c r="BU506" s="595"/>
      <c r="BV506" s="595"/>
      <c r="BW506" s="595"/>
      <c r="BX506" s="595"/>
      <c r="BY506" s="595"/>
      <c r="BZ506" s="595"/>
      <c r="CA506" s="595"/>
      <c r="CB506" s="595"/>
      <c r="CC506" s="595"/>
      <c r="CD506" s="595"/>
      <c r="CE506" s="595"/>
      <c r="CF506" s="595"/>
      <c r="CG506" s="595"/>
      <c r="CH506" s="595"/>
      <c r="CI506" s="595"/>
      <c r="CJ506" s="595"/>
      <c r="CK506" s="595"/>
      <c r="CL506" s="595"/>
      <c r="CM506" s="595"/>
      <c r="CN506" s="595"/>
      <c r="CO506" s="595"/>
      <c r="CP506" s="595"/>
      <c r="CQ506" s="595"/>
      <c r="CR506" s="595"/>
      <c r="CS506" s="595"/>
      <c r="CT506" s="595"/>
      <c r="CU506" s="595"/>
      <c r="CV506" s="595"/>
      <c r="CW506" s="595"/>
      <c r="CX506" s="595"/>
      <c r="CY506" s="595"/>
      <c r="CZ506" s="595"/>
      <c r="DA506" s="230">
        <v>226</v>
      </c>
    </row>
    <row r="507" spans="1:106" s="20" customFormat="1" ht="10.5" customHeight="1" x14ac:dyDescent="0.25"/>
    <row r="508" spans="1:106" ht="30" customHeight="1" x14ac:dyDescent="0.25">
      <c r="A508" s="475" t="s">
        <v>49</v>
      </c>
      <c r="B508" s="476"/>
      <c r="C508" s="476"/>
      <c r="D508" s="476"/>
      <c r="E508" s="476"/>
      <c r="F508" s="476"/>
      <c r="G508" s="477"/>
      <c r="H508" s="475" t="s">
        <v>78</v>
      </c>
      <c r="I508" s="476"/>
      <c r="J508" s="476"/>
      <c r="K508" s="476"/>
      <c r="L508" s="476"/>
      <c r="M508" s="476"/>
      <c r="N508" s="476"/>
      <c r="O508" s="476"/>
      <c r="P508" s="476"/>
      <c r="Q508" s="476"/>
      <c r="R508" s="476"/>
      <c r="S508" s="476"/>
      <c r="T508" s="476"/>
      <c r="U508" s="476"/>
      <c r="V508" s="476"/>
      <c r="W508" s="476"/>
      <c r="X508" s="476"/>
      <c r="Y508" s="476"/>
      <c r="Z508" s="476"/>
      <c r="AA508" s="476"/>
      <c r="AB508" s="476"/>
      <c r="AC508" s="476"/>
      <c r="AD508" s="476"/>
      <c r="AE508" s="476"/>
      <c r="AF508" s="476"/>
      <c r="AG508" s="476"/>
      <c r="AH508" s="476"/>
      <c r="AI508" s="476"/>
      <c r="AJ508" s="476"/>
      <c r="AK508" s="476"/>
      <c r="AL508" s="476"/>
      <c r="AM508" s="476"/>
      <c r="AN508" s="476"/>
      <c r="AO508" s="476"/>
      <c r="AP508" s="476"/>
      <c r="AQ508" s="476"/>
      <c r="AR508" s="476"/>
      <c r="AS508" s="476"/>
      <c r="AT508" s="476"/>
      <c r="AU508" s="476"/>
      <c r="AV508" s="476"/>
      <c r="AW508" s="476"/>
      <c r="AX508" s="476"/>
      <c r="AY508" s="476"/>
      <c r="AZ508" s="476"/>
      <c r="BA508" s="476"/>
      <c r="BB508" s="476"/>
      <c r="BC508" s="476"/>
      <c r="BD508" s="476"/>
      <c r="BE508" s="476"/>
      <c r="BF508" s="476"/>
      <c r="BG508" s="476"/>
      <c r="BH508" s="476"/>
      <c r="BI508" s="476"/>
      <c r="BJ508" s="476"/>
      <c r="BK508" s="476"/>
      <c r="BL508" s="476"/>
      <c r="BM508" s="476"/>
      <c r="BN508" s="476"/>
      <c r="BO508" s="476"/>
      <c r="BP508" s="476"/>
      <c r="BQ508" s="476"/>
      <c r="BR508" s="477"/>
      <c r="BS508" s="606" t="s">
        <v>291</v>
      </c>
      <c r="BT508" s="606"/>
      <c r="BU508" s="606"/>
      <c r="BV508" s="606"/>
      <c r="BW508" s="606"/>
      <c r="BX508" s="606"/>
      <c r="BY508" s="606"/>
      <c r="BZ508" s="606"/>
      <c r="CA508" s="606"/>
      <c r="CB508" s="606"/>
      <c r="CC508" s="606"/>
      <c r="CD508" s="606"/>
      <c r="CE508" s="606"/>
      <c r="CF508" s="606"/>
      <c r="CG508" s="606"/>
      <c r="CH508" s="606"/>
      <c r="CI508" s="606" t="s">
        <v>99</v>
      </c>
      <c r="CJ508" s="606"/>
      <c r="CK508" s="606"/>
      <c r="CL508" s="606"/>
      <c r="CM508" s="606"/>
      <c r="CN508" s="606"/>
      <c r="CO508" s="606"/>
      <c r="CP508" s="606"/>
      <c r="CQ508" s="606"/>
      <c r="CR508" s="606"/>
      <c r="CS508" s="606"/>
      <c r="CT508" s="606"/>
      <c r="CU508" s="606"/>
      <c r="CV508" s="606"/>
      <c r="CW508" s="606"/>
      <c r="CX508" s="606"/>
      <c r="CY508" s="606"/>
      <c r="CZ508" s="606"/>
    </row>
    <row r="509" spans="1:106" s="17" customFormat="1" ht="12.75" customHeight="1" x14ac:dyDescent="0.25">
      <c r="A509" s="591">
        <v>1</v>
      </c>
      <c r="B509" s="591"/>
      <c r="C509" s="591"/>
      <c r="D509" s="591"/>
      <c r="E509" s="591"/>
      <c r="F509" s="591"/>
      <c r="G509" s="591"/>
      <c r="H509" s="591">
        <v>2</v>
      </c>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1"/>
      <c r="AL509" s="591"/>
      <c r="AM509" s="591"/>
      <c r="AN509" s="591"/>
      <c r="AO509" s="591"/>
      <c r="AP509" s="591"/>
      <c r="AQ509" s="591"/>
      <c r="AR509" s="591"/>
      <c r="AS509" s="591"/>
      <c r="AT509" s="591"/>
      <c r="AU509" s="591"/>
      <c r="AV509" s="591"/>
      <c r="AW509" s="591"/>
      <c r="AX509" s="591"/>
      <c r="AY509" s="591"/>
      <c r="AZ509" s="591"/>
      <c r="BA509" s="591"/>
      <c r="BB509" s="591"/>
      <c r="BC509" s="591"/>
      <c r="BD509" s="591"/>
      <c r="BE509" s="591"/>
      <c r="BF509" s="591"/>
      <c r="BG509" s="591"/>
      <c r="BH509" s="591"/>
      <c r="BI509" s="591"/>
      <c r="BJ509" s="591"/>
      <c r="BK509" s="591"/>
      <c r="BL509" s="591"/>
      <c r="BM509" s="591"/>
      <c r="BN509" s="591"/>
      <c r="BO509" s="591"/>
      <c r="BP509" s="591"/>
      <c r="BQ509" s="591"/>
      <c r="BR509" s="591"/>
      <c r="BS509" s="591">
        <v>3</v>
      </c>
      <c r="BT509" s="591"/>
      <c r="BU509" s="591"/>
      <c r="BV509" s="591"/>
      <c r="BW509" s="591"/>
      <c r="BX509" s="591"/>
      <c r="BY509" s="591"/>
      <c r="BZ509" s="591"/>
      <c r="CA509" s="591"/>
      <c r="CB509" s="591"/>
      <c r="CC509" s="591"/>
      <c r="CD509" s="591"/>
      <c r="CE509" s="591"/>
      <c r="CF509" s="591"/>
      <c r="CG509" s="591"/>
      <c r="CH509" s="591"/>
      <c r="CI509" s="591">
        <v>4</v>
      </c>
      <c r="CJ509" s="591"/>
      <c r="CK509" s="591"/>
      <c r="CL509" s="591"/>
      <c r="CM509" s="591"/>
      <c r="CN509" s="591"/>
      <c r="CO509" s="591"/>
      <c r="CP509" s="591"/>
      <c r="CQ509" s="591"/>
      <c r="CR509" s="591"/>
      <c r="CS509" s="591"/>
      <c r="CT509" s="591"/>
      <c r="CU509" s="591"/>
      <c r="CV509" s="591"/>
      <c r="CW509" s="591"/>
      <c r="CX509" s="591"/>
      <c r="CY509" s="591"/>
      <c r="CZ509" s="591"/>
      <c r="DA509" s="232"/>
    </row>
    <row r="510" spans="1:106" ht="15" customHeight="1" x14ac:dyDescent="0.25">
      <c r="A510" s="656" t="s">
        <v>537</v>
      </c>
      <c r="B510" s="657"/>
      <c r="C510" s="657"/>
      <c r="D510" s="657"/>
      <c r="E510" s="657"/>
      <c r="F510" s="657"/>
      <c r="G510" s="657"/>
      <c r="H510" s="657"/>
      <c r="I510" s="657"/>
      <c r="J510" s="657"/>
      <c r="K510" s="657"/>
      <c r="L510" s="657"/>
      <c r="M510" s="657"/>
      <c r="N510" s="657"/>
      <c r="O510" s="657"/>
      <c r="P510" s="657"/>
      <c r="Q510" s="657"/>
      <c r="R510" s="657"/>
      <c r="S510" s="657"/>
      <c r="T510" s="657"/>
      <c r="U510" s="657"/>
      <c r="V510" s="657"/>
      <c r="W510" s="657"/>
      <c r="X510" s="657"/>
      <c r="Y510" s="657"/>
      <c r="Z510" s="657"/>
      <c r="AA510" s="657"/>
      <c r="AB510" s="657"/>
      <c r="AC510" s="657"/>
      <c r="AD510" s="657"/>
      <c r="AE510" s="657"/>
      <c r="AF510" s="657"/>
      <c r="AG510" s="657"/>
      <c r="AH510" s="657"/>
      <c r="AI510" s="657"/>
      <c r="AJ510" s="657"/>
      <c r="AK510" s="657"/>
      <c r="AL510" s="657"/>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57"/>
      <c r="BQ510" s="657"/>
      <c r="BR510" s="657"/>
      <c r="BS510" s="657"/>
      <c r="BT510" s="657"/>
      <c r="BU510" s="657"/>
      <c r="BV510" s="657"/>
      <c r="BW510" s="657"/>
      <c r="BX510" s="657"/>
      <c r="BY510" s="657"/>
      <c r="BZ510" s="657"/>
      <c r="CA510" s="657"/>
      <c r="CB510" s="657"/>
      <c r="CC510" s="657"/>
      <c r="CD510" s="657"/>
      <c r="CE510" s="657"/>
      <c r="CF510" s="657"/>
      <c r="CG510" s="657"/>
      <c r="CH510" s="657"/>
      <c r="CI510" s="657"/>
      <c r="CJ510" s="657"/>
      <c r="CK510" s="657"/>
      <c r="CL510" s="657"/>
      <c r="CM510" s="657"/>
      <c r="CN510" s="657"/>
      <c r="CO510" s="657"/>
      <c r="CP510" s="657"/>
      <c r="CQ510" s="657"/>
      <c r="CR510" s="657"/>
      <c r="CS510" s="657"/>
      <c r="CT510" s="657"/>
      <c r="CU510" s="657"/>
      <c r="CV510" s="657"/>
      <c r="CW510" s="657"/>
      <c r="CX510" s="657"/>
      <c r="CY510" s="657"/>
      <c r="CZ510" s="658"/>
    </row>
    <row r="511" spans="1:106" ht="19.5" hidden="1" customHeight="1" x14ac:dyDescent="0.25">
      <c r="A511" s="659" t="s">
        <v>441</v>
      </c>
      <c r="B511" s="659"/>
      <c r="C511" s="659"/>
      <c r="D511" s="659"/>
      <c r="E511" s="659"/>
      <c r="F511" s="659"/>
      <c r="G511" s="659"/>
      <c r="H511" s="584" t="s">
        <v>645</v>
      </c>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6"/>
      <c r="BS511" s="582">
        <v>1</v>
      </c>
      <c r="BT511" s="582"/>
      <c r="BU511" s="582"/>
      <c r="BV511" s="582"/>
      <c r="BW511" s="582"/>
      <c r="BX511" s="582"/>
      <c r="BY511" s="582"/>
      <c r="BZ511" s="582"/>
      <c r="CA511" s="582"/>
      <c r="CB511" s="582"/>
      <c r="CC511" s="582"/>
      <c r="CD511" s="582"/>
      <c r="CE511" s="582"/>
      <c r="CF511" s="582"/>
      <c r="CG511" s="582"/>
      <c r="CH511" s="582"/>
      <c r="CI511" s="664"/>
      <c r="CJ511" s="664"/>
      <c r="CK511" s="664"/>
      <c r="CL511" s="664"/>
      <c r="CM511" s="664"/>
      <c r="CN511" s="664"/>
      <c r="CO511" s="664"/>
      <c r="CP511" s="664"/>
      <c r="CQ511" s="664"/>
      <c r="CR511" s="664"/>
      <c r="CS511" s="664"/>
      <c r="CT511" s="664"/>
      <c r="CU511" s="664"/>
      <c r="CV511" s="664"/>
      <c r="CW511" s="664"/>
      <c r="CX511" s="664"/>
      <c r="CY511" s="664"/>
      <c r="CZ511" s="664"/>
    </row>
    <row r="512" spans="1:106" ht="17.25" hidden="1" customHeight="1" x14ac:dyDescent="0.25">
      <c r="A512" s="659" t="s">
        <v>444</v>
      </c>
      <c r="B512" s="659"/>
      <c r="C512" s="659"/>
      <c r="D512" s="659"/>
      <c r="E512" s="659"/>
      <c r="F512" s="659"/>
      <c r="G512" s="659"/>
      <c r="H512" s="584" t="s">
        <v>836</v>
      </c>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5"/>
      <c r="AL512" s="585"/>
      <c r="AM512" s="585"/>
      <c r="AN512" s="585"/>
      <c r="AO512" s="585"/>
      <c r="AP512" s="585"/>
      <c r="AQ512" s="585"/>
      <c r="AR512" s="585"/>
      <c r="AS512" s="585"/>
      <c r="AT512" s="585"/>
      <c r="AU512" s="585"/>
      <c r="AV512" s="585"/>
      <c r="AW512" s="585"/>
      <c r="AX512" s="585"/>
      <c r="AY512" s="585"/>
      <c r="AZ512" s="585"/>
      <c r="BA512" s="585"/>
      <c r="BB512" s="585"/>
      <c r="BC512" s="585"/>
      <c r="BD512" s="585"/>
      <c r="BE512" s="585"/>
      <c r="BF512" s="585"/>
      <c r="BG512" s="585"/>
      <c r="BH512" s="585"/>
      <c r="BI512" s="585"/>
      <c r="BJ512" s="585"/>
      <c r="BK512" s="585"/>
      <c r="BL512" s="585"/>
      <c r="BM512" s="585"/>
      <c r="BN512" s="585"/>
      <c r="BO512" s="585"/>
      <c r="BP512" s="585"/>
      <c r="BQ512" s="585"/>
      <c r="BR512" s="586"/>
      <c r="BS512" s="582">
        <v>1</v>
      </c>
      <c r="BT512" s="582"/>
      <c r="BU512" s="582"/>
      <c r="BV512" s="582"/>
      <c r="BW512" s="582"/>
      <c r="BX512" s="582"/>
      <c r="BY512" s="582"/>
      <c r="BZ512" s="582"/>
      <c r="CA512" s="582"/>
      <c r="CB512" s="582"/>
      <c r="CC512" s="582"/>
      <c r="CD512" s="582"/>
      <c r="CE512" s="582"/>
      <c r="CF512" s="582"/>
      <c r="CG512" s="582"/>
      <c r="CH512" s="582"/>
      <c r="CI512" s="664"/>
      <c r="CJ512" s="664"/>
      <c r="CK512" s="664"/>
      <c r="CL512" s="664"/>
      <c r="CM512" s="664"/>
      <c r="CN512" s="664"/>
      <c r="CO512" s="664"/>
      <c r="CP512" s="664"/>
      <c r="CQ512" s="664"/>
      <c r="CR512" s="664"/>
      <c r="CS512" s="664"/>
      <c r="CT512" s="664"/>
      <c r="CU512" s="664"/>
      <c r="CV512" s="664"/>
      <c r="CW512" s="664"/>
      <c r="CX512" s="664"/>
      <c r="CY512" s="664"/>
      <c r="CZ512" s="664"/>
    </row>
    <row r="513" spans="1:104" ht="39.75" hidden="1" customHeight="1" x14ac:dyDescent="0.25">
      <c r="A513" s="659" t="s">
        <v>446</v>
      </c>
      <c r="B513" s="659"/>
      <c r="C513" s="659"/>
      <c r="D513" s="659"/>
      <c r="E513" s="659"/>
      <c r="F513" s="659"/>
      <c r="G513" s="659"/>
      <c r="H513" s="584" t="s">
        <v>886</v>
      </c>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c r="BB513" s="585"/>
      <c r="BC513" s="585"/>
      <c r="BD513" s="585"/>
      <c r="BE513" s="585"/>
      <c r="BF513" s="585"/>
      <c r="BG513" s="585"/>
      <c r="BH513" s="585"/>
      <c r="BI513" s="585"/>
      <c r="BJ513" s="585"/>
      <c r="BK513" s="585"/>
      <c r="BL513" s="585"/>
      <c r="BM513" s="585"/>
      <c r="BN513" s="585"/>
      <c r="BO513" s="585"/>
      <c r="BP513" s="585"/>
      <c r="BQ513" s="585"/>
      <c r="BR513" s="586"/>
      <c r="BS513" s="582">
        <v>1</v>
      </c>
      <c r="BT513" s="582"/>
      <c r="BU513" s="582"/>
      <c r="BV513" s="582"/>
      <c r="BW513" s="582"/>
      <c r="BX513" s="582"/>
      <c r="BY513" s="582"/>
      <c r="BZ513" s="582"/>
      <c r="CA513" s="582"/>
      <c r="CB513" s="582"/>
      <c r="CC513" s="582"/>
      <c r="CD513" s="582"/>
      <c r="CE513" s="582"/>
      <c r="CF513" s="582"/>
      <c r="CG513" s="582"/>
      <c r="CH513" s="582"/>
      <c r="CI513" s="664"/>
      <c r="CJ513" s="664"/>
      <c r="CK513" s="664"/>
      <c r="CL513" s="664"/>
      <c r="CM513" s="664"/>
      <c r="CN513" s="664"/>
      <c r="CO513" s="664"/>
      <c r="CP513" s="664"/>
      <c r="CQ513" s="664"/>
      <c r="CR513" s="664"/>
      <c r="CS513" s="664"/>
      <c r="CT513" s="664"/>
      <c r="CU513" s="664"/>
      <c r="CV513" s="664"/>
      <c r="CW513" s="664"/>
      <c r="CX513" s="664"/>
      <c r="CY513" s="664"/>
      <c r="CZ513" s="664"/>
    </row>
    <row r="514" spans="1:104" ht="15" hidden="1" customHeight="1" x14ac:dyDescent="0.25">
      <c r="A514" s="659" t="s">
        <v>551</v>
      </c>
      <c r="B514" s="659"/>
      <c r="C514" s="659"/>
      <c r="D514" s="659"/>
      <c r="E514" s="659"/>
      <c r="F514" s="659"/>
      <c r="G514" s="659"/>
      <c r="H514" s="584" t="s">
        <v>646</v>
      </c>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5"/>
      <c r="AL514" s="585"/>
      <c r="AM514" s="585"/>
      <c r="AN514" s="585"/>
      <c r="AO514" s="585"/>
      <c r="AP514" s="585"/>
      <c r="AQ514" s="585"/>
      <c r="AR514" s="585"/>
      <c r="AS514" s="585"/>
      <c r="AT514" s="585"/>
      <c r="AU514" s="585"/>
      <c r="AV514" s="585"/>
      <c r="AW514" s="585"/>
      <c r="AX514" s="585"/>
      <c r="AY514" s="585"/>
      <c r="AZ514" s="585"/>
      <c r="BA514" s="585"/>
      <c r="BB514" s="585"/>
      <c r="BC514" s="585"/>
      <c r="BD514" s="585"/>
      <c r="BE514" s="585"/>
      <c r="BF514" s="585"/>
      <c r="BG514" s="585"/>
      <c r="BH514" s="585"/>
      <c r="BI514" s="585"/>
      <c r="BJ514" s="585"/>
      <c r="BK514" s="585"/>
      <c r="BL514" s="585"/>
      <c r="BM514" s="585"/>
      <c r="BN514" s="585"/>
      <c r="BO514" s="585"/>
      <c r="BP514" s="585"/>
      <c r="BQ514" s="585"/>
      <c r="BR514" s="586"/>
      <c r="BS514" s="582">
        <v>1</v>
      </c>
      <c r="BT514" s="582"/>
      <c r="BU514" s="582"/>
      <c r="BV514" s="582"/>
      <c r="BW514" s="582"/>
      <c r="BX514" s="582"/>
      <c r="BY514" s="582"/>
      <c r="BZ514" s="582"/>
      <c r="CA514" s="582"/>
      <c r="CB514" s="582"/>
      <c r="CC514" s="582"/>
      <c r="CD514" s="582"/>
      <c r="CE514" s="582"/>
      <c r="CF514" s="582"/>
      <c r="CG514" s="582"/>
      <c r="CH514" s="582"/>
      <c r="CI514" s="664"/>
      <c r="CJ514" s="664"/>
      <c r="CK514" s="664"/>
      <c r="CL514" s="664"/>
      <c r="CM514" s="664"/>
      <c r="CN514" s="664"/>
      <c r="CO514" s="664"/>
      <c r="CP514" s="664"/>
      <c r="CQ514" s="664"/>
      <c r="CR514" s="664"/>
      <c r="CS514" s="664"/>
      <c r="CT514" s="664"/>
      <c r="CU514" s="664"/>
      <c r="CV514" s="664"/>
      <c r="CW514" s="664"/>
      <c r="CX514" s="664"/>
      <c r="CY514" s="664"/>
      <c r="CZ514" s="664"/>
    </row>
    <row r="515" spans="1:104" ht="15" hidden="1" customHeight="1" x14ac:dyDescent="0.25">
      <c r="A515" s="659" t="s">
        <v>599</v>
      </c>
      <c r="B515" s="659"/>
      <c r="C515" s="659"/>
      <c r="D515" s="659"/>
      <c r="E515" s="659"/>
      <c r="F515" s="659"/>
      <c r="G515" s="659"/>
      <c r="H515" s="584" t="s">
        <v>835</v>
      </c>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5"/>
      <c r="AL515" s="585"/>
      <c r="AM515" s="585"/>
      <c r="AN515" s="585"/>
      <c r="AO515" s="585"/>
      <c r="AP515" s="585"/>
      <c r="AQ515" s="585"/>
      <c r="AR515" s="585"/>
      <c r="AS515" s="585"/>
      <c r="AT515" s="585"/>
      <c r="AU515" s="585"/>
      <c r="AV515" s="585"/>
      <c r="AW515" s="585"/>
      <c r="AX515" s="585"/>
      <c r="AY515" s="585"/>
      <c r="AZ515" s="585"/>
      <c r="BA515" s="585"/>
      <c r="BB515" s="585"/>
      <c r="BC515" s="585"/>
      <c r="BD515" s="585"/>
      <c r="BE515" s="585"/>
      <c r="BF515" s="585"/>
      <c r="BG515" s="585"/>
      <c r="BH515" s="585"/>
      <c r="BI515" s="585"/>
      <c r="BJ515" s="585"/>
      <c r="BK515" s="585"/>
      <c r="BL515" s="585"/>
      <c r="BM515" s="585"/>
      <c r="BN515" s="585"/>
      <c r="BO515" s="585"/>
      <c r="BP515" s="585"/>
      <c r="BQ515" s="585"/>
      <c r="BR515" s="586"/>
      <c r="BS515" s="582">
        <v>0</v>
      </c>
      <c r="BT515" s="582"/>
      <c r="BU515" s="582"/>
      <c r="BV515" s="582"/>
      <c r="BW515" s="582"/>
      <c r="BX515" s="582"/>
      <c r="BY515" s="582"/>
      <c r="BZ515" s="582"/>
      <c r="CA515" s="582"/>
      <c r="CB515" s="582"/>
      <c r="CC515" s="582"/>
      <c r="CD515" s="582"/>
      <c r="CE515" s="582"/>
      <c r="CF515" s="582"/>
      <c r="CG515" s="582"/>
      <c r="CH515" s="582"/>
      <c r="CI515" s="664"/>
      <c r="CJ515" s="664"/>
      <c r="CK515" s="664"/>
      <c r="CL515" s="664"/>
      <c r="CM515" s="664"/>
      <c r="CN515" s="664"/>
      <c r="CO515" s="664"/>
      <c r="CP515" s="664"/>
      <c r="CQ515" s="664"/>
      <c r="CR515" s="664"/>
      <c r="CS515" s="664"/>
      <c r="CT515" s="664"/>
      <c r="CU515" s="664"/>
      <c r="CV515" s="664"/>
      <c r="CW515" s="664"/>
      <c r="CX515" s="664"/>
      <c r="CY515" s="664"/>
      <c r="CZ515" s="664"/>
    </row>
    <row r="516" spans="1:104" ht="15" hidden="1" customHeight="1" x14ac:dyDescent="0.25">
      <c r="A516" s="659" t="s">
        <v>642</v>
      </c>
      <c r="B516" s="659"/>
      <c r="C516" s="659"/>
      <c r="D516" s="659"/>
      <c r="E516" s="659"/>
      <c r="F516" s="659"/>
      <c r="G516" s="659"/>
      <c r="H516" s="584" t="s">
        <v>647</v>
      </c>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5"/>
      <c r="AL516" s="585"/>
      <c r="AM516" s="585"/>
      <c r="AN516" s="585"/>
      <c r="AO516" s="585"/>
      <c r="AP516" s="585"/>
      <c r="AQ516" s="585"/>
      <c r="AR516" s="585"/>
      <c r="AS516" s="585"/>
      <c r="AT516" s="585"/>
      <c r="AU516" s="585"/>
      <c r="AV516" s="585"/>
      <c r="AW516" s="585"/>
      <c r="AX516" s="585"/>
      <c r="AY516" s="585"/>
      <c r="AZ516" s="585"/>
      <c r="BA516" s="585"/>
      <c r="BB516" s="585"/>
      <c r="BC516" s="585"/>
      <c r="BD516" s="585"/>
      <c r="BE516" s="585"/>
      <c r="BF516" s="585"/>
      <c r="BG516" s="585"/>
      <c r="BH516" s="585"/>
      <c r="BI516" s="585"/>
      <c r="BJ516" s="585"/>
      <c r="BK516" s="585"/>
      <c r="BL516" s="585"/>
      <c r="BM516" s="585"/>
      <c r="BN516" s="585"/>
      <c r="BO516" s="585"/>
      <c r="BP516" s="585"/>
      <c r="BQ516" s="585"/>
      <c r="BR516" s="586"/>
      <c r="BS516" s="582">
        <v>1</v>
      </c>
      <c r="BT516" s="582"/>
      <c r="BU516" s="582"/>
      <c r="BV516" s="582"/>
      <c r="BW516" s="582"/>
      <c r="BX516" s="582"/>
      <c r="BY516" s="582"/>
      <c r="BZ516" s="582"/>
      <c r="CA516" s="582"/>
      <c r="CB516" s="582"/>
      <c r="CC516" s="582"/>
      <c r="CD516" s="582"/>
      <c r="CE516" s="582"/>
      <c r="CF516" s="582"/>
      <c r="CG516" s="582"/>
      <c r="CH516" s="582"/>
      <c r="CI516" s="664"/>
      <c r="CJ516" s="664"/>
      <c r="CK516" s="664"/>
      <c r="CL516" s="664"/>
      <c r="CM516" s="664"/>
      <c r="CN516" s="664"/>
      <c r="CO516" s="664"/>
      <c r="CP516" s="664"/>
      <c r="CQ516" s="664"/>
      <c r="CR516" s="664"/>
      <c r="CS516" s="664"/>
      <c r="CT516" s="664"/>
      <c r="CU516" s="664"/>
      <c r="CV516" s="664"/>
      <c r="CW516" s="664"/>
      <c r="CX516" s="664"/>
      <c r="CY516" s="664"/>
      <c r="CZ516" s="664"/>
    </row>
    <row r="517" spans="1:104" ht="15" hidden="1" customHeight="1" x14ac:dyDescent="0.25">
      <c r="A517" s="659" t="s">
        <v>648</v>
      </c>
      <c r="B517" s="659"/>
      <c r="C517" s="659"/>
      <c r="D517" s="659"/>
      <c r="E517" s="659"/>
      <c r="F517" s="659"/>
      <c r="G517" s="659"/>
      <c r="H517" s="584" t="s">
        <v>649</v>
      </c>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5"/>
      <c r="AL517" s="585"/>
      <c r="AM517" s="585"/>
      <c r="AN517" s="585"/>
      <c r="AO517" s="585"/>
      <c r="AP517" s="585"/>
      <c r="AQ517" s="585"/>
      <c r="AR517" s="585"/>
      <c r="AS517" s="585"/>
      <c r="AT517" s="585"/>
      <c r="AU517" s="585"/>
      <c r="AV517" s="585"/>
      <c r="AW517" s="585"/>
      <c r="AX517" s="585"/>
      <c r="AY517" s="585"/>
      <c r="AZ517" s="585"/>
      <c r="BA517" s="585"/>
      <c r="BB517" s="585"/>
      <c r="BC517" s="585"/>
      <c r="BD517" s="585"/>
      <c r="BE517" s="585"/>
      <c r="BF517" s="585"/>
      <c r="BG517" s="585"/>
      <c r="BH517" s="585"/>
      <c r="BI517" s="585"/>
      <c r="BJ517" s="585"/>
      <c r="BK517" s="585"/>
      <c r="BL517" s="585"/>
      <c r="BM517" s="585"/>
      <c r="BN517" s="585"/>
      <c r="BO517" s="585"/>
      <c r="BP517" s="585"/>
      <c r="BQ517" s="585"/>
      <c r="BR517" s="586"/>
      <c r="BS517" s="582">
        <v>1</v>
      </c>
      <c r="BT517" s="582"/>
      <c r="BU517" s="582"/>
      <c r="BV517" s="582"/>
      <c r="BW517" s="582"/>
      <c r="BX517" s="582"/>
      <c r="BY517" s="582"/>
      <c r="BZ517" s="582"/>
      <c r="CA517" s="582"/>
      <c r="CB517" s="582"/>
      <c r="CC517" s="582"/>
      <c r="CD517" s="582"/>
      <c r="CE517" s="582"/>
      <c r="CF517" s="582"/>
      <c r="CG517" s="582"/>
      <c r="CH517" s="582"/>
      <c r="CI517" s="664"/>
      <c r="CJ517" s="664"/>
      <c r="CK517" s="664"/>
      <c r="CL517" s="664"/>
      <c r="CM517" s="664"/>
      <c r="CN517" s="664"/>
      <c r="CO517" s="664"/>
      <c r="CP517" s="664"/>
      <c r="CQ517" s="664"/>
      <c r="CR517" s="664"/>
      <c r="CS517" s="664"/>
      <c r="CT517" s="664"/>
      <c r="CU517" s="664"/>
      <c r="CV517" s="664"/>
      <c r="CW517" s="664"/>
      <c r="CX517" s="664"/>
      <c r="CY517" s="664"/>
      <c r="CZ517" s="664"/>
    </row>
    <row r="518" spans="1:104" ht="20.25" hidden="1" customHeight="1" x14ac:dyDescent="0.25">
      <c r="A518" s="659" t="s">
        <v>650</v>
      </c>
      <c r="B518" s="659"/>
      <c r="C518" s="659"/>
      <c r="D518" s="659"/>
      <c r="E518" s="659"/>
      <c r="F518" s="659"/>
      <c r="G518" s="659"/>
      <c r="H518" s="584" t="s">
        <v>832</v>
      </c>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5"/>
      <c r="AL518" s="585"/>
      <c r="AM518" s="585"/>
      <c r="AN518" s="585"/>
      <c r="AO518" s="585"/>
      <c r="AP518" s="585"/>
      <c r="AQ518" s="585"/>
      <c r="AR518" s="585"/>
      <c r="AS518" s="585"/>
      <c r="AT518" s="585"/>
      <c r="AU518" s="585"/>
      <c r="AV518" s="585"/>
      <c r="AW518" s="585"/>
      <c r="AX518" s="585"/>
      <c r="AY518" s="585"/>
      <c r="AZ518" s="585"/>
      <c r="BA518" s="585"/>
      <c r="BB518" s="585"/>
      <c r="BC518" s="585"/>
      <c r="BD518" s="585"/>
      <c r="BE518" s="585"/>
      <c r="BF518" s="585"/>
      <c r="BG518" s="585"/>
      <c r="BH518" s="585"/>
      <c r="BI518" s="585"/>
      <c r="BJ518" s="585"/>
      <c r="BK518" s="585"/>
      <c r="BL518" s="585"/>
      <c r="BM518" s="585"/>
      <c r="BN518" s="585"/>
      <c r="BO518" s="585"/>
      <c r="BP518" s="585"/>
      <c r="BQ518" s="585"/>
      <c r="BR518" s="586"/>
      <c r="BS518" s="582">
        <v>1</v>
      </c>
      <c r="BT518" s="582"/>
      <c r="BU518" s="582"/>
      <c r="BV518" s="582"/>
      <c r="BW518" s="582"/>
      <c r="BX518" s="582"/>
      <c r="BY518" s="582"/>
      <c r="BZ518" s="582"/>
      <c r="CA518" s="582"/>
      <c r="CB518" s="582"/>
      <c r="CC518" s="582"/>
      <c r="CD518" s="582"/>
      <c r="CE518" s="582"/>
      <c r="CF518" s="582"/>
      <c r="CG518" s="582"/>
      <c r="CH518" s="582"/>
      <c r="CI518" s="664"/>
      <c r="CJ518" s="664"/>
      <c r="CK518" s="664"/>
      <c r="CL518" s="664"/>
      <c r="CM518" s="664"/>
      <c r="CN518" s="664"/>
      <c r="CO518" s="664"/>
      <c r="CP518" s="664"/>
      <c r="CQ518" s="664"/>
      <c r="CR518" s="664"/>
      <c r="CS518" s="664"/>
      <c r="CT518" s="664"/>
      <c r="CU518" s="664"/>
      <c r="CV518" s="664"/>
      <c r="CW518" s="664"/>
      <c r="CX518" s="664"/>
      <c r="CY518" s="664"/>
      <c r="CZ518" s="664"/>
    </row>
    <row r="519" spans="1:104" ht="15" hidden="1" customHeight="1" x14ac:dyDescent="0.25">
      <c r="A519" s="659" t="s">
        <v>651</v>
      </c>
      <c r="B519" s="659"/>
      <c r="C519" s="659"/>
      <c r="D519" s="659"/>
      <c r="E519" s="659"/>
      <c r="F519" s="659"/>
      <c r="G519" s="659"/>
      <c r="H519" s="584" t="s">
        <v>888</v>
      </c>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5"/>
      <c r="AL519" s="585"/>
      <c r="AM519" s="585"/>
      <c r="AN519" s="585"/>
      <c r="AO519" s="585"/>
      <c r="AP519" s="585"/>
      <c r="AQ519" s="585"/>
      <c r="AR519" s="585"/>
      <c r="AS519" s="585"/>
      <c r="AT519" s="585"/>
      <c r="AU519" s="585"/>
      <c r="AV519" s="585"/>
      <c r="AW519" s="585"/>
      <c r="AX519" s="585"/>
      <c r="AY519" s="585"/>
      <c r="AZ519" s="585"/>
      <c r="BA519" s="585"/>
      <c r="BB519" s="585"/>
      <c r="BC519" s="585"/>
      <c r="BD519" s="585"/>
      <c r="BE519" s="585"/>
      <c r="BF519" s="585"/>
      <c r="BG519" s="585"/>
      <c r="BH519" s="585"/>
      <c r="BI519" s="585"/>
      <c r="BJ519" s="585"/>
      <c r="BK519" s="585"/>
      <c r="BL519" s="585"/>
      <c r="BM519" s="585"/>
      <c r="BN519" s="585"/>
      <c r="BO519" s="585"/>
      <c r="BP519" s="585"/>
      <c r="BQ519" s="585"/>
      <c r="BR519" s="586"/>
      <c r="BS519" s="582">
        <v>1</v>
      </c>
      <c r="BT519" s="582"/>
      <c r="BU519" s="582"/>
      <c r="BV519" s="582"/>
      <c r="BW519" s="582"/>
      <c r="BX519" s="582"/>
      <c r="BY519" s="582"/>
      <c r="BZ519" s="582"/>
      <c r="CA519" s="582"/>
      <c r="CB519" s="582"/>
      <c r="CC519" s="582"/>
      <c r="CD519" s="582"/>
      <c r="CE519" s="582"/>
      <c r="CF519" s="582"/>
      <c r="CG519" s="582"/>
      <c r="CH519" s="582"/>
      <c r="CI519" s="664"/>
      <c r="CJ519" s="664"/>
      <c r="CK519" s="664"/>
      <c r="CL519" s="664"/>
      <c r="CM519" s="664"/>
      <c r="CN519" s="664"/>
      <c r="CO519" s="664"/>
      <c r="CP519" s="664"/>
      <c r="CQ519" s="664"/>
      <c r="CR519" s="664"/>
      <c r="CS519" s="664"/>
      <c r="CT519" s="664"/>
      <c r="CU519" s="664"/>
      <c r="CV519" s="664"/>
      <c r="CW519" s="664"/>
      <c r="CX519" s="664"/>
      <c r="CY519" s="664"/>
      <c r="CZ519" s="664"/>
    </row>
    <row r="520" spans="1:104" ht="15" hidden="1" customHeight="1" x14ac:dyDescent="0.25">
      <c r="A520" s="659" t="s">
        <v>489</v>
      </c>
      <c r="B520" s="659"/>
      <c r="C520" s="659"/>
      <c r="D520" s="659"/>
      <c r="E520" s="659"/>
      <c r="F520" s="659"/>
      <c r="G520" s="659"/>
      <c r="H520" s="584" t="s">
        <v>652</v>
      </c>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5"/>
      <c r="AL520" s="585"/>
      <c r="AM520" s="585"/>
      <c r="AN520" s="585"/>
      <c r="AO520" s="585"/>
      <c r="AP520" s="585"/>
      <c r="AQ520" s="585"/>
      <c r="AR520" s="585"/>
      <c r="AS520" s="585"/>
      <c r="AT520" s="585"/>
      <c r="AU520" s="585"/>
      <c r="AV520" s="585"/>
      <c r="AW520" s="585"/>
      <c r="AX520" s="585"/>
      <c r="AY520" s="585"/>
      <c r="AZ520" s="585"/>
      <c r="BA520" s="585"/>
      <c r="BB520" s="585"/>
      <c r="BC520" s="585"/>
      <c r="BD520" s="585"/>
      <c r="BE520" s="585"/>
      <c r="BF520" s="585"/>
      <c r="BG520" s="585"/>
      <c r="BH520" s="585"/>
      <c r="BI520" s="585"/>
      <c r="BJ520" s="585"/>
      <c r="BK520" s="585"/>
      <c r="BL520" s="585"/>
      <c r="BM520" s="585"/>
      <c r="BN520" s="585"/>
      <c r="BO520" s="585"/>
      <c r="BP520" s="585"/>
      <c r="BQ520" s="585"/>
      <c r="BR520" s="586"/>
      <c r="BS520" s="582"/>
      <c r="BT520" s="582"/>
      <c r="BU520" s="582"/>
      <c r="BV520" s="582"/>
      <c r="BW520" s="582"/>
      <c r="BX520" s="582"/>
      <c r="BY520" s="582"/>
      <c r="BZ520" s="582"/>
      <c r="CA520" s="582"/>
      <c r="CB520" s="582"/>
      <c r="CC520" s="582"/>
      <c r="CD520" s="582"/>
      <c r="CE520" s="582"/>
      <c r="CF520" s="582"/>
      <c r="CG520" s="582"/>
      <c r="CH520" s="582"/>
      <c r="CI520" s="664"/>
      <c r="CJ520" s="664"/>
      <c r="CK520" s="664"/>
      <c r="CL520" s="664"/>
      <c r="CM520" s="664"/>
      <c r="CN520" s="664"/>
      <c r="CO520" s="664"/>
      <c r="CP520" s="664"/>
      <c r="CQ520" s="664"/>
      <c r="CR520" s="664"/>
      <c r="CS520" s="664"/>
      <c r="CT520" s="664"/>
      <c r="CU520" s="664"/>
      <c r="CV520" s="664"/>
      <c r="CW520" s="664"/>
      <c r="CX520" s="664"/>
      <c r="CY520" s="664"/>
      <c r="CZ520" s="664"/>
    </row>
    <row r="521" spans="1:104" ht="15" hidden="1" customHeight="1" x14ac:dyDescent="0.25">
      <c r="A521" s="659" t="s">
        <v>653</v>
      </c>
      <c r="B521" s="659"/>
      <c r="C521" s="659"/>
      <c r="D521" s="659"/>
      <c r="E521" s="659"/>
      <c r="F521" s="659"/>
      <c r="G521" s="659"/>
      <c r="H521" s="584" t="s">
        <v>837</v>
      </c>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5"/>
      <c r="AL521" s="585"/>
      <c r="AM521" s="585"/>
      <c r="AN521" s="585"/>
      <c r="AO521" s="585"/>
      <c r="AP521" s="585"/>
      <c r="AQ521" s="585"/>
      <c r="AR521" s="585"/>
      <c r="AS521" s="585"/>
      <c r="AT521" s="585"/>
      <c r="AU521" s="585"/>
      <c r="AV521" s="585"/>
      <c r="AW521" s="585"/>
      <c r="AX521" s="585"/>
      <c r="AY521" s="585"/>
      <c r="AZ521" s="585"/>
      <c r="BA521" s="585"/>
      <c r="BB521" s="585"/>
      <c r="BC521" s="585"/>
      <c r="BD521" s="585"/>
      <c r="BE521" s="585"/>
      <c r="BF521" s="585"/>
      <c r="BG521" s="585"/>
      <c r="BH521" s="585"/>
      <c r="BI521" s="585"/>
      <c r="BJ521" s="585"/>
      <c r="BK521" s="585"/>
      <c r="BL521" s="585"/>
      <c r="BM521" s="585"/>
      <c r="BN521" s="585"/>
      <c r="BO521" s="585"/>
      <c r="BP521" s="585"/>
      <c r="BQ521" s="585"/>
      <c r="BR521" s="586"/>
      <c r="BS521" s="582">
        <v>1</v>
      </c>
      <c r="BT521" s="582"/>
      <c r="BU521" s="582"/>
      <c r="BV521" s="582"/>
      <c r="BW521" s="582"/>
      <c r="BX521" s="582"/>
      <c r="BY521" s="582"/>
      <c r="BZ521" s="582"/>
      <c r="CA521" s="582"/>
      <c r="CB521" s="582"/>
      <c r="CC521" s="582"/>
      <c r="CD521" s="582"/>
      <c r="CE521" s="582"/>
      <c r="CF521" s="582"/>
      <c r="CG521" s="582"/>
      <c r="CH521" s="582"/>
      <c r="CI521" s="664"/>
      <c r="CJ521" s="664"/>
      <c r="CK521" s="664"/>
      <c r="CL521" s="664"/>
      <c r="CM521" s="664"/>
      <c r="CN521" s="664"/>
      <c r="CO521" s="664"/>
      <c r="CP521" s="664"/>
      <c r="CQ521" s="664"/>
      <c r="CR521" s="664"/>
      <c r="CS521" s="664"/>
      <c r="CT521" s="664"/>
      <c r="CU521" s="664"/>
      <c r="CV521" s="664"/>
      <c r="CW521" s="664"/>
      <c r="CX521" s="664"/>
      <c r="CY521" s="664"/>
      <c r="CZ521" s="664"/>
    </row>
    <row r="522" spans="1:104" ht="23.25" hidden="1" customHeight="1" x14ac:dyDescent="0.25">
      <c r="A522" s="659" t="s">
        <v>654</v>
      </c>
      <c r="B522" s="659"/>
      <c r="C522" s="659"/>
      <c r="D522" s="659"/>
      <c r="E522" s="659"/>
      <c r="F522" s="659"/>
      <c r="G522" s="659"/>
      <c r="H522" s="584" t="s">
        <v>838</v>
      </c>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5"/>
      <c r="AL522" s="585"/>
      <c r="AM522" s="585"/>
      <c r="AN522" s="585"/>
      <c r="AO522" s="585"/>
      <c r="AP522" s="585"/>
      <c r="AQ522" s="585"/>
      <c r="AR522" s="585"/>
      <c r="AS522" s="585"/>
      <c r="AT522" s="585"/>
      <c r="AU522" s="585"/>
      <c r="AV522" s="585"/>
      <c r="AW522" s="585"/>
      <c r="AX522" s="585"/>
      <c r="AY522" s="585"/>
      <c r="AZ522" s="585"/>
      <c r="BA522" s="585"/>
      <c r="BB522" s="585"/>
      <c r="BC522" s="585"/>
      <c r="BD522" s="585"/>
      <c r="BE522" s="585"/>
      <c r="BF522" s="585"/>
      <c r="BG522" s="585"/>
      <c r="BH522" s="585"/>
      <c r="BI522" s="585"/>
      <c r="BJ522" s="585"/>
      <c r="BK522" s="585"/>
      <c r="BL522" s="585"/>
      <c r="BM522" s="585"/>
      <c r="BN522" s="585"/>
      <c r="BO522" s="585"/>
      <c r="BP522" s="585"/>
      <c r="BQ522" s="585"/>
      <c r="BR522" s="586"/>
      <c r="BS522" s="582">
        <v>2</v>
      </c>
      <c r="BT522" s="582"/>
      <c r="BU522" s="582"/>
      <c r="BV522" s="582"/>
      <c r="BW522" s="582"/>
      <c r="BX522" s="582"/>
      <c r="BY522" s="582"/>
      <c r="BZ522" s="582"/>
      <c r="CA522" s="582"/>
      <c r="CB522" s="582"/>
      <c r="CC522" s="582"/>
      <c r="CD522" s="582"/>
      <c r="CE522" s="582"/>
      <c r="CF522" s="582"/>
      <c r="CG522" s="582"/>
      <c r="CH522" s="582"/>
      <c r="CI522" s="664"/>
      <c r="CJ522" s="664"/>
      <c r="CK522" s="664"/>
      <c r="CL522" s="664"/>
      <c r="CM522" s="664"/>
      <c r="CN522" s="664"/>
      <c r="CO522" s="664"/>
      <c r="CP522" s="664"/>
      <c r="CQ522" s="664"/>
      <c r="CR522" s="664"/>
      <c r="CS522" s="664"/>
      <c r="CT522" s="664"/>
      <c r="CU522" s="664"/>
      <c r="CV522" s="664"/>
      <c r="CW522" s="664"/>
      <c r="CX522" s="664"/>
      <c r="CY522" s="664"/>
      <c r="CZ522" s="664"/>
    </row>
    <row r="523" spans="1:104" ht="28.5" hidden="1" customHeight="1" x14ac:dyDescent="0.25">
      <c r="A523" s="659" t="s">
        <v>655</v>
      </c>
      <c r="B523" s="659"/>
      <c r="C523" s="659"/>
      <c r="D523" s="659"/>
      <c r="E523" s="659"/>
      <c r="F523" s="659"/>
      <c r="G523" s="659"/>
      <c r="H523" s="584" t="s">
        <v>839</v>
      </c>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5"/>
      <c r="AL523" s="585"/>
      <c r="AM523" s="585"/>
      <c r="AN523" s="585"/>
      <c r="AO523" s="585"/>
      <c r="AP523" s="585"/>
      <c r="AQ523" s="585"/>
      <c r="AR523" s="585"/>
      <c r="AS523" s="585"/>
      <c r="AT523" s="585"/>
      <c r="AU523" s="585"/>
      <c r="AV523" s="585"/>
      <c r="AW523" s="585"/>
      <c r="AX523" s="585"/>
      <c r="AY523" s="585"/>
      <c r="AZ523" s="585"/>
      <c r="BA523" s="585"/>
      <c r="BB523" s="585"/>
      <c r="BC523" s="585"/>
      <c r="BD523" s="585"/>
      <c r="BE523" s="585"/>
      <c r="BF523" s="585"/>
      <c r="BG523" s="585"/>
      <c r="BH523" s="585"/>
      <c r="BI523" s="585"/>
      <c r="BJ523" s="585"/>
      <c r="BK523" s="585"/>
      <c r="BL523" s="585"/>
      <c r="BM523" s="585"/>
      <c r="BN523" s="585"/>
      <c r="BO523" s="585"/>
      <c r="BP523" s="585"/>
      <c r="BQ523" s="585"/>
      <c r="BR523" s="586"/>
      <c r="BS523" s="582">
        <v>1</v>
      </c>
      <c r="BT523" s="582"/>
      <c r="BU523" s="582"/>
      <c r="BV523" s="582"/>
      <c r="BW523" s="582"/>
      <c r="BX523" s="582"/>
      <c r="BY523" s="582"/>
      <c r="BZ523" s="582"/>
      <c r="CA523" s="582"/>
      <c r="CB523" s="582"/>
      <c r="CC523" s="582"/>
      <c r="CD523" s="582"/>
      <c r="CE523" s="582"/>
      <c r="CF523" s="582"/>
      <c r="CG523" s="582"/>
      <c r="CH523" s="582"/>
      <c r="CI523" s="664"/>
      <c r="CJ523" s="664"/>
      <c r="CK523" s="664"/>
      <c r="CL523" s="664"/>
      <c r="CM523" s="664"/>
      <c r="CN523" s="664"/>
      <c r="CO523" s="664"/>
      <c r="CP523" s="664"/>
      <c r="CQ523" s="664"/>
      <c r="CR523" s="664"/>
      <c r="CS523" s="664"/>
      <c r="CT523" s="664"/>
      <c r="CU523" s="664"/>
      <c r="CV523" s="664"/>
      <c r="CW523" s="664"/>
      <c r="CX523" s="664"/>
      <c r="CY523" s="664"/>
      <c r="CZ523" s="664"/>
    </row>
    <row r="524" spans="1:104" ht="16.2" hidden="1" customHeight="1" x14ac:dyDescent="0.25">
      <c r="A524" s="659" t="s">
        <v>656</v>
      </c>
      <c r="B524" s="659"/>
      <c r="C524" s="659"/>
      <c r="D524" s="659"/>
      <c r="E524" s="659"/>
      <c r="F524" s="659"/>
      <c r="G524" s="659"/>
      <c r="H524" s="584" t="s">
        <v>842</v>
      </c>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5"/>
      <c r="AL524" s="585"/>
      <c r="AM524" s="585"/>
      <c r="AN524" s="585"/>
      <c r="AO524" s="585"/>
      <c r="AP524" s="585"/>
      <c r="AQ524" s="585"/>
      <c r="AR524" s="585"/>
      <c r="AS524" s="585"/>
      <c r="AT524" s="585"/>
      <c r="AU524" s="585"/>
      <c r="AV524" s="585"/>
      <c r="AW524" s="585"/>
      <c r="AX524" s="585"/>
      <c r="AY524" s="585"/>
      <c r="AZ524" s="585"/>
      <c r="BA524" s="585"/>
      <c r="BB524" s="585"/>
      <c r="BC524" s="585"/>
      <c r="BD524" s="585"/>
      <c r="BE524" s="585"/>
      <c r="BF524" s="585"/>
      <c r="BG524" s="585"/>
      <c r="BH524" s="585"/>
      <c r="BI524" s="585"/>
      <c r="BJ524" s="585"/>
      <c r="BK524" s="585"/>
      <c r="BL524" s="585"/>
      <c r="BM524" s="585"/>
      <c r="BN524" s="585"/>
      <c r="BO524" s="585"/>
      <c r="BP524" s="585"/>
      <c r="BQ524" s="585"/>
      <c r="BR524" s="586"/>
      <c r="BS524" s="582">
        <v>1</v>
      </c>
      <c r="BT524" s="582"/>
      <c r="BU524" s="582"/>
      <c r="BV524" s="582"/>
      <c r="BW524" s="582"/>
      <c r="BX524" s="582"/>
      <c r="BY524" s="582"/>
      <c r="BZ524" s="582"/>
      <c r="CA524" s="582"/>
      <c r="CB524" s="582"/>
      <c r="CC524" s="582"/>
      <c r="CD524" s="582"/>
      <c r="CE524" s="582"/>
      <c r="CF524" s="582"/>
      <c r="CG524" s="582"/>
      <c r="CH524" s="582"/>
      <c r="CI524" s="664"/>
      <c r="CJ524" s="664"/>
      <c r="CK524" s="664"/>
      <c r="CL524" s="664"/>
      <c r="CM524" s="664"/>
      <c r="CN524" s="664"/>
      <c r="CO524" s="664"/>
      <c r="CP524" s="664"/>
      <c r="CQ524" s="664"/>
      <c r="CR524" s="664"/>
      <c r="CS524" s="664"/>
      <c r="CT524" s="664"/>
      <c r="CU524" s="664"/>
      <c r="CV524" s="664"/>
      <c r="CW524" s="664"/>
      <c r="CX524" s="664"/>
      <c r="CY524" s="664"/>
      <c r="CZ524" s="664"/>
    </row>
    <row r="525" spans="1:104" ht="15" hidden="1" customHeight="1" x14ac:dyDescent="0.25">
      <c r="A525" s="659" t="s">
        <v>656</v>
      </c>
      <c r="B525" s="659"/>
      <c r="C525" s="659"/>
      <c r="D525" s="659"/>
      <c r="E525" s="659"/>
      <c r="F525" s="659"/>
      <c r="G525" s="659"/>
      <c r="H525" s="584" t="s">
        <v>658</v>
      </c>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5"/>
      <c r="AL525" s="585"/>
      <c r="AM525" s="585"/>
      <c r="AN525" s="585"/>
      <c r="AO525" s="585"/>
      <c r="AP525" s="585"/>
      <c r="AQ525" s="585"/>
      <c r="AR525" s="585"/>
      <c r="AS525" s="585"/>
      <c r="AT525" s="585"/>
      <c r="AU525" s="585"/>
      <c r="AV525" s="585"/>
      <c r="AW525" s="585"/>
      <c r="AX525" s="585"/>
      <c r="AY525" s="585"/>
      <c r="AZ525" s="585"/>
      <c r="BA525" s="585"/>
      <c r="BB525" s="585"/>
      <c r="BC525" s="585"/>
      <c r="BD525" s="585"/>
      <c r="BE525" s="585"/>
      <c r="BF525" s="585"/>
      <c r="BG525" s="585"/>
      <c r="BH525" s="585"/>
      <c r="BI525" s="585"/>
      <c r="BJ525" s="585"/>
      <c r="BK525" s="585"/>
      <c r="BL525" s="585"/>
      <c r="BM525" s="585"/>
      <c r="BN525" s="585"/>
      <c r="BO525" s="585"/>
      <c r="BP525" s="585"/>
      <c r="BQ525" s="585"/>
      <c r="BR525" s="586"/>
      <c r="BS525" s="582"/>
      <c r="BT525" s="582"/>
      <c r="BU525" s="582"/>
      <c r="BV525" s="582"/>
      <c r="BW525" s="582"/>
      <c r="BX525" s="582"/>
      <c r="BY525" s="582"/>
      <c r="BZ525" s="582"/>
      <c r="CA525" s="582"/>
      <c r="CB525" s="582"/>
      <c r="CC525" s="582"/>
      <c r="CD525" s="582"/>
      <c r="CE525" s="582"/>
      <c r="CF525" s="582"/>
      <c r="CG525" s="582"/>
      <c r="CH525" s="582"/>
      <c r="CI525" s="747"/>
      <c r="CJ525" s="747"/>
      <c r="CK525" s="747"/>
      <c r="CL525" s="747"/>
      <c r="CM525" s="747"/>
      <c r="CN525" s="747"/>
      <c r="CO525" s="747"/>
      <c r="CP525" s="747"/>
      <c r="CQ525" s="747"/>
      <c r="CR525" s="747"/>
      <c r="CS525" s="747"/>
      <c r="CT525" s="747"/>
      <c r="CU525" s="747"/>
      <c r="CV525" s="747"/>
      <c r="CW525" s="747"/>
      <c r="CX525" s="747"/>
      <c r="CY525" s="747"/>
      <c r="CZ525" s="747"/>
    </row>
    <row r="526" spans="1:104" ht="15" hidden="1" customHeight="1" x14ac:dyDescent="0.25">
      <c r="A526" s="659" t="s">
        <v>656</v>
      </c>
      <c r="B526" s="659"/>
      <c r="C526" s="659"/>
      <c r="D526" s="659"/>
      <c r="E526" s="659"/>
      <c r="F526" s="659"/>
      <c r="G526" s="659"/>
      <c r="H526" s="584" t="s">
        <v>660</v>
      </c>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5"/>
      <c r="AL526" s="585"/>
      <c r="AM526" s="585"/>
      <c r="AN526" s="585"/>
      <c r="AO526" s="585"/>
      <c r="AP526" s="585"/>
      <c r="AQ526" s="585"/>
      <c r="AR526" s="585"/>
      <c r="AS526" s="585"/>
      <c r="AT526" s="585"/>
      <c r="AU526" s="585"/>
      <c r="AV526" s="585"/>
      <c r="AW526" s="585"/>
      <c r="AX526" s="585"/>
      <c r="AY526" s="585"/>
      <c r="AZ526" s="585"/>
      <c r="BA526" s="585"/>
      <c r="BB526" s="585"/>
      <c r="BC526" s="585"/>
      <c r="BD526" s="585"/>
      <c r="BE526" s="585"/>
      <c r="BF526" s="585"/>
      <c r="BG526" s="585"/>
      <c r="BH526" s="585"/>
      <c r="BI526" s="585"/>
      <c r="BJ526" s="585"/>
      <c r="BK526" s="585"/>
      <c r="BL526" s="585"/>
      <c r="BM526" s="585"/>
      <c r="BN526" s="585"/>
      <c r="BO526" s="585"/>
      <c r="BP526" s="585"/>
      <c r="BQ526" s="585"/>
      <c r="BR526" s="586"/>
      <c r="BS526" s="544"/>
      <c r="BT526" s="545"/>
      <c r="BU526" s="545"/>
      <c r="BV526" s="545"/>
      <c r="BW526" s="545"/>
      <c r="BX526" s="545"/>
      <c r="BY526" s="545"/>
      <c r="BZ526" s="545"/>
      <c r="CA526" s="545"/>
      <c r="CB526" s="545"/>
      <c r="CC526" s="545"/>
      <c r="CD526" s="545"/>
      <c r="CE526" s="545"/>
      <c r="CF526" s="545"/>
      <c r="CG526" s="545"/>
      <c r="CH526" s="546"/>
      <c r="CI526" s="702"/>
      <c r="CJ526" s="703"/>
      <c r="CK526" s="703"/>
      <c r="CL526" s="703"/>
      <c r="CM526" s="703"/>
      <c r="CN526" s="703"/>
      <c r="CO526" s="703"/>
      <c r="CP526" s="703"/>
      <c r="CQ526" s="703"/>
      <c r="CR526" s="703"/>
      <c r="CS526" s="703"/>
      <c r="CT526" s="703"/>
      <c r="CU526" s="703"/>
      <c r="CV526" s="703"/>
      <c r="CW526" s="703"/>
      <c r="CX526" s="703"/>
      <c r="CY526" s="703"/>
      <c r="CZ526" s="704"/>
    </row>
    <row r="527" spans="1:104" ht="15" hidden="1" customHeight="1" x14ac:dyDescent="0.25">
      <c r="A527" s="659" t="s">
        <v>519</v>
      </c>
      <c r="B527" s="659"/>
      <c r="C527" s="659"/>
      <c r="D527" s="659"/>
      <c r="E527" s="659"/>
      <c r="F527" s="659"/>
      <c r="G527" s="659"/>
      <c r="H527" s="584" t="s">
        <v>840</v>
      </c>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5"/>
      <c r="AL527" s="585"/>
      <c r="AM527" s="585"/>
      <c r="AN527" s="585"/>
      <c r="AO527" s="585"/>
      <c r="AP527" s="585"/>
      <c r="AQ527" s="585"/>
      <c r="AR527" s="585"/>
      <c r="AS527" s="585"/>
      <c r="AT527" s="585"/>
      <c r="AU527" s="585"/>
      <c r="AV527" s="585"/>
      <c r="AW527" s="585"/>
      <c r="AX527" s="585"/>
      <c r="AY527" s="585"/>
      <c r="AZ527" s="585"/>
      <c r="BA527" s="585"/>
      <c r="BB527" s="585"/>
      <c r="BC527" s="585"/>
      <c r="BD527" s="585"/>
      <c r="BE527" s="585"/>
      <c r="BF527" s="585"/>
      <c r="BG527" s="585"/>
      <c r="BH527" s="585"/>
      <c r="BI527" s="585"/>
      <c r="BJ527" s="585"/>
      <c r="BK527" s="585"/>
      <c r="BL527" s="585"/>
      <c r="BM527" s="585"/>
      <c r="BN527" s="585"/>
      <c r="BO527" s="585"/>
      <c r="BP527" s="585"/>
      <c r="BQ527" s="585"/>
      <c r="BR527" s="586"/>
      <c r="BS527" s="544">
        <v>1</v>
      </c>
      <c r="BT527" s="545"/>
      <c r="BU527" s="545"/>
      <c r="BV527" s="545"/>
      <c r="BW527" s="545"/>
      <c r="BX527" s="545"/>
      <c r="BY527" s="545"/>
      <c r="BZ527" s="545"/>
      <c r="CA527" s="545"/>
      <c r="CB527" s="545"/>
      <c r="CC527" s="545"/>
      <c r="CD527" s="545"/>
      <c r="CE527" s="545"/>
      <c r="CF527" s="545"/>
      <c r="CG527" s="545"/>
      <c r="CH527" s="546"/>
      <c r="CI527" s="627"/>
      <c r="CJ527" s="628"/>
      <c r="CK527" s="628"/>
      <c r="CL527" s="628"/>
      <c r="CM527" s="628"/>
      <c r="CN527" s="628"/>
      <c r="CO527" s="628"/>
      <c r="CP527" s="628"/>
      <c r="CQ527" s="628"/>
      <c r="CR527" s="628"/>
      <c r="CS527" s="628"/>
      <c r="CT527" s="628"/>
      <c r="CU527" s="628"/>
      <c r="CV527" s="628"/>
      <c r="CW527" s="628"/>
      <c r="CX527" s="628"/>
      <c r="CY527" s="628"/>
      <c r="CZ527" s="629"/>
    </row>
    <row r="528" spans="1:104" ht="15" customHeight="1" x14ac:dyDescent="0.25">
      <c r="A528" s="659" t="s">
        <v>521</v>
      </c>
      <c r="B528" s="659"/>
      <c r="C528" s="659"/>
      <c r="D528" s="659"/>
      <c r="E528" s="659"/>
      <c r="F528" s="659"/>
      <c r="G528" s="659"/>
      <c r="H528" s="584" t="s">
        <v>661</v>
      </c>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5"/>
      <c r="AL528" s="585"/>
      <c r="AM528" s="585"/>
      <c r="AN528" s="585"/>
      <c r="AO528" s="585"/>
      <c r="AP528" s="585"/>
      <c r="AQ528" s="585"/>
      <c r="AR528" s="585"/>
      <c r="AS528" s="585"/>
      <c r="AT528" s="585"/>
      <c r="AU528" s="585"/>
      <c r="AV528" s="585"/>
      <c r="AW528" s="585"/>
      <c r="AX528" s="585"/>
      <c r="AY528" s="585"/>
      <c r="AZ528" s="585"/>
      <c r="BA528" s="585"/>
      <c r="BB528" s="585"/>
      <c r="BC528" s="585"/>
      <c r="BD528" s="585"/>
      <c r="BE528" s="585"/>
      <c r="BF528" s="585"/>
      <c r="BG528" s="585"/>
      <c r="BH528" s="585"/>
      <c r="BI528" s="585"/>
      <c r="BJ528" s="585"/>
      <c r="BK528" s="585"/>
      <c r="BL528" s="585"/>
      <c r="BM528" s="585"/>
      <c r="BN528" s="585"/>
      <c r="BO528" s="585"/>
      <c r="BP528" s="585"/>
      <c r="BQ528" s="585"/>
      <c r="BR528" s="586"/>
      <c r="BS528" s="582">
        <v>1</v>
      </c>
      <c r="BT528" s="582"/>
      <c r="BU528" s="582"/>
      <c r="BV528" s="582"/>
      <c r="BW528" s="582"/>
      <c r="BX528" s="582"/>
      <c r="BY528" s="582"/>
      <c r="BZ528" s="582"/>
      <c r="CA528" s="582"/>
      <c r="CB528" s="582"/>
      <c r="CC528" s="582"/>
      <c r="CD528" s="582"/>
      <c r="CE528" s="582"/>
      <c r="CF528" s="582"/>
      <c r="CG528" s="582"/>
      <c r="CH528" s="582"/>
      <c r="CI528" s="664">
        <v>4809522</v>
      </c>
      <c r="CJ528" s="664"/>
      <c r="CK528" s="664"/>
      <c r="CL528" s="664"/>
      <c r="CM528" s="664"/>
      <c r="CN528" s="664"/>
      <c r="CO528" s="664"/>
      <c r="CP528" s="664"/>
      <c r="CQ528" s="664"/>
      <c r="CR528" s="664"/>
      <c r="CS528" s="664"/>
      <c r="CT528" s="664"/>
      <c r="CU528" s="664"/>
      <c r="CV528" s="664"/>
      <c r="CW528" s="664"/>
      <c r="CX528" s="664"/>
      <c r="CY528" s="664"/>
      <c r="CZ528" s="664"/>
    </row>
    <row r="529" spans="1:104" ht="15" hidden="1" customHeight="1" x14ac:dyDescent="0.25">
      <c r="A529" s="659" t="s">
        <v>525</v>
      </c>
      <c r="B529" s="659"/>
      <c r="C529" s="659"/>
      <c r="D529" s="659"/>
      <c r="E529" s="659"/>
      <c r="F529" s="659"/>
      <c r="G529" s="659"/>
      <c r="H529" s="584"/>
      <c r="I529" s="585"/>
      <c r="J529" s="585"/>
      <c r="K529" s="585"/>
      <c r="L529" s="585"/>
      <c r="M529" s="585"/>
      <c r="N529" s="585"/>
      <c r="O529" s="585"/>
      <c r="P529" s="585"/>
      <c r="Q529" s="585"/>
      <c r="R529" s="585"/>
      <c r="S529" s="585"/>
      <c r="T529" s="585"/>
      <c r="U529" s="585"/>
      <c r="V529" s="585"/>
      <c r="W529" s="585"/>
      <c r="X529" s="585"/>
      <c r="Y529" s="585"/>
      <c r="Z529" s="585"/>
      <c r="AA529" s="585"/>
      <c r="AB529" s="585"/>
      <c r="AC529" s="585"/>
      <c r="AD529" s="585"/>
      <c r="AE529" s="585"/>
      <c r="AF529" s="585"/>
      <c r="AG529" s="585"/>
      <c r="AH529" s="585"/>
      <c r="AI529" s="585"/>
      <c r="AJ529" s="585"/>
      <c r="AK529" s="585"/>
      <c r="AL529" s="585"/>
      <c r="AM529" s="585"/>
      <c r="AN529" s="585"/>
      <c r="AO529" s="585"/>
      <c r="AP529" s="585"/>
      <c r="AQ529" s="585"/>
      <c r="AR529" s="585"/>
      <c r="AS529" s="585"/>
      <c r="AT529" s="585"/>
      <c r="AU529" s="585"/>
      <c r="AV529" s="585"/>
      <c r="AW529" s="585"/>
      <c r="AX529" s="585"/>
      <c r="AY529" s="585"/>
      <c r="AZ529" s="585"/>
      <c r="BA529" s="585"/>
      <c r="BB529" s="585"/>
      <c r="BC529" s="585"/>
      <c r="BD529" s="585"/>
      <c r="BE529" s="585"/>
      <c r="BF529" s="585"/>
      <c r="BG529" s="585"/>
      <c r="BH529" s="585"/>
      <c r="BI529" s="585"/>
      <c r="BJ529" s="585"/>
      <c r="BK529" s="585"/>
      <c r="BL529" s="585"/>
      <c r="BM529" s="585"/>
      <c r="BN529" s="585"/>
      <c r="BO529" s="585"/>
      <c r="BP529" s="585"/>
      <c r="BQ529" s="585"/>
      <c r="BR529" s="586"/>
      <c r="BS529" s="582"/>
      <c r="BT529" s="582"/>
      <c r="BU529" s="582"/>
      <c r="BV529" s="582"/>
      <c r="BW529" s="582"/>
      <c r="BX529" s="582"/>
      <c r="BY529" s="582"/>
      <c r="BZ529" s="582"/>
      <c r="CA529" s="582"/>
      <c r="CB529" s="582"/>
      <c r="CC529" s="582"/>
      <c r="CD529" s="582"/>
      <c r="CE529" s="582"/>
      <c r="CF529" s="582"/>
      <c r="CG529" s="582"/>
      <c r="CH529" s="582"/>
      <c r="CI529" s="664"/>
      <c r="CJ529" s="664"/>
      <c r="CK529" s="664"/>
      <c r="CL529" s="664"/>
      <c r="CM529" s="664"/>
      <c r="CN529" s="664"/>
      <c r="CO529" s="664"/>
      <c r="CP529" s="664"/>
      <c r="CQ529" s="664"/>
      <c r="CR529" s="664"/>
      <c r="CS529" s="664"/>
      <c r="CT529" s="664"/>
      <c r="CU529" s="664"/>
      <c r="CV529" s="664"/>
      <c r="CW529" s="664"/>
      <c r="CX529" s="664"/>
      <c r="CY529" s="664"/>
      <c r="CZ529" s="664"/>
    </row>
    <row r="530" spans="1:104" x14ac:dyDescent="0.25">
      <c r="A530" s="659" t="s">
        <v>662</v>
      </c>
      <c r="B530" s="659"/>
      <c r="C530" s="659"/>
      <c r="D530" s="659"/>
      <c r="E530" s="659"/>
      <c r="F530" s="659"/>
      <c r="G530" s="659"/>
      <c r="H530" s="584" t="s">
        <v>967</v>
      </c>
      <c r="I530" s="585"/>
      <c r="J530" s="585"/>
      <c r="K530" s="585"/>
      <c r="L530" s="585"/>
      <c r="M530" s="585"/>
      <c r="N530" s="585"/>
      <c r="O530" s="585"/>
      <c r="P530" s="585"/>
      <c r="Q530" s="585"/>
      <c r="R530" s="585"/>
      <c r="S530" s="585"/>
      <c r="T530" s="585"/>
      <c r="U530" s="585"/>
      <c r="V530" s="585"/>
      <c r="W530" s="585"/>
      <c r="X530" s="585"/>
      <c r="Y530" s="585"/>
      <c r="Z530" s="585"/>
      <c r="AA530" s="585"/>
      <c r="AB530" s="585"/>
      <c r="AC530" s="585"/>
      <c r="AD530" s="585"/>
      <c r="AE530" s="585"/>
      <c r="AF530" s="585"/>
      <c r="AG530" s="585"/>
      <c r="AH530" s="585"/>
      <c r="AI530" s="585"/>
      <c r="AJ530" s="585"/>
      <c r="AK530" s="585"/>
      <c r="AL530" s="585"/>
      <c r="AM530" s="585"/>
      <c r="AN530" s="585"/>
      <c r="AO530" s="585"/>
      <c r="AP530" s="585"/>
      <c r="AQ530" s="585"/>
      <c r="AR530" s="585"/>
      <c r="AS530" s="585"/>
      <c r="AT530" s="585"/>
      <c r="AU530" s="585"/>
      <c r="AV530" s="585"/>
      <c r="AW530" s="585"/>
      <c r="AX530" s="585"/>
      <c r="AY530" s="585"/>
      <c r="AZ530" s="585"/>
      <c r="BA530" s="585"/>
      <c r="BB530" s="585"/>
      <c r="BC530" s="585"/>
      <c r="BD530" s="585"/>
      <c r="BE530" s="585"/>
      <c r="BF530" s="585"/>
      <c r="BG530" s="585"/>
      <c r="BH530" s="585"/>
      <c r="BI530" s="585"/>
      <c r="BJ530" s="585"/>
      <c r="BK530" s="585"/>
      <c r="BL530" s="585"/>
      <c r="BM530" s="585"/>
      <c r="BN530" s="585"/>
      <c r="BO530" s="585"/>
      <c r="BP530" s="585"/>
      <c r="BQ530" s="585"/>
      <c r="BR530" s="586"/>
      <c r="BS530" s="582">
        <v>1</v>
      </c>
      <c r="BT530" s="582"/>
      <c r="BU530" s="582"/>
      <c r="BV530" s="582"/>
      <c r="BW530" s="582"/>
      <c r="BX530" s="582"/>
      <c r="BY530" s="582"/>
      <c r="BZ530" s="582"/>
      <c r="CA530" s="582"/>
      <c r="CB530" s="582"/>
      <c r="CC530" s="582"/>
      <c r="CD530" s="582"/>
      <c r="CE530" s="582"/>
      <c r="CF530" s="582"/>
      <c r="CG530" s="582"/>
      <c r="CH530" s="582"/>
      <c r="CI530" s="664">
        <v>9000</v>
      </c>
      <c r="CJ530" s="664"/>
      <c r="CK530" s="664"/>
      <c r="CL530" s="664"/>
      <c r="CM530" s="664"/>
      <c r="CN530" s="664"/>
      <c r="CO530" s="664"/>
      <c r="CP530" s="664"/>
      <c r="CQ530" s="664"/>
      <c r="CR530" s="664"/>
      <c r="CS530" s="664"/>
      <c r="CT530" s="664"/>
      <c r="CU530" s="664"/>
      <c r="CV530" s="664"/>
      <c r="CW530" s="664"/>
      <c r="CX530" s="664"/>
      <c r="CY530" s="664"/>
      <c r="CZ530" s="664"/>
    </row>
    <row r="531" spans="1:104" x14ac:dyDescent="0.25">
      <c r="A531" s="659" t="s">
        <v>523</v>
      </c>
      <c r="B531" s="659"/>
      <c r="C531" s="659"/>
      <c r="D531" s="659"/>
      <c r="E531" s="659"/>
      <c r="F531" s="659"/>
      <c r="G531" s="659"/>
      <c r="H531" s="584" t="s">
        <v>663</v>
      </c>
      <c r="I531" s="585"/>
      <c r="J531" s="585"/>
      <c r="K531" s="585"/>
      <c r="L531" s="585"/>
      <c r="M531" s="585"/>
      <c r="N531" s="585"/>
      <c r="O531" s="585"/>
      <c r="P531" s="585"/>
      <c r="Q531" s="585"/>
      <c r="R531" s="585"/>
      <c r="S531" s="585"/>
      <c r="T531" s="585"/>
      <c r="U531" s="585"/>
      <c r="V531" s="585"/>
      <c r="W531" s="585"/>
      <c r="X531" s="585"/>
      <c r="Y531" s="585"/>
      <c r="Z531" s="585"/>
      <c r="AA531" s="585"/>
      <c r="AB531" s="585"/>
      <c r="AC531" s="585"/>
      <c r="AD531" s="585"/>
      <c r="AE531" s="585"/>
      <c r="AF531" s="585"/>
      <c r="AG531" s="585"/>
      <c r="AH531" s="585"/>
      <c r="AI531" s="585"/>
      <c r="AJ531" s="585"/>
      <c r="AK531" s="585"/>
      <c r="AL531" s="585"/>
      <c r="AM531" s="585"/>
      <c r="AN531" s="585"/>
      <c r="AO531" s="585"/>
      <c r="AP531" s="585"/>
      <c r="AQ531" s="585"/>
      <c r="AR531" s="585"/>
      <c r="AS531" s="585"/>
      <c r="AT531" s="585"/>
      <c r="AU531" s="585"/>
      <c r="AV531" s="585"/>
      <c r="AW531" s="585"/>
      <c r="AX531" s="585"/>
      <c r="AY531" s="585"/>
      <c r="AZ531" s="585"/>
      <c r="BA531" s="585"/>
      <c r="BB531" s="585"/>
      <c r="BC531" s="585"/>
      <c r="BD531" s="585"/>
      <c r="BE531" s="585"/>
      <c r="BF531" s="585"/>
      <c r="BG531" s="585"/>
      <c r="BH531" s="585"/>
      <c r="BI531" s="585"/>
      <c r="BJ531" s="585"/>
      <c r="BK531" s="585"/>
      <c r="BL531" s="585"/>
      <c r="BM531" s="585"/>
      <c r="BN531" s="585"/>
      <c r="BO531" s="585"/>
      <c r="BP531" s="585"/>
      <c r="BQ531" s="585"/>
      <c r="BR531" s="586"/>
      <c r="BS531" s="582">
        <v>1</v>
      </c>
      <c r="BT531" s="582"/>
      <c r="BU531" s="582"/>
      <c r="BV531" s="582"/>
      <c r="BW531" s="582"/>
      <c r="BX531" s="582"/>
      <c r="BY531" s="582"/>
      <c r="BZ531" s="582"/>
      <c r="CA531" s="582"/>
      <c r="CB531" s="582"/>
      <c r="CC531" s="582"/>
      <c r="CD531" s="582"/>
      <c r="CE531" s="582"/>
      <c r="CF531" s="582"/>
      <c r="CG531" s="582"/>
      <c r="CH531" s="582"/>
      <c r="CI531" s="664">
        <v>22984.28</v>
      </c>
      <c r="CJ531" s="664"/>
      <c r="CK531" s="664"/>
      <c r="CL531" s="664"/>
      <c r="CM531" s="664"/>
      <c r="CN531" s="664"/>
      <c r="CO531" s="664"/>
      <c r="CP531" s="664"/>
      <c r="CQ531" s="664"/>
      <c r="CR531" s="664"/>
      <c r="CS531" s="664"/>
      <c r="CT531" s="664"/>
      <c r="CU531" s="664"/>
      <c r="CV531" s="664"/>
      <c r="CW531" s="664"/>
      <c r="CX531" s="664"/>
      <c r="CY531" s="664"/>
      <c r="CZ531" s="664"/>
    </row>
    <row r="532" spans="1:104" ht="12" hidden="1" customHeight="1" x14ac:dyDescent="0.25">
      <c r="A532" s="659" t="s">
        <v>621</v>
      </c>
      <c r="B532" s="659"/>
      <c r="C532" s="659"/>
      <c r="D532" s="659"/>
      <c r="E532" s="659"/>
      <c r="F532" s="659"/>
      <c r="G532" s="659"/>
      <c r="H532" s="584"/>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5"/>
      <c r="AL532" s="585"/>
      <c r="AM532" s="585"/>
      <c r="AN532" s="585"/>
      <c r="AO532" s="585"/>
      <c r="AP532" s="585"/>
      <c r="AQ532" s="585"/>
      <c r="AR532" s="585"/>
      <c r="AS532" s="585"/>
      <c r="AT532" s="585"/>
      <c r="AU532" s="585"/>
      <c r="AV532" s="585"/>
      <c r="AW532" s="585"/>
      <c r="AX532" s="585"/>
      <c r="AY532" s="585"/>
      <c r="AZ532" s="585"/>
      <c r="BA532" s="585"/>
      <c r="BB532" s="585"/>
      <c r="BC532" s="585"/>
      <c r="BD532" s="585"/>
      <c r="BE532" s="585"/>
      <c r="BF532" s="585"/>
      <c r="BG532" s="585"/>
      <c r="BH532" s="585"/>
      <c r="BI532" s="585"/>
      <c r="BJ532" s="585"/>
      <c r="BK532" s="585"/>
      <c r="BL532" s="585"/>
      <c r="BM532" s="585"/>
      <c r="BN532" s="585"/>
      <c r="BO532" s="585"/>
      <c r="BP532" s="585"/>
      <c r="BQ532" s="585"/>
      <c r="BR532" s="586"/>
      <c r="BS532" s="582"/>
      <c r="BT532" s="582"/>
      <c r="BU532" s="582"/>
      <c r="BV532" s="582"/>
      <c r="BW532" s="582"/>
      <c r="BX532" s="582"/>
      <c r="BY532" s="582"/>
      <c r="BZ532" s="582"/>
      <c r="CA532" s="582"/>
      <c r="CB532" s="582"/>
      <c r="CC532" s="582"/>
      <c r="CD532" s="582"/>
      <c r="CE532" s="582"/>
      <c r="CF532" s="582"/>
      <c r="CG532" s="582"/>
      <c r="CH532" s="582"/>
      <c r="CI532" s="664"/>
      <c r="CJ532" s="664"/>
      <c r="CK532" s="664"/>
      <c r="CL532" s="664"/>
      <c r="CM532" s="664"/>
      <c r="CN532" s="664"/>
      <c r="CO532" s="664"/>
      <c r="CP532" s="664"/>
      <c r="CQ532" s="664"/>
      <c r="CR532" s="664"/>
      <c r="CS532" s="664"/>
      <c r="CT532" s="664"/>
      <c r="CU532" s="664"/>
      <c r="CV532" s="664"/>
      <c r="CW532" s="664"/>
      <c r="CX532" s="664"/>
      <c r="CY532" s="664"/>
      <c r="CZ532" s="664"/>
    </row>
    <row r="533" spans="1:104" ht="15" customHeight="1" x14ac:dyDescent="0.25">
      <c r="A533" s="659" t="s">
        <v>525</v>
      </c>
      <c r="B533" s="659"/>
      <c r="C533" s="659"/>
      <c r="D533" s="659"/>
      <c r="E533" s="659"/>
      <c r="F533" s="659"/>
      <c r="G533" s="659"/>
      <c r="H533" s="584" t="s">
        <v>665</v>
      </c>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5"/>
      <c r="AL533" s="585"/>
      <c r="AM533" s="585"/>
      <c r="AN533" s="585"/>
      <c r="AO533" s="585"/>
      <c r="AP533" s="585"/>
      <c r="AQ533" s="585"/>
      <c r="AR533" s="585"/>
      <c r="AS533" s="585"/>
      <c r="AT533" s="585"/>
      <c r="AU533" s="585"/>
      <c r="AV533" s="585"/>
      <c r="AW533" s="585"/>
      <c r="AX533" s="585"/>
      <c r="AY533" s="585"/>
      <c r="AZ533" s="585"/>
      <c r="BA533" s="585"/>
      <c r="BB533" s="585"/>
      <c r="BC533" s="585"/>
      <c r="BD533" s="585"/>
      <c r="BE533" s="585"/>
      <c r="BF533" s="585"/>
      <c r="BG533" s="585"/>
      <c r="BH533" s="585"/>
      <c r="BI533" s="585"/>
      <c r="BJ533" s="585"/>
      <c r="BK533" s="585"/>
      <c r="BL533" s="585"/>
      <c r="BM533" s="585"/>
      <c r="BN533" s="585"/>
      <c r="BO533" s="585"/>
      <c r="BP533" s="585"/>
      <c r="BQ533" s="585"/>
      <c r="BR533" s="586"/>
      <c r="BS533" s="582">
        <v>1</v>
      </c>
      <c r="BT533" s="582"/>
      <c r="BU533" s="582"/>
      <c r="BV533" s="582"/>
      <c r="BW533" s="582"/>
      <c r="BX533" s="582"/>
      <c r="BY533" s="582"/>
      <c r="BZ533" s="582"/>
      <c r="CA533" s="582"/>
      <c r="CB533" s="582"/>
      <c r="CC533" s="582"/>
      <c r="CD533" s="582"/>
      <c r="CE533" s="582"/>
      <c r="CF533" s="582"/>
      <c r="CG533" s="582"/>
      <c r="CH533" s="582"/>
      <c r="CI533" s="664">
        <v>10000</v>
      </c>
      <c r="CJ533" s="664"/>
      <c r="CK533" s="664"/>
      <c r="CL533" s="664"/>
      <c r="CM533" s="664"/>
      <c r="CN533" s="664"/>
      <c r="CO533" s="664"/>
      <c r="CP533" s="664"/>
      <c r="CQ533" s="664"/>
      <c r="CR533" s="664"/>
      <c r="CS533" s="664"/>
      <c r="CT533" s="664"/>
      <c r="CU533" s="664"/>
      <c r="CV533" s="664"/>
      <c r="CW533" s="664"/>
      <c r="CX533" s="664"/>
      <c r="CY533" s="664"/>
      <c r="CZ533" s="664"/>
    </row>
    <row r="534" spans="1:104" ht="30" hidden="1" customHeight="1" x14ac:dyDescent="0.25">
      <c r="A534" s="630" t="s">
        <v>526</v>
      </c>
      <c r="B534" s="631"/>
      <c r="C534" s="631"/>
      <c r="D534" s="631"/>
      <c r="E534" s="631"/>
      <c r="F534" s="631"/>
      <c r="G534" s="632"/>
      <c r="H534" s="584" t="s">
        <v>849</v>
      </c>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5"/>
      <c r="AL534" s="585"/>
      <c r="AM534" s="585"/>
      <c r="AN534" s="585"/>
      <c r="AO534" s="585"/>
      <c r="AP534" s="585"/>
      <c r="AQ534" s="585"/>
      <c r="AR534" s="585"/>
      <c r="AS534" s="585"/>
      <c r="AT534" s="585"/>
      <c r="AU534" s="585"/>
      <c r="AV534" s="585"/>
      <c r="AW534" s="585"/>
      <c r="AX534" s="585"/>
      <c r="AY534" s="585"/>
      <c r="AZ534" s="585"/>
      <c r="BA534" s="585"/>
      <c r="BB534" s="585"/>
      <c r="BC534" s="585"/>
      <c r="BD534" s="585"/>
      <c r="BE534" s="585"/>
      <c r="BF534" s="585"/>
      <c r="BG534" s="585"/>
      <c r="BH534" s="585"/>
      <c r="BI534" s="585"/>
      <c r="BJ534" s="585"/>
      <c r="BK534" s="585"/>
      <c r="BL534" s="585"/>
      <c r="BM534" s="585"/>
      <c r="BN534" s="585"/>
      <c r="BO534" s="585"/>
      <c r="BP534" s="585"/>
      <c r="BQ534" s="585"/>
      <c r="BR534" s="586"/>
      <c r="BS534" s="544">
        <v>1</v>
      </c>
      <c r="BT534" s="545"/>
      <c r="BU534" s="545"/>
      <c r="BV534" s="545"/>
      <c r="BW534" s="545"/>
      <c r="BX534" s="545"/>
      <c r="BY534" s="545"/>
      <c r="BZ534" s="545"/>
      <c r="CA534" s="545"/>
      <c r="CB534" s="545"/>
      <c r="CC534" s="545"/>
      <c r="CD534" s="545"/>
      <c r="CE534" s="545"/>
      <c r="CF534" s="545"/>
      <c r="CG534" s="545"/>
      <c r="CH534" s="546"/>
      <c r="CI534" s="627">
        <v>0</v>
      </c>
      <c r="CJ534" s="628"/>
      <c r="CK534" s="628"/>
      <c r="CL534" s="628"/>
      <c r="CM534" s="628"/>
      <c r="CN534" s="628"/>
      <c r="CO534" s="628"/>
      <c r="CP534" s="628"/>
      <c r="CQ534" s="628"/>
      <c r="CR534" s="628"/>
      <c r="CS534" s="628"/>
      <c r="CT534" s="628"/>
      <c r="CU534" s="628"/>
      <c r="CV534" s="628"/>
      <c r="CW534" s="628"/>
      <c r="CX534" s="628"/>
      <c r="CY534" s="628"/>
      <c r="CZ534" s="629"/>
    </row>
    <row r="535" spans="1:104" ht="27.6" hidden="1" customHeight="1" x14ac:dyDescent="0.25">
      <c r="A535" s="659" t="s">
        <v>530</v>
      </c>
      <c r="B535" s="659"/>
      <c r="C535" s="659"/>
      <c r="D535" s="659"/>
      <c r="E535" s="659"/>
      <c r="F535" s="659"/>
      <c r="G535" s="659"/>
      <c r="H535" s="584" t="s">
        <v>841</v>
      </c>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5"/>
      <c r="AL535" s="585"/>
      <c r="AM535" s="585"/>
      <c r="AN535" s="585"/>
      <c r="AO535" s="585"/>
      <c r="AP535" s="585"/>
      <c r="AQ535" s="585"/>
      <c r="AR535" s="585"/>
      <c r="AS535" s="585"/>
      <c r="AT535" s="585"/>
      <c r="AU535" s="585"/>
      <c r="AV535" s="585"/>
      <c r="AW535" s="585"/>
      <c r="AX535" s="585"/>
      <c r="AY535" s="585"/>
      <c r="AZ535" s="585"/>
      <c r="BA535" s="585"/>
      <c r="BB535" s="585"/>
      <c r="BC535" s="585"/>
      <c r="BD535" s="585"/>
      <c r="BE535" s="585"/>
      <c r="BF535" s="585"/>
      <c r="BG535" s="585"/>
      <c r="BH535" s="585"/>
      <c r="BI535" s="585"/>
      <c r="BJ535" s="585"/>
      <c r="BK535" s="585"/>
      <c r="BL535" s="585"/>
      <c r="BM535" s="585"/>
      <c r="BN535" s="585"/>
      <c r="BO535" s="585"/>
      <c r="BP535" s="585"/>
      <c r="BQ535" s="585"/>
      <c r="BR535" s="586"/>
      <c r="BS535" s="582">
        <v>1</v>
      </c>
      <c r="BT535" s="582"/>
      <c r="BU535" s="582"/>
      <c r="BV535" s="582"/>
      <c r="BW535" s="582"/>
      <c r="BX535" s="582"/>
      <c r="BY535" s="582"/>
      <c r="BZ535" s="582"/>
      <c r="CA535" s="582"/>
      <c r="CB535" s="582"/>
      <c r="CC535" s="582"/>
      <c r="CD535" s="582"/>
      <c r="CE535" s="582"/>
      <c r="CF535" s="582"/>
      <c r="CG535" s="582"/>
      <c r="CH535" s="582"/>
      <c r="CI535" s="664">
        <v>0</v>
      </c>
      <c r="CJ535" s="664"/>
      <c r="CK535" s="664"/>
      <c r="CL535" s="664"/>
      <c r="CM535" s="664"/>
      <c r="CN535" s="664"/>
      <c r="CO535" s="664"/>
      <c r="CP535" s="664"/>
      <c r="CQ535" s="664"/>
      <c r="CR535" s="664"/>
      <c r="CS535" s="664"/>
      <c r="CT535" s="664"/>
      <c r="CU535" s="664"/>
      <c r="CV535" s="664"/>
      <c r="CW535" s="664"/>
      <c r="CX535" s="664"/>
      <c r="CY535" s="664"/>
      <c r="CZ535" s="664"/>
    </row>
    <row r="536" spans="1:104" ht="15" hidden="1" customHeight="1" x14ac:dyDescent="0.25">
      <c r="A536" s="659" t="s">
        <v>621</v>
      </c>
      <c r="B536" s="659"/>
      <c r="C536" s="659"/>
      <c r="D536" s="659"/>
      <c r="E536" s="659"/>
      <c r="F536" s="659"/>
      <c r="G536" s="659"/>
      <c r="H536" s="584" t="s">
        <v>904</v>
      </c>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5"/>
      <c r="AL536" s="585"/>
      <c r="AM536" s="585"/>
      <c r="AN536" s="585"/>
      <c r="AO536" s="585"/>
      <c r="AP536" s="585"/>
      <c r="AQ536" s="585"/>
      <c r="AR536" s="585"/>
      <c r="AS536" s="585"/>
      <c r="AT536" s="585"/>
      <c r="AU536" s="585"/>
      <c r="AV536" s="585"/>
      <c r="AW536" s="585"/>
      <c r="AX536" s="585"/>
      <c r="AY536" s="585"/>
      <c r="AZ536" s="585"/>
      <c r="BA536" s="585"/>
      <c r="BB536" s="585"/>
      <c r="BC536" s="585"/>
      <c r="BD536" s="585"/>
      <c r="BE536" s="585"/>
      <c r="BF536" s="585"/>
      <c r="BG536" s="585"/>
      <c r="BH536" s="585"/>
      <c r="BI536" s="585"/>
      <c r="BJ536" s="585"/>
      <c r="BK536" s="585"/>
      <c r="BL536" s="585"/>
      <c r="BM536" s="585"/>
      <c r="BN536" s="585"/>
      <c r="BO536" s="585"/>
      <c r="BP536" s="585"/>
      <c r="BQ536" s="585"/>
      <c r="BR536" s="586"/>
      <c r="BS536" s="582">
        <v>1</v>
      </c>
      <c r="BT536" s="582"/>
      <c r="BU536" s="582"/>
      <c r="BV536" s="582"/>
      <c r="BW536" s="582"/>
      <c r="BX536" s="582"/>
      <c r="BY536" s="582"/>
      <c r="BZ536" s="582"/>
      <c r="CA536" s="582"/>
      <c r="CB536" s="582"/>
      <c r="CC536" s="582"/>
      <c r="CD536" s="582"/>
      <c r="CE536" s="582"/>
      <c r="CF536" s="582"/>
      <c r="CG536" s="582"/>
      <c r="CH536" s="582"/>
      <c r="CI536" s="664"/>
      <c r="CJ536" s="664"/>
      <c r="CK536" s="664"/>
      <c r="CL536" s="664"/>
      <c r="CM536" s="664"/>
      <c r="CN536" s="664"/>
      <c r="CO536" s="664"/>
      <c r="CP536" s="664"/>
      <c r="CQ536" s="664"/>
      <c r="CR536" s="664"/>
      <c r="CS536" s="664"/>
      <c r="CT536" s="664"/>
      <c r="CU536" s="664"/>
      <c r="CV536" s="664"/>
      <c r="CW536" s="664"/>
      <c r="CX536" s="664"/>
      <c r="CY536" s="664"/>
      <c r="CZ536" s="664"/>
    </row>
    <row r="537" spans="1:104" ht="15" hidden="1" customHeight="1" x14ac:dyDescent="0.25">
      <c r="A537" s="659" t="s">
        <v>668</v>
      </c>
      <c r="B537" s="659"/>
      <c r="C537" s="659"/>
      <c r="D537" s="659"/>
      <c r="E537" s="659"/>
      <c r="F537" s="659"/>
      <c r="G537" s="659"/>
      <c r="H537" s="584" t="s">
        <v>669</v>
      </c>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5"/>
      <c r="AL537" s="585"/>
      <c r="AM537" s="585"/>
      <c r="AN537" s="585"/>
      <c r="AO537" s="585"/>
      <c r="AP537" s="585"/>
      <c r="AQ537" s="585"/>
      <c r="AR537" s="585"/>
      <c r="AS537" s="585"/>
      <c r="AT537" s="585"/>
      <c r="AU537" s="585"/>
      <c r="AV537" s="585"/>
      <c r="AW537" s="585"/>
      <c r="AX537" s="585"/>
      <c r="AY537" s="585"/>
      <c r="AZ537" s="585"/>
      <c r="BA537" s="585"/>
      <c r="BB537" s="585"/>
      <c r="BC537" s="585"/>
      <c r="BD537" s="585"/>
      <c r="BE537" s="585"/>
      <c r="BF537" s="585"/>
      <c r="BG537" s="585"/>
      <c r="BH537" s="585"/>
      <c r="BI537" s="585"/>
      <c r="BJ537" s="585"/>
      <c r="BK537" s="585"/>
      <c r="BL537" s="585"/>
      <c r="BM537" s="585"/>
      <c r="BN537" s="585"/>
      <c r="BO537" s="585"/>
      <c r="BP537" s="585"/>
      <c r="BQ537" s="585"/>
      <c r="BR537" s="586"/>
      <c r="BS537" s="582"/>
      <c r="BT537" s="582"/>
      <c r="BU537" s="582"/>
      <c r="BV537" s="582"/>
      <c r="BW537" s="582"/>
      <c r="BX537" s="582"/>
      <c r="BY537" s="582"/>
      <c r="BZ537" s="582"/>
      <c r="CA537" s="582"/>
      <c r="CB537" s="582"/>
      <c r="CC537" s="582"/>
      <c r="CD537" s="582"/>
      <c r="CE537" s="582"/>
      <c r="CF537" s="582"/>
      <c r="CG537" s="582"/>
      <c r="CH537" s="582"/>
      <c r="CI537" s="664"/>
      <c r="CJ537" s="664"/>
      <c r="CK537" s="664"/>
      <c r="CL537" s="664"/>
      <c r="CM537" s="664"/>
      <c r="CN537" s="664"/>
      <c r="CO537" s="664"/>
      <c r="CP537" s="664"/>
      <c r="CQ537" s="664"/>
      <c r="CR537" s="664"/>
      <c r="CS537" s="664"/>
      <c r="CT537" s="664"/>
      <c r="CU537" s="664"/>
      <c r="CV537" s="664"/>
      <c r="CW537" s="664"/>
      <c r="CX537" s="664"/>
      <c r="CY537" s="664"/>
      <c r="CZ537" s="664"/>
    </row>
    <row r="538" spans="1:104" ht="15" customHeight="1" x14ac:dyDescent="0.25">
      <c r="A538" s="659" t="s">
        <v>622</v>
      </c>
      <c r="B538" s="659"/>
      <c r="C538" s="659"/>
      <c r="D538" s="659"/>
      <c r="E538" s="659"/>
      <c r="F538" s="659"/>
      <c r="G538" s="659"/>
      <c r="H538" s="584" t="s">
        <v>671</v>
      </c>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585"/>
      <c r="AY538" s="585"/>
      <c r="AZ538" s="585"/>
      <c r="BA538" s="585"/>
      <c r="BB538" s="585"/>
      <c r="BC538" s="585"/>
      <c r="BD538" s="585"/>
      <c r="BE538" s="585"/>
      <c r="BF538" s="585"/>
      <c r="BG538" s="585"/>
      <c r="BH538" s="585"/>
      <c r="BI538" s="585"/>
      <c r="BJ538" s="585"/>
      <c r="BK538" s="585"/>
      <c r="BL538" s="585"/>
      <c r="BM538" s="585"/>
      <c r="BN538" s="585"/>
      <c r="BO538" s="585"/>
      <c r="BP538" s="585"/>
      <c r="BQ538" s="585"/>
      <c r="BR538" s="586"/>
      <c r="BS538" s="582">
        <v>2</v>
      </c>
      <c r="BT538" s="582"/>
      <c r="BU538" s="582"/>
      <c r="BV538" s="582"/>
      <c r="BW538" s="582"/>
      <c r="BX538" s="582"/>
      <c r="BY538" s="582"/>
      <c r="BZ538" s="582"/>
      <c r="CA538" s="582"/>
      <c r="CB538" s="582"/>
      <c r="CC538" s="582"/>
      <c r="CD538" s="582"/>
      <c r="CE538" s="582"/>
      <c r="CF538" s="582"/>
      <c r="CG538" s="582"/>
      <c r="CH538" s="582"/>
      <c r="CI538" s="664">
        <v>7500</v>
      </c>
      <c r="CJ538" s="664"/>
      <c r="CK538" s="664"/>
      <c r="CL538" s="664"/>
      <c r="CM538" s="664"/>
      <c r="CN538" s="664"/>
      <c r="CO538" s="664"/>
      <c r="CP538" s="664"/>
      <c r="CQ538" s="664"/>
      <c r="CR538" s="664"/>
      <c r="CS538" s="664"/>
      <c r="CT538" s="664"/>
      <c r="CU538" s="664"/>
      <c r="CV538" s="664"/>
      <c r="CW538" s="664"/>
      <c r="CX538" s="664"/>
      <c r="CY538" s="664"/>
      <c r="CZ538" s="664"/>
    </row>
    <row r="539" spans="1:104" ht="15" hidden="1" customHeight="1" x14ac:dyDescent="0.25">
      <c r="A539" s="659" t="s">
        <v>623</v>
      </c>
      <c r="B539" s="659"/>
      <c r="C539" s="659"/>
      <c r="D539" s="659"/>
      <c r="E539" s="659"/>
      <c r="F539" s="659"/>
      <c r="G539" s="659"/>
      <c r="H539" s="584" t="s">
        <v>673</v>
      </c>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5"/>
      <c r="AL539" s="585"/>
      <c r="AM539" s="585"/>
      <c r="AN539" s="585"/>
      <c r="AO539" s="585"/>
      <c r="AP539" s="585"/>
      <c r="AQ539" s="585"/>
      <c r="AR539" s="585"/>
      <c r="AS539" s="585"/>
      <c r="AT539" s="585"/>
      <c r="AU539" s="585"/>
      <c r="AV539" s="585"/>
      <c r="AW539" s="585"/>
      <c r="AX539" s="585"/>
      <c r="AY539" s="585"/>
      <c r="AZ539" s="585"/>
      <c r="BA539" s="585"/>
      <c r="BB539" s="585"/>
      <c r="BC539" s="585"/>
      <c r="BD539" s="585"/>
      <c r="BE539" s="585"/>
      <c r="BF539" s="585"/>
      <c r="BG539" s="585"/>
      <c r="BH539" s="585"/>
      <c r="BI539" s="585"/>
      <c r="BJ539" s="585"/>
      <c r="BK539" s="585"/>
      <c r="BL539" s="585"/>
      <c r="BM539" s="585"/>
      <c r="BN539" s="585"/>
      <c r="BO539" s="585"/>
      <c r="BP539" s="585"/>
      <c r="BQ539" s="585"/>
      <c r="BR539" s="586"/>
      <c r="BS539" s="582">
        <v>1</v>
      </c>
      <c r="BT539" s="582"/>
      <c r="BU539" s="582"/>
      <c r="BV539" s="582"/>
      <c r="BW539" s="582"/>
      <c r="BX539" s="582"/>
      <c r="BY539" s="582"/>
      <c r="BZ539" s="582"/>
      <c r="CA539" s="582"/>
      <c r="CB539" s="582"/>
      <c r="CC539" s="582"/>
      <c r="CD539" s="582"/>
      <c r="CE539" s="582"/>
      <c r="CF539" s="582"/>
      <c r="CG539" s="582"/>
      <c r="CH539" s="582"/>
      <c r="CI539" s="664"/>
      <c r="CJ539" s="664"/>
      <c r="CK539" s="664"/>
      <c r="CL539" s="664"/>
      <c r="CM539" s="664"/>
      <c r="CN539" s="664"/>
      <c r="CO539" s="664"/>
      <c r="CP539" s="664"/>
      <c r="CQ539" s="664"/>
      <c r="CR539" s="664"/>
      <c r="CS539" s="664"/>
      <c r="CT539" s="664"/>
      <c r="CU539" s="664"/>
      <c r="CV539" s="664"/>
      <c r="CW539" s="664"/>
      <c r="CX539" s="664"/>
      <c r="CY539" s="664"/>
      <c r="CZ539" s="664"/>
    </row>
    <row r="540" spans="1:104" ht="15" hidden="1" customHeight="1" x14ac:dyDescent="0.25">
      <c r="A540" s="659" t="s">
        <v>387</v>
      </c>
      <c r="B540" s="659"/>
      <c r="C540" s="659"/>
      <c r="D540" s="659"/>
      <c r="E540" s="659"/>
      <c r="F540" s="659"/>
      <c r="G540" s="659"/>
      <c r="H540" s="556" t="s">
        <v>892</v>
      </c>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6"/>
      <c r="AL540" s="556"/>
      <c r="AM540" s="556"/>
      <c r="AN540" s="556"/>
      <c r="AO540" s="556"/>
      <c r="AP540" s="556"/>
      <c r="AQ540" s="556"/>
      <c r="AR540" s="556"/>
      <c r="AS540" s="556"/>
      <c r="AT540" s="556"/>
      <c r="AU540" s="556"/>
      <c r="AV540" s="556"/>
      <c r="AW540" s="556"/>
      <c r="AX540" s="556"/>
      <c r="AY540" s="556"/>
      <c r="AZ540" s="556"/>
      <c r="BA540" s="556"/>
      <c r="BB540" s="556"/>
      <c r="BC540" s="556"/>
      <c r="BD540" s="556"/>
      <c r="BE540" s="556"/>
      <c r="BF540" s="556"/>
      <c r="BG540" s="556"/>
      <c r="BH540" s="556"/>
      <c r="BI540" s="556"/>
      <c r="BJ540" s="556"/>
      <c r="BK540" s="556"/>
      <c r="BL540" s="556"/>
      <c r="BM540" s="556"/>
      <c r="BN540" s="556"/>
      <c r="BO540" s="556"/>
      <c r="BP540" s="556"/>
      <c r="BQ540" s="556"/>
      <c r="BR540" s="556"/>
      <c r="BS540" s="582">
        <v>1</v>
      </c>
      <c r="BT540" s="582"/>
      <c r="BU540" s="582"/>
      <c r="BV540" s="582"/>
      <c r="BW540" s="582"/>
      <c r="BX540" s="582"/>
      <c r="BY540" s="582"/>
      <c r="BZ540" s="582"/>
      <c r="CA540" s="582"/>
      <c r="CB540" s="582"/>
      <c r="CC540" s="582"/>
      <c r="CD540" s="582"/>
      <c r="CE540" s="582"/>
      <c r="CF540" s="582"/>
      <c r="CG540" s="582"/>
      <c r="CH540" s="582"/>
      <c r="CI540" s="664"/>
      <c r="CJ540" s="664"/>
      <c r="CK540" s="664"/>
      <c r="CL540" s="664"/>
      <c r="CM540" s="664"/>
      <c r="CN540" s="664"/>
      <c r="CO540" s="664"/>
      <c r="CP540" s="664"/>
      <c r="CQ540" s="664"/>
      <c r="CR540" s="664"/>
      <c r="CS540" s="664"/>
      <c r="CT540" s="664"/>
      <c r="CU540" s="664"/>
      <c r="CV540" s="664"/>
      <c r="CW540" s="664"/>
      <c r="CX540" s="664"/>
      <c r="CY540" s="664"/>
      <c r="CZ540" s="664"/>
    </row>
    <row r="541" spans="1:104" ht="15" hidden="1" customHeight="1" x14ac:dyDescent="0.25">
      <c r="A541" s="659" t="s">
        <v>675</v>
      </c>
      <c r="B541" s="659"/>
      <c r="C541" s="659"/>
      <c r="D541" s="659"/>
      <c r="E541" s="659"/>
      <c r="F541" s="659"/>
      <c r="G541" s="659"/>
      <c r="H541" s="556" t="s">
        <v>676</v>
      </c>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6"/>
      <c r="AL541" s="556"/>
      <c r="AM541" s="556"/>
      <c r="AN541" s="556"/>
      <c r="AO541" s="556"/>
      <c r="AP541" s="556"/>
      <c r="AQ541" s="556"/>
      <c r="AR541" s="556"/>
      <c r="AS541" s="556"/>
      <c r="AT541" s="556"/>
      <c r="AU541" s="556"/>
      <c r="AV541" s="556"/>
      <c r="AW541" s="556"/>
      <c r="AX541" s="556"/>
      <c r="AY541" s="556"/>
      <c r="AZ541" s="556"/>
      <c r="BA541" s="556"/>
      <c r="BB541" s="556"/>
      <c r="BC541" s="556"/>
      <c r="BD541" s="556"/>
      <c r="BE541" s="556"/>
      <c r="BF541" s="556"/>
      <c r="BG541" s="556"/>
      <c r="BH541" s="556"/>
      <c r="BI541" s="556"/>
      <c r="BJ541" s="556"/>
      <c r="BK541" s="556"/>
      <c r="BL541" s="556"/>
      <c r="BM541" s="556"/>
      <c r="BN541" s="556"/>
      <c r="BO541" s="556"/>
      <c r="BP541" s="556"/>
      <c r="BQ541" s="556"/>
      <c r="BR541" s="556"/>
      <c r="BS541" s="582"/>
      <c r="BT541" s="582"/>
      <c r="BU541" s="582"/>
      <c r="BV541" s="582"/>
      <c r="BW541" s="582"/>
      <c r="BX541" s="582"/>
      <c r="BY541" s="582"/>
      <c r="BZ541" s="582"/>
      <c r="CA541" s="582"/>
      <c r="CB541" s="582"/>
      <c r="CC541" s="582"/>
      <c r="CD541" s="582"/>
      <c r="CE541" s="582"/>
      <c r="CF541" s="582"/>
      <c r="CG541" s="582"/>
      <c r="CH541" s="582"/>
      <c r="CI541" s="664"/>
      <c r="CJ541" s="664"/>
      <c r="CK541" s="664"/>
      <c r="CL541" s="664"/>
      <c r="CM541" s="664"/>
      <c r="CN541" s="664"/>
      <c r="CO541" s="664"/>
      <c r="CP541" s="664"/>
      <c r="CQ541" s="664"/>
      <c r="CR541" s="664"/>
      <c r="CS541" s="664"/>
      <c r="CT541" s="664"/>
      <c r="CU541" s="664"/>
      <c r="CV541" s="664"/>
      <c r="CW541" s="664"/>
      <c r="CX541" s="664"/>
      <c r="CY541" s="664"/>
      <c r="CZ541" s="664"/>
    </row>
    <row r="542" spans="1:104" ht="15" hidden="1" customHeight="1" x14ac:dyDescent="0.25">
      <c r="A542" s="659" t="s">
        <v>677</v>
      </c>
      <c r="B542" s="659"/>
      <c r="C542" s="659"/>
      <c r="D542" s="659"/>
      <c r="E542" s="659"/>
      <c r="F542" s="659"/>
      <c r="G542" s="659"/>
      <c r="H542" s="556" t="s">
        <v>678</v>
      </c>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6"/>
      <c r="AL542" s="556"/>
      <c r="AM542" s="556"/>
      <c r="AN542" s="556"/>
      <c r="AO542" s="556"/>
      <c r="AP542" s="556"/>
      <c r="AQ542" s="556"/>
      <c r="AR542" s="556"/>
      <c r="AS542" s="556"/>
      <c r="AT542" s="556"/>
      <c r="AU542" s="556"/>
      <c r="AV542" s="556"/>
      <c r="AW542" s="556"/>
      <c r="AX542" s="556"/>
      <c r="AY542" s="556"/>
      <c r="AZ542" s="556"/>
      <c r="BA542" s="556"/>
      <c r="BB542" s="556"/>
      <c r="BC542" s="556"/>
      <c r="BD542" s="556"/>
      <c r="BE542" s="556"/>
      <c r="BF542" s="556"/>
      <c r="BG542" s="556"/>
      <c r="BH542" s="556"/>
      <c r="BI542" s="556"/>
      <c r="BJ542" s="556"/>
      <c r="BK542" s="556"/>
      <c r="BL542" s="556"/>
      <c r="BM542" s="556"/>
      <c r="BN542" s="556"/>
      <c r="BO542" s="556"/>
      <c r="BP542" s="556"/>
      <c r="BQ542" s="556"/>
      <c r="BR542" s="556"/>
      <c r="BS542" s="582"/>
      <c r="BT542" s="582"/>
      <c r="BU542" s="582"/>
      <c r="BV542" s="582"/>
      <c r="BW542" s="582"/>
      <c r="BX542" s="582"/>
      <c r="BY542" s="582"/>
      <c r="BZ542" s="582"/>
      <c r="CA542" s="582"/>
      <c r="CB542" s="582"/>
      <c r="CC542" s="582"/>
      <c r="CD542" s="582"/>
      <c r="CE542" s="582"/>
      <c r="CF542" s="582"/>
      <c r="CG542" s="582"/>
      <c r="CH542" s="582"/>
      <c r="CI542" s="664"/>
      <c r="CJ542" s="664"/>
      <c r="CK542" s="664"/>
      <c r="CL542" s="664"/>
      <c r="CM542" s="664"/>
      <c r="CN542" s="664"/>
      <c r="CO542" s="664"/>
      <c r="CP542" s="664"/>
      <c r="CQ542" s="664"/>
      <c r="CR542" s="664"/>
      <c r="CS542" s="664"/>
      <c r="CT542" s="664"/>
      <c r="CU542" s="664"/>
      <c r="CV542" s="664"/>
      <c r="CW542" s="664"/>
      <c r="CX542" s="664"/>
      <c r="CY542" s="664"/>
      <c r="CZ542" s="664"/>
    </row>
    <row r="543" spans="1:104" ht="15" hidden="1" customHeight="1" x14ac:dyDescent="0.25">
      <c r="A543" s="659" t="s">
        <v>668</v>
      </c>
      <c r="B543" s="659"/>
      <c r="C543" s="659"/>
      <c r="D543" s="659"/>
      <c r="E543" s="659"/>
      <c r="F543" s="659"/>
      <c r="G543" s="659"/>
      <c r="H543" s="691" t="s">
        <v>915</v>
      </c>
      <c r="I543" s="691"/>
      <c r="J543" s="691"/>
      <c r="K543" s="691"/>
      <c r="L543" s="691"/>
      <c r="M543" s="691"/>
      <c r="N543" s="691"/>
      <c r="O543" s="691"/>
      <c r="P543" s="691"/>
      <c r="Q543" s="691"/>
      <c r="R543" s="691"/>
      <c r="S543" s="691"/>
      <c r="T543" s="691"/>
      <c r="U543" s="691"/>
      <c r="V543" s="691"/>
      <c r="W543" s="691"/>
      <c r="X543" s="691"/>
      <c r="Y543" s="691"/>
      <c r="Z543" s="691"/>
      <c r="AA543" s="691"/>
      <c r="AB543" s="691"/>
      <c r="AC543" s="691"/>
      <c r="AD543" s="691"/>
      <c r="AE543" s="691"/>
      <c r="AF543" s="691"/>
      <c r="AG543" s="691"/>
      <c r="AH543" s="691"/>
      <c r="AI543" s="691"/>
      <c r="AJ543" s="691"/>
      <c r="AK543" s="691"/>
      <c r="AL543" s="691"/>
      <c r="AM543" s="691"/>
      <c r="AN543" s="691"/>
      <c r="AO543" s="691"/>
      <c r="AP543" s="691"/>
      <c r="AQ543" s="691"/>
      <c r="AR543" s="691"/>
      <c r="AS543" s="691"/>
      <c r="AT543" s="691"/>
      <c r="AU543" s="691"/>
      <c r="AV543" s="691"/>
      <c r="AW543" s="691"/>
      <c r="AX543" s="691"/>
      <c r="AY543" s="691"/>
      <c r="AZ543" s="691"/>
      <c r="BA543" s="691"/>
      <c r="BB543" s="691"/>
      <c r="BC543" s="691"/>
      <c r="BD543" s="691"/>
      <c r="BE543" s="691"/>
      <c r="BF543" s="691"/>
      <c r="BG543" s="691"/>
      <c r="BH543" s="691"/>
      <c r="BI543" s="691"/>
      <c r="BJ543" s="691"/>
      <c r="BK543" s="691"/>
      <c r="BL543" s="691"/>
      <c r="BM543" s="691"/>
      <c r="BN543" s="691"/>
      <c r="BO543" s="691"/>
      <c r="BP543" s="691"/>
      <c r="BQ543" s="691"/>
      <c r="BR543" s="691"/>
      <c r="BS543" s="457">
        <v>1</v>
      </c>
      <c r="BT543" s="457"/>
      <c r="BU543" s="457"/>
      <c r="BV543" s="457"/>
      <c r="BW543" s="457"/>
      <c r="BX543" s="457"/>
      <c r="BY543" s="457"/>
      <c r="BZ543" s="457"/>
      <c r="CA543" s="457"/>
      <c r="CB543" s="457"/>
      <c r="CC543" s="457"/>
      <c r="CD543" s="457"/>
      <c r="CE543" s="457"/>
      <c r="CF543" s="457"/>
      <c r="CG543" s="457"/>
      <c r="CH543" s="457"/>
      <c r="CI543" s="457"/>
      <c r="CJ543" s="457"/>
      <c r="CK543" s="457"/>
      <c r="CL543" s="457"/>
      <c r="CM543" s="457"/>
      <c r="CN543" s="457"/>
      <c r="CO543" s="457"/>
      <c r="CP543" s="457"/>
      <c r="CQ543" s="457"/>
      <c r="CR543" s="457"/>
      <c r="CS543" s="457"/>
      <c r="CT543" s="457"/>
      <c r="CU543" s="457"/>
      <c r="CV543" s="457"/>
      <c r="CW543" s="457"/>
      <c r="CX543" s="457"/>
      <c r="CY543" s="457"/>
      <c r="CZ543" s="457"/>
    </row>
    <row r="544" spans="1:104" ht="15" hidden="1" customHeight="1" x14ac:dyDescent="0.25">
      <c r="A544" s="659" t="s">
        <v>754</v>
      </c>
      <c r="B544" s="659"/>
      <c r="C544" s="659"/>
      <c r="D544" s="659"/>
      <c r="E544" s="659"/>
      <c r="F544" s="659"/>
      <c r="G544" s="659"/>
      <c r="H544" s="556" t="s">
        <v>916</v>
      </c>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6"/>
      <c r="AL544" s="556"/>
      <c r="AM544" s="556"/>
      <c r="AN544" s="556"/>
      <c r="AO544" s="556"/>
      <c r="AP544" s="556"/>
      <c r="AQ544" s="556"/>
      <c r="AR544" s="556"/>
      <c r="AS544" s="556"/>
      <c r="AT544" s="556"/>
      <c r="AU544" s="556"/>
      <c r="AV544" s="556"/>
      <c r="AW544" s="556"/>
      <c r="AX544" s="556"/>
      <c r="AY544" s="556"/>
      <c r="AZ544" s="556"/>
      <c r="BA544" s="556"/>
      <c r="BB544" s="556"/>
      <c r="BC544" s="556"/>
      <c r="BD544" s="556"/>
      <c r="BE544" s="556"/>
      <c r="BF544" s="556"/>
      <c r="BG544" s="556"/>
      <c r="BH544" s="556"/>
      <c r="BI544" s="556"/>
      <c r="BJ544" s="556"/>
      <c r="BK544" s="556"/>
      <c r="BL544" s="556"/>
      <c r="BM544" s="556"/>
      <c r="BN544" s="556"/>
      <c r="BO544" s="556"/>
      <c r="BP544" s="556"/>
      <c r="BQ544" s="556"/>
      <c r="BR544" s="556"/>
      <c r="BS544" s="582">
        <v>1</v>
      </c>
      <c r="BT544" s="582"/>
      <c r="BU544" s="582"/>
      <c r="BV544" s="582"/>
      <c r="BW544" s="582"/>
      <c r="BX544" s="582"/>
      <c r="BY544" s="582"/>
      <c r="BZ544" s="582"/>
      <c r="CA544" s="582"/>
      <c r="CB544" s="582"/>
      <c r="CC544" s="582"/>
      <c r="CD544" s="582"/>
      <c r="CE544" s="582"/>
      <c r="CF544" s="582"/>
      <c r="CG544" s="582"/>
      <c r="CH544" s="582"/>
      <c r="CI544" s="664"/>
      <c r="CJ544" s="664"/>
      <c r="CK544" s="664"/>
      <c r="CL544" s="664"/>
      <c r="CM544" s="664"/>
      <c r="CN544" s="664"/>
      <c r="CO544" s="664"/>
      <c r="CP544" s="664"/>
      <c r="CQ544" s="664"/>
      <c r="CR544" s="664"/>
      <c r="CS544" s="664"/>
      <c r="CT544" s="664"/>
      <c r="CU544" s="664"/>
      <c r="CV544" s="664"/>
      <c r="CW544" s="664"/>
      <c r="CX544" s="664"/>
      <c r="CY544" s="664"/>
      <c r="CZ544" s="664"/>
    </row>
    <row r="545" spans="1:105" ht="15" hidden="1" customHeight="1" x14ac:dyDescent="0.25">
      <c r="A545" s="659"/>
      <c r="B545" s="659"/>
      <c r="C545" s="659"/>
      <c r="D545" s="659"/>
      <c r="E545" s="659"/>
      <c r="F545" s="659"/>
      <c r="G545" s="659"/>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06"/>
      <c r="AL545" s="606"/>
      <c r="AM545" s="606"/>
      <c r="AN545" s="606"/>
      <c r="AO545" s="606"/>
      <c r="AP545" s="606"/>
      <c r="AQ545" s="606"/>
      <c r="AR545" s="606"/>
      <c r="AS545" s="606"/>
      <c r="AT545" s="606"/>
      <c r="AU545" s="606"/>
      <c r="AV545" s="606"/>
      <c r="AW545" s="606"/>
      <c r="AX545" s="606"/>
      <c r="AY545" s="606"/>
      <c r="AZ545" s="606"/>
      <c r="BA545" s="606"/>
      <c r="BB545" s="606"/>
      <c r="BC545" s="606"/>
      <c r="BD545" s="606"/>
      <c r="BE545" s="606"/>
      <c r="BF545" s="606"/>
      <c r="BG545" s="606"/>
      <c r="BH545" s="606"/>
      <c r="BI545" s="606"/>
      <c r="BJ545" s="606"/>
      <c r="BK545" s="606"/>
      <c r="BL545" s="606"/>
      <c r="BM545" s="606"/>
      <c r="BN545" s="606"/>
      <c r="BO545" s="606"/>
      <c r="BP545" s="606"/>
      <c r="BQ545" s="606"/>
      <c r="BR545" s="606"/>
      <c r="BS545" s="582"/>
      <c r="BT545" s="582"/>
      <c r="BU545" s="582"/>
      <c r="BV545" s="582"/>
      <c r="BW545" s="582"/>
      <c r="BX545" s="582"/>
      <c r="BY545" s="582"/>
      <c r="BZ545" s="582"/>
      <c r="CA545" s="582"/>
      <c r="CB545" s="582"/>
      <c r="CC545" s="582"/>
      <c r="CD545" s="582"/>
      <c r="CE545" s="582"/>
      <c r="CF545" s="582"/>
      <c r="CG545" s="582"/>
      <c r="CH545" s="582"/>
      <c r="CI545" s="664"/>
      <c r="CJ545" s="664"/>
      <c r="CK545" s="664"/>
      <c r="CL545" s="664"/>
      <c r="CM545" s="664"/>
      <c r="CN545" s="664"/>
      <c r="CO545" s="664"/>
      <c r="CP545" s="664"/>
      <c r="CQ545" s="664"/>
      <c r="CR545" s="664"/>
      <c r="CS545" s="664"/>
      <c r="CT545" s="664"/>
      <c r="CU545" s="664"/>
      <c r="CV545" s="664"/>
      <c r="CW545" s="664"/>
      <c r="CX545" s="664"/>
      <c r="CY545" s="664"/>
      <c r="CZ545" s="664"/>
    </row>
    <row r="546" spans="1:105" ht="15" hidden="1" customHeight="1" x14ac:dyDescent="0.25">
      <c r="A546" s="659"/>
      <c r="B546" s="659"/>
      <c r="C546" s="659"/>
      <c r="D546" s="659"/>
      <c r="E546" s="659"/>
      <c r="F546" s="659"/>
      <c r="G546" s="659"/>
      <c r="H546" s="457"/>
      <c r="I546" s="457"/>
      <c r="J546" s="457"/>
      <c r="K546" s="457"/>
      <c r="L546" s="457"/>
      <c r="M546" s="457"/>
      <c r="N546" s="457"/>
      <c r="O546" s="457"/>
      <c r="P546" s="457"/>
      <c r="Q546" s="457"/>
      <c r="R546" s="457"/>
      <c r="S546" s="457"/>
      <c r="T546" s="457"/>
      <c r="U546" s="457"/>
      <c r="V546" s="457"/>
      <c r="W546" s="457"/>
      <c r="X546" s="457"/>
      <c r="Y546" s="457"/>
      <c r="Z546" s="457"/>
      <c r="AA546" s="457"/>
      <c r="AB546" s="457"/>
      <c r="AC546" s="457"/>
      <c r="AD546" s="457"/>
      <c r="AE546" s="457"/>
      <c r="AF546" s="457"/>
      <c r="AG546" s="457"/>
      <c r="AH546" s="457"/>
      <c r="AI546" s="457"/>
      <c r="AJ546" s="457"/>
      <c r="AK546" s="457"/>
      <c r="AL546" s="457"/>
      <c r="AM546" s="457"/>
      <c r="AN546" s="457"/>
      <c r="AO546" s="457"/>
      <c r="AP546" s="457"/>
      <c r="AQ546" s="457"/>
      <c r="AR546" s="457"/>
      <c r="AS546" s="457"/>
      <c r="AT546" s="457"/>
      <c r="AU546" s="457"/>
      <c r="AV546" s="457"/>
      <c r="AW546" s="457"/>
      <c r="AX546" s="457"/>
      <c r="AY546" s="457"/>
      <c r="AZ546" s="457"/>
      <c r="BA546" s="457"/>
      <c r="BB546" s="457"/>
      <c r="BC546" s="457"/>
      <c r="BD546" s="457"/>
      <c r="BE546" s="457"/>
      <c r="BF546" s="457"/>
      <c r="BG546" s="457"/>
      <c r="BH546" s="457"/>
      <c r="BI546" s="457"/>
      <c r="BJ546" s="457"/>
      <c r="BK546" s="457"/>
      <c r="BL546" s="457"/>
      <c r="BM546" s="457"/>
      <c r="BN546" s="457"/>
      <c r="BO546" s="457"/>
      <c r="BP546" s="457"/>
      <c r="BQ546" s="457"/>
      <c r="BR546" s="457"/>
      <c r="BS546" s="457"/>
      <c r="BT546" s="457"/>
      <c r="BU546" s="457"/>
      <c r="BV546" s="457"/>
      <c r="BW546" s="457"/>
      <c r="BX546" s="457"/>
      <c r="BY546" s="457"/>
      <c r="BZ546" s="457"/>
      <c r="CA546" s="457"/>
      <c r="CB546" s="457"/>
      <c r="CC546" s="457"/>
      <c r="CD546" s="457"/>
      <c r="CE546" s="457"/>
      <c r="CF546" s="457"/>
      <c r="CG546" s="457"/>
      <c r="CH546" s="457"/>
      <c r="CI546" s="457"/>
      <c r="CJ546" s="457"/>
      <c r="CK546" s="457"/>
      <c r="CL546" s="457"/>
      <c r="CM546" s="457"/>
      <c r="CN546" s="457"/>
      <c r="CO546" s="457"/>
      <c r="CP546" s="457"/>
      <c r="CQ546" s="457"/>
      <c r="CR546" s="457"/>
      <c r="CS546" s="457"/>
      <c r="CT546" s="457"/>
      <c r="CU546" s="457"/>
      <c r="CV546" s="457"/>
      <c r="CW546" s="457"/>
      <c r="CX546" s="457"/>
      <c r="CY546" s="457"/>
      <c r="CZ546" s="457"/>
    </row>
    <row r="547" spans="1:105" ht="15" hidden="1" customHeight="1" x14ac:dyDescent="0.25">
      <c r="A547" s="712" t="s">
        <v>624</v>
      </c>
      <c r="B547" s="713"/>
      <c r="C547" s="713"/>
      <c r="D547" s="713"/>
      <c r="E547" s="713"/>
      <c r="F547" s="713"/>
      <c r="G547" s="714"/>
      <c r="H547" s="687" t="s">
        <v>843</v>
      </c>
      <c r="I547" s="687"/>
      <c r="J547" s="687"/>
      <c r="K547" s="687"/>
      <c r="L547" s="687"/>
      <c r="M547" s="687"/>
      <c r="N547" s="687"/>
      <c r="O547" s="687"/>
      <c r="P547" s="687"/>
      <c r="Q547" s="687"/>
      <c r="R547" s="687"/>
      <c r="S547" s="687"/>
      <c r="T547" s="687"/>
      <c r="U547" s="687"/>
      <c r="V547" s="687"/>
      <c r="W547" s="687"/>
      <c r="X547" s="687"/>
      <c r="Y547" s="687"/>
      <c r="Z547" s="687"/>
      <c r="AA547" s="687"/>
      <c r="AB547" s="687"/>
      <c r="AC547" s="687"/>
      <c r="AD547" s="687"/>
      <c r="AE547" s="687"/>
      <c r="AF547" s="687"/>
      <c r="AG547" s="687"/>
      <c r="AH547" s="687"/>
      <c r="AI547" s="687"/>
      <c r="AJ547" s="687"/>
      <c r="AK547" s="687"/>
      <c r="AL547" s="687"/>
      <c r="AM547" s="687"/>
      <c r="AN547" s="687"/>
      <c r="AO547" s="687"/>
      <c r="AP547" s="687"/>
      <c r="AQ547" s="687"/>
      <c r="AR547" s="687"/>
      <c r="AS547" s="687"/>
      <c r="AT547" s="687"/>
      <c r="AU547" s="687"/>
      <c r="AV547" s="687"/>
      <c r="AW547" s="687"/>
      <c r="AX547" s="687"/>
      <c r="AY547" s="687"/>
      <c r="AZ547" s="687"/>
      <c r="BA547" s="687"/>
      <c r="BB547" s="687"/>
      <c r="BC547" s="687"/>
      <c r="BD547" s="687"/>
      <c r="BE547" s="687"/>
      <c r="BF547" s="687"/>
      <c r="BG547" s="687"/>
      <c r="BH547" s="687"/>
      <c r="BI547" s="687"/>
      <c r="BJ547" s="687"/>
      <c r="BK547" s="687"/>
      <c r="BL547" s="687"/>
      <c r="BM547" s="687"/>
      <c r="BN547" s="687"/>
      <c r="BO547" s="687"/>
      <c r="BP547" s="687"/>
      <c r="BQ547" s="687"/>
      <c r="BR547" s="687"/>
      <c r="BS547" s="688">
        <v>1</v>
      </c>
      <c r="BT547" s="688"/>
      <c r="BU547" s="688"/>
      <c r="BV547" s="688"/>
      <c r="BW547" s="688"/>
      <c r="BX547" s="688"/>
      <c r="BY547" s="688"/>
      <c r="BZ547" s="688"/>
      <c r="CA547" s="688"/>
      <c r="CB547" s="688"/>
      <c r="CC547" s="688"/>
      <c r="CD547" s="688"/>
      <c r="CE547" s="688"/>
      <c r="CF547" s="688"/>
      <c r="CG547" s="688"/>
      <c r="CH547" s="688"/>
      <c r="CI547" s="689"/>
      <c r="CJ547" s="690"/>
      <c r="CK547" s="690"/>
      <c r="CL547" s="690"/>
      <c r="CM547" s="690"/>
      <c r="CN547" s="690"/>
      <c r="CO547" s="690"/>
      <c r="CP547" s="690"/>
      <c r="CQ547" s="690"/>
      <c r="CR547" s="690"/>
      <c r="CS547" s="690"/>
      <c r="CT547" s="690"/>
      <c r="CU547" s="690"/>
      <c r="CV547" s="690"/>
      <c r="CW547" s="690"/>
      <c r="CX547" s="690"/>
      <c r="CY547" s="690"/>
      <c r="CZ547" s="690"/>
    </row>
    <row r="548" spans="1:105" ht="29.4" customHeight="1" x14ac:dyDescent="0.25">
      <c r="A548" s="659" t="s">
        <v>625</v>
      </c>
      <c r="B548" s="659"/>
      <c r="C548" s="659"/>
      <c r="D548" s="659"/>
      <c r="E548" s="659"/>
      <c r="F548" s="659"/>
      <c r="G548" s="659"/>
      <c r="H548" s="584" t="s">
        <v>679</v>
      </c>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5"/>
      <c r="AL548" s="585"/>
      <c r="AM548" s="585"/>
      <c r="AN548" s="585"/>
      <c r="AO548" s="585"/>
      <c r="AP548" s="585"/>
      <c r="AQ548" s="585"/>
      <c r="AR548" s="585"/>
      <c r="AS548" s="585"/>
      <c r="AT548" s="585"/>
      <c r="AU548" s="585"/>
      <c r="AV548" s="585"/>
      <c r="AW548" s="585"/>
      <c r="AX548" s="585"/>
      <c r="AY548" s="585"/>
      <c r="AZ548" s="585"/>
      <c r="BA548" s="585"/>
      <c r="BB548" s="585"/>
      <c r="BC548" s="585"/>
      <c r="BD548" s="585"/>
      <c r="BE548" s="585"/>
      <c r="BF548" s="585"/>
      <c r="BG548" s="585"/>
      <c r="BH548" s="585"/>
      <c r="BI548" s="585"/>
      <c r="BJ548" s="585"/>
      <c r="BK548" s="585"/>
      <c r="BL548" s="585"/>
      <c r="BM548" s="585"/>
      <c r="BN548" s="585"/>
      <c r="BO548" s="585"/>
      <c r="BP548" s="585"/>
      <c r="BQ548" s="585"/>
      <c r="BR548" s="586"/>
      <c r="BS548" s="582">
        <v>1</v>
      </c>
      <c r="BT548" s="582"/>
      <c r="BU548" s="582"/>
      <c r="BV548" s="582"/>
      <c r="BW548" s="582"/>
      <c r="BX548" s="582"/>
      <c r="BY548" s="582"/>
      <c r="BZ548" s="582"/>
      <c r="CA548" s="582"/>
      <c r="CB548" s="582"/>
      <c r="CC548" s="582"/>
      <c r="CD548" s="582"/>
      <c r="CE548" s="582"/>
      <c r="CF548" s="582"/>
      <c r="CG548" s="582"/>
      <c r="CH548" s="582"/>
      <c r="CI548" s="664">
        <v>35000</v>
      </c>
      <c r="CJ548" s="664"/>
      <c r="CK548" s="664"/>
      <c r="CL548" s="664"/>
      <c r="CM548" s="664"/>
      <c r="CN548" s="664"/>
      <c r="CO548" s="664"/>
      <c r="CP548" s="664"/>
      <c r="CQ548" s="664"/>
      <c r="CR548" s="664"/>
      <c r="CS548" s="664"/>
      <c r="CT548" s="664"/>
      <c r="CU548" s="664"/>
      <c r="CV548" s="664"/>
      <c r="CW548" s="664"/>
      <c r="CX548" s="664"/>
      <c r="CY548" s="664"/>
      <c r="CZ548" s="664"/>
    </row>
    <row r="549" spans="1:105" ht="15" hidden="1" customHeight="1" x14ac:dyDescent="0.25">
      <c r="A549" s="659" t="s">
        <v>388</v>
      </c>
      <c r="B549" s="659"/>
      <c r="C549" s="659"/>
      <c r="D549" s="659"/>
      <c r="E549" s="659"/>
      <c r="F549" s="659"/>
      <c r="G549" s="659"/>
      <c r="H549" s="584" t="s">
        <v>844</v>
      </c>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5"/>
      <c r="AL549" s="585"/>
      <c r="AM549" s="585"/>
      <c r="AN549" s="585"/>
      <c r="AO549" s="585"/>
      <c r="AP549" s="585"/>
      <c r="AQ549" s="585"/>
      <c r="AR549" s="585"/>
      <c r="AS549" s="585"/>
      <c r="AT549" s="585"/>
      <c r="AU549" s="585"/>
      <c r="AV549" s="585"/>
      <c r="AW549" s="585"/>
      <c r="AX549" s="585"/>
      <c r="AY549" s="585"/>
      <c r="AZ549" s="585"/>
      <c r="BA549" s="585"/>
      <c r="BB549" s="585"/>
      <c r="BC549" s="585"/>
      <c r="BD549" s="585"/>
      <c r="BE549" s="585"/>
      <c r="BF549" s="585"/>
      <c r="BG549" s="585"/>
      <c r="BH549" s="585"/>
      <c r="BI549" s="585"/>
      <c r="BJ549" s="585"/>
      <c r="BK549" s="585"/>
      <c r="BL549" s="585"/>
      <c r="BM549" s="585"/>
      <c r="BN549" s="585"/>
      <c r="BO549" s="585"/>
      <c r="BP549" s="585"/>
      <c r="BQ549" s="585"/>
      <c r="BR549" s="586"/>
      <c r="BS549" s="544">
        <v>1</v>
      </c>
      <c r="BT549" s="545"/>
      <c r="BU549" s="545"/>
      <c r="BV549" s="545"/>
      <c r="BW549" s="545"/>
      <c r="BX549" s="545"/>
      <c r="BY549" s="545"/>
      <c r="BZ549" s="545"/>
      <c r="CA549" s="545"/>
      <c r="CB549" s="545"/>
      <c r="CC549" s="545"/>
      <c r="CD549" s="545"/>
      <c r="CE549" s="545"/>
      <c r="CF549" s="545"/>
      <c r="CG549" s="545"/>
      <c r="CH549" s="546"/>
      <c r="CI549" s="627"/>
      <c r="CJ549" s="628"/>
      <c r="CK549" s="628"/>
      <c r="CL549" s="628"/>
      <c r="CM549" s="628"/>
      <c r="CN549" s="628"/>
      <c r="CO549" s="628"/>
      <c r="CP549" s="628"/>
      <c r="CQ549" s="628"/>
      <c r="CR549" s="628"/>
      <c r="CS549" s="628"/>
      <c r="CT549" s="628"/>
      <c r="CU549" s="628"/>
      <c r="CV549" s="628"/>
      <c r="CW549" s="628"/>
      <c r="CX549" s="628"/>
      <c r="CY549" s="628"/>
      <c r="CZ549" s="629"/>
    </row>
    <row r="550" spans="1:105" ht="15" customHeight="1" x14ac:dyDescent="0.25">
      <c r="A550" s="553" t="s">
        <v>292</v>
      </c>
      <c r="B550" s="554"/>
      <c r="C550" s="554"/>
      <c r="D550" s="554"/>
      <c r="E550" s="554"/>
      <c r="F550" s="554"/>
      <c r="G550" s="554"/>
      <c r="H550" s="554"/>
      <c r="I550" s="554"/>
      <c r="J550" s="554"/>
      <c r="K550" s="554"/>
      <c r="L550" s="554"/>
      <c r="M550" s="554"/>
      <c r="N550" s="554"/>
      <c r="O550" s="554"/>
      <c r="P550" s="554"/>
      <c r="Q550" s="554"/>
      <c r="R550" s="554"/>
      <c r="S550" s="554"/>
      <c r="T550" s="554"/>
      <c r="U550" s="554"/>
      <c r="V550" s="554"/>
      <c r="W550" s="554"/>
      <c r="X550" s="554"/>
      <c r="Y550" s="554"/>
      <c r="Z550" s="554"/>
      <c r="AA550" s="554"/>
      <c r="AB550" s="554"/>
      <c r="AC550" s="554"/>
      <c r="AD550" s="554"/>
      <c r="AE550" s="554"/>
      <c r="AF550" s="554"/>
      <c r="AG550" s="554"/>
      <c r="AH550" s="554"/>
      <c r="AI550" s="554"/>
      <c r="AJ550" s="554"/>
      <c r="AK550" s="554"/>
      <c r="AL550" s="554"/>
      <c r="AM550" s="554"/>
      <c r="AN550" s="554"/>
      <c r="AO550" s="554"/>
      <c r="AP550" s="554"/>
      <c r="AQ550" s="554"/>
      <c r="AR550" s="554"/>
      <c r="AS550" s="554"/>
      <c r="AT550" s="554"/>
      <c r="AU550" s="554"/>
      <c r="AV550" s="554"/>
      <c r="AW550" s="554"/>
      <c r="AX550" s="554"/>
      <c r="AY550" s="554"/>
      <c r="AZ550" s="554"/>
      <c r="BA550" s="554"/>
      <c r="BB550" s="554"/>
      <c r="BC550" s="554"/>
      <c r="BD550" s="554"/>
      <c r="BE550" s="554"/>
      <c r="BF550" s="554"/>
      <c r="BG550" s="554"/>
      <c r="BH550" s="554"/>
      <c r="BI550" s="554"/>
      <c r="BJ550" s="554"/>
      <c r="BK550" s="554"/>
      <c r="BL550" s="554"/>
      <c r="BM550" s="554"/>
      <c r="BN550" s="554"/>
      <c r="BO550" s="554"/>
      <c r="BP550" s="554"/>
      <c r="BQ550" s="554"/>
      <c r="BR550" s="555"/>
      <c r="BS550" s="582" t="s">
        <v>4</v>
      </c>
      <c r="BT550" s="582"/>
      <c r="BU550" s="582"/>
      <c r="BV550" s="582"/>
      <c r="BW550" s="582"/>
      <c r="BX550" s="582"/>
      <c r="BY550" s="582"/>
      <c r="BZ550" s="582"/>
      <c r="CA550" s="582"/>
      <c r="CB550" s="582"/>
      <c r="CC550" s="582"/>
      <c r="CD550" s="582"/>
      <c r="CE550" s="582"/>
      <c r="CF550" s="582"/>
      <c r="CG550" s="582"/>
      <c r="CH550" s="582"/>
      <c r="CI550" s="611">
        <f>SUM(CI511:CZ549)</f>
        <v>4894006.28</v>
      </c>
      <c r="CJ550" s="611"/>
      <c r="CK550" s="611"/>
      <c r="CL550" s="611"/>
      <c r="CM550" s="611"/>
      <c r="CN550" s="611"/>
      <c r="CO550" s="611"/>
      <c r="CP550" s="611"/>
      <c r="CQ550" s="611"/>
      <c r="CR550" s="611"/>
      <c r="CS550" s="611"/>
      <c r="CT550" s="611"/>
      <c r="CU550" s="611"/>
      <c r="CV550" s="611"/>
      <c r="CW550" s="611"/>
      <c r="CX550" s="611"/>
      <c r="CY550" s="611"/>
      <c r="CZ550" s="611"/>
      <c r="DA550" s="243"/>
    </row>
    <row r="551" spans="1:105" ht="15" customHeight="1" x14ac:dyDescent="0.25">
      <c r="A551" s="648" t="s">
        <v>634</v>
      </c>
      <c r="B551" s="657"/>
      <c r="C551" s="657"/>
      <c r="D551" s="657"/>
      <c r="E551" s="657"/>
      <c r="F551" s="657"/>
      <c r="G551" s="657"/>
      <c r="H551" s="657"/>
      <c r="I551" s="657"/>
      <c r="J551" s="657"/>
      <c r="K551" s="657"/>
      <c r="L551" s="657"/>
      <c r="M551" s="657"/>
      <c r="N551" s="657"/>
      <c r="O551" s="657"/>
      <c r="P551" s="657"/>
      <c r="Q551" s="657"/>
      <c r="R551" s="657"/>
      <c r="S551" s="657"/>
      <c r="T551" s="657"/>
      <c r="U551" s="657"/>
      <c r="V551" s="657"/>
      <c r="W551" s="657"/>
      <c r="X551" s="657"/>
      <c r="Y551" s="657"/>
      <c r="Z551" s="657"/>
      <c r="AA551" s="657"/>
      <c r="AB551" s="657"/>
      <c r="AC551" s="657"/>
      <c r="AD551" s="657"/>
      <c r="AE551" s="657"/>
      <c r="AF551" s="657"/>
      <c r="AG551" s="657"/>
      <c r="AH551" s="657"/>
      <c r="AI551" s="657"/>
      <c r="AJ551" s="657"/>
      <c r="AK551" s="657"/>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57"/>
      <c r="BQ551" s="657"/>
      <c r="BR551" s="657"/>
      <c r="BS551" s="657"/>
      <c r="BT551" s="657"/>
      <c r="BU551" s="657"/>
      <c r="BV551" s="657"/>
      <c r="BW551" s="657"/>
      <c r="BX551" s="657"/>
      <c r="BY551" s="657"/>
      <c r="BZ551" s="657"/>
      <c r="CA551" s="657"/>
      <c r="CB551" s="657"/>
      <c r="CC551" s="657"/>
      <c r="CD551" s="657"/>
      <c r="CE551" s="657"/>
      <c r="CF551" s="657"/>
      <c r="CG551" s="657"/>
      <c r="CH551" s="657"/>
      <c r="CI551" s="657"/>
      <c r="CJ551" s="657"/>
      <c r="CK551" s="657"/>
      <c r="CL551" s="657"/>
      <c r="CM551" s="657"/>
      <c r="CN551" s="657"/>
      <c r="CO551" s="657"/>
      <c r="CP551" s="657"/>
      <c r="CQ551" s="657"/>
      <c r="CR551" s="657"/>
      <c r="CS551" s="657"/>
      <c r="CT551" s="657"/>
      <c r="CU551" s="657"/>
      <c r="CV551" s="657"/>
      <c r="CW551" s="657"/>
      <c r="CX551" s="657"/>
      <c r="CY551" s="657"/>
      <c r="CZ551" s="658"/>
    </row>
    <row r="552" spans="1:105" ht="28.5" hidden="1" customHeight="1" x14ac:dyDescent="0.25">
      <c r="A552" s="659" t="s">
        <v>441</v>
      </c>
      <c r="B552" s="659"/>
      <c r="C552" s="659"/>
      <c r="D552" s="659"/>
      <c r="E552" s="659"/>
      <c r="F552" s="659"/>
      <c r="G552" s="659"/>
      <c r="H552" s="584" t="s">
        <v>839</v>
      </c>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5"/>
      <c r="AL552" s="585"/>
      <c r="AM552" s="585"/>
      <c r="AN552" s="585"/>
      <c r="AO552" s="585"/>
      <c r="AP552" s="585"/>
      <c r="AQ552" s="585"/>
      <c r="AR552" s="585"/>
      <c r="AS552" s="585"/>
      <c r="AT552" s="585"/>
      <c r="AU552" s="585"/>
      <c r="AV552" s="585"/>
      <c r="AW552" s="585"/>
      <c r="AX552" s="585"/>
      <c r="AY552" s="585"/>
      <c r="AZ552" s="585"/>
      <c r="BA552" s="585"/>
      <c r="BB552" s="585"/>
      <c r="BC552" s="585"/>
      <c r="BD552" s="585"/>
      <c r="BE552" s="585"/>
      <c r="BF552" s="585"/>
      <c r="BG552" s="585"/>
      <c r="BH552" s="585"/>
      <c r="BI552" s="585"/>
      <c r="BJ552" s="585"/>
      <c r="BK552" s="585"/>
      <c r="BL552" s="585"/>
      <c r="BM552" s="585"/>
      <c r="BN552" s="585"/>
      <c r="BO552" s="585"/>
      <c r="BP552" s="585"/>
      <c r="BQ552" s="585"/>
      <c r="BR552" s="586"/>
      <c r="BS552" s="582">
        <v>1</v>
      </c>
      <c r="BT552" s="582"/>
      <c r="BU552" s="582"/>
      <c r="BV552" s="582"/>
      <c r="BW552" s="582"/>
      <c r="BX552" s="582"/>
      <c r="BY552" s="582"/>
      <c r="BZ552" s="582"/>
      <c r="CA552" s="582"/>
      <c r="CB552" s="582"/>
      <c r="CC552" s="582"/>
      <c r="CD552" s="582"/>
      <c r="CE552" s="582"/>
      <c r="CF552" s="582"/>
      <c r="CG552" s="582"/>
      <c r="CH552" s="582"/>
      <c r="CI552" s="664"/>
      <c r="CJ552" s="664"/>
      <c r="CK552" s="664"/>
      <c r="CL552" s="664"/>
      <c r="CM552" s="664"/>
      <c r="CN552" s="664"/>
      <c r="CO552" s="664"/>
      <c r="CP552" s="664"/>
      <c r="CQ552" s="664"/>
      <c r="CR552" s="664"/>
      <c r="CS552" s="664"/>
      <c r="CT552" s="664"/>
      <c r="CU552" s="664"/>
      <c r="CV552" s="664"/>
      <c r="CW552" s="664"/>
      <c r="CX552" s="664"/>
      <c r="CY552" s="664"/>
      <c r="CZ552" s="664"/>
    </row>
    <row r="553" spans="1:105" ht="16.5" hidden="1" customHeight="1" x14ac:dyDescent="0.25">
      <c r="A553" s="659" t="s">
        <v>444</v>
      </c>
      <c r="B553" s="659"/>
      <c r="C553" s="659"/>
      <c r="D553" s="659"/>
      <c r="E553" s="659"/>
      <c r="F553" s="659"/>
      <c r="G553" s="659"/>
      <c r="H553" s="584" t="s">
        <v>680</v>
      </c>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5"/>
      <c r="AL553" s="585"/>
      <c r="AM553" s="585"/>
      <c r="AN553" s="585"/>
      <c r="AO553" s="585"/>
      <c r="AP553" s="585"/>
      <c r="AQ553" s="585"/>
      <c r="AR553" s="585"/>
      <c r="AS553" s="585"/>
      <c r="AT553" s="585"/>
      <c r="AU553" s="585"/>
      <c r="AV553" s="585"/>
      <c r="AW553" s="585"/>
      <c r="AX553" s="585"/>
      <c r="AY553" s="585"/>
      <c r="AZ553" s="585"/>
      <c r="BA553" s="585"/>
      <c r="BB553" s="585"/>
      <c r="BC553" s="585"/>
      <c r="BD553" s="585"/>
      <c r="BE553" s="585"/>
      <c r="BF553" s="585"/>
      <c r="BG553" s="585"/>
      <c r="BH553" s="585"/>
      <c r="BI553" s="585"/>
      <c r="BJ553" s="585"/>
      <c r="BK553" s="585"/>
      <c r="BL553" s="585"/>
      <c r="BM553" s="585"/>
      <c r="BN553" s="585"/>
      <c r="BO553" s="585"/>
      <c r="BP553" s="585"/>
      <c r="BQ553" s="585"/>
      <c r="BR553" s="586"/>
      <c r="BS553" s="582"/>
      <c r="BT553" s="582"/>
      <c r="BU553" s="582"/>
      <c r="BV553" s="582"/>
      <c r="BW553" s="582"/>
      <c r="BX553" s="582"/>
      <c r="BY553" s="582"/>
      <c r="BZ553" s="582"/>
      <c r="CA553" s="582"/>
      <c r="CB553" s="582"/>
      <c r="CC553" s="582"/>
      <c r="CD553" s="582"/>
      <c r="CE553" s="582"/>
      <c r="CF553" s="582"/>
      <c r="CG553" s="582"/>
      <c r="CH553" s="582"/>
      <c r="CI553" s="664"/>
      <c r="CJ553" s="664"/>
      <c r="CK553" s="664"/>
      <c r="CL553" s="664"/>
      <c r="CM553" s="664"/>
      <c r="CN553" s="664"/>
      <c r="CO553" s="664"/>
      <c r="CP553" s="664"/>
      <c r="CQ553" s="664"/>
      <c r="CR553" s="664"/>
      <c r="CS553" s="664"/>
      <c r="CT553" s="664"/>
      <c r="CU553" s="664"/>
      <c r="CV553" s="664"/>
      <c r="CW553" s="664"/>
      <c r="CX553" s="664"/>
      <c r="CY553" s="664"/>
      <c r="CZ553" s="664"/>
    </row>
    <row r="554" spans="1:105" ht="16.5" customHeight="1" x14ac:dyDescent="0.25">
      <c r="A554" s="659" t="s">
        <v>444</v>
      </c>
      <c r="B554" s="659"/>
      <c r="C554" s="659"/>
      <c r="D554" s="659"/>
      <c r="E554" s="659"/>
      <c r="F554" s="659"/>
      <c r="G554" s="659"/>
      <c r="H554" s="584" t="s">
        <v>661</v>
      </c>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5"/>
      <c r="AL554" s="585"/>
      <c r="AM554" s="585"/>
      <c r="AN554" s="585"/>
      <c r="AO554" s="585"/>
      <c r="AP554" s="585"/>
      <c r="AQ554" s="585"/>
      <c r="AR554" s="585"/>
      <c r="AS554" s="585"/>
      <c r="AT554" s="585"/>
      <c r="AU554" s="585"/>
      <c r="AV554" s="585"/>
      <c r="AW554" s="585"/>
      <c r="AX554" s="585"/>
      <c r="AY554" s="585"/>
      <c r="AZ554" s="585"/>
      <c r="BA554" s="585"/>
      <c r="BB554" s="585"/>
      <c r="BC554" s="585"/>
      <c r="BD554" s="585"/>
      <c r="BE554" s="585"/>
      <c r="BF554" s="585"/>
      <c r="BG554" s="585"/>
      <c r="BH554" s="585"/>
      <c r="BI554" s="585"/>
      <c r="BJ554" s="585"/>
      <c r="BK554" s="585"/>
      <c r="BL554" s="585"/>
      <c r="BM554" s="585"/>
      <c r="BN554" s="585"/>
      <c r="BO554" s="585"/>
      <c r="BP554" s="585"/>
      <c r="BQ554" s="585"/>
      <c r="BR554" s="586"/>
      <c r="BS554" s="582">
        <v>1</v>
      </c>
      <c r="BT554" s="582"/>
      <c r="BU554" s="582"/>
      <c r="BV554" s="582"/>
      <c r="BW554" s="582"/>
      <c r="BX554" s="582"/>
      <c r="BY554" s="582"/>
      <c r="BZ554" s="582"/>
      <c r="CA554" s="582"/>
      <c r="CB554" s="582"/>
      <c r="CC554" s="582"/>
      <c r="CD554" s="582"/>
      <c r="CE554" s="582"/>
      <c r="CF554" s="582"/>
      <c r="CG554" s="582"/>
      <c r="CH554" s="582"/>
      <c r="CI554" s="664">
        <f>9751997-143954.7</f>
        <v>9608042.3000000007</v>
      </c>
      <c r="CJ554" s="664"/>
      <c r="CK554" s="664"/>
      <c r="CL554" s="664"/>
      <c r="CM554" s="664"/>
      <c r="CN554" s="664"/>
      <c r="CO554" s="664"/>
      <c r="CP554" s="664"/>
      <c r="CQ554" s="664"/>
      <c r="CR554" s="664"/>
      <c r="CS554" s="664"/>
      <c r="CT554" s="664"/>
      <c r="CU554" s="664"/>
      <c r="CV554" s="664"/>
      <c r="CW554" s="664"/>
      <c r="CX554" s="664"/>
      <c r="CY554" s="664"/>
      <c r="CZ554" s="664"/>
    </row>
    <row r="555" spans="1:105" ht="16.5" customHeight="1" x14ac:dyDescent="0.25">
      <c r="A555" s="659" t="s">
        <v>446</v>
      </c>
      <c r="B555" s="659"/>
      <c r="C555" s="659"/>
      <c r="D555" s="659"/>
      <c r="E555" s="659"/>
      <c r="F555" s="659"/>
      <c r="G555" s="659"/>
      <c r="H555" s="584" t="s">
        <v>681</v>
      </c>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5"/>
      <c r="BI555" s="585"/>
      <c r="BJ555" s="585"/>
      <c r="BK555" s="585"/>
      <c r="BL555" s="585"/>
      <c r="BM555" s="585"/>
      <c r="BN555" s="585"/>
      <c r="BO555" s="585"/>
      <c r="BP555" s="585"/>
      <c r="BQ555" s="585"/>
      <c r="BR555" s="586"/>
      <c r="BS555" s="582">
        <v>2</v>
      </c>
      <c r="BT555" s="582"/>
      <c r="BU555" s="582"/>
      <c r="BV555" s="582"/>
      <c r="BW555" s="582"/>
      <c r="BX555" s="582"/>
      <c r="BY555" s="582"/>
      <c r="BZ555" s="582"/>
      <c r="CA555" s="582"/>
      <c r="CB555" s="582"/>
      <c r="CC555" s="582"/>
      <c r="CD555" s="582"/>
      <c r="CE555" s="582"/>
      <c r="CF555" s="582"/>
      <c r="CG555" s="582"/>
      <c r="CH555" s="582"/>
      <c r="CI555" s="664">
        <v>0</v>
      </c>
      <c r="CJ555" s="664"/>
      <c r="CK555" s="664"/>
      <c r="CL555" s="664"/>
      <c r="CM555" s="664"/>
      <c r="CN555" s="664"/>
      <c r="CO555" s="664"/>
      <c r="CP555" s="664"/>
      <c r="CQ555" s="664"/>
      <c r="CR555" s="664"/>
      <c r="CS555" s="664"/>
      <c r="CT555" s="664"/>
      <c r="CU555" s="664"/>
      <c r="CV555" s="664"/>
      <c r="CW555" s="664"/>
      <c r="CX555" s="664"/>
      <c r="CY555" s="664"/>
      <c r="CZ555" s="664"/>
    </row>
    <row r="556" spans="1:105" ht="15" customHeight="1" x14ac:dyDescent="0.25">
      <c r="A556" s="553" t="s">
        <v>292</v>
      </c>
      <c r="B556" s="554"/>
      <c r="C556" s="554"/>
      <c r="D556" s="554"/>
      <c r="E556" s="554"/>
      <c r="F556" s="554"/>
      <c r="G556" s="554"/>
      <c r="H556" s="554"/>
      <c r="I556" s="554"/>
      <c r="J556" s="554"/>
      <c r="K556" s="554"/>
      <c r="L556" s="554"/>
      <c r="M556" s="554"/>
      <c r="N556" s="554"/>
      <c r="O556" s="554"/>
      <c r="P556" s="554"/>
      <c r="Q556" s="554"/>
      <c r="R556" s="554"/>
      <c r="S556" s="554"/>
      <c r="T556" s="554"/>
      <c r="U556" s="554"/>
      <c r="V556" s="554"/>
      <c r="W556" s="554"/>
      <c r="X556" s="554"/>
      <c r="Y556" s="554"/>
      <c r="Z556" s="554"/>
      <c r="AA556" s="554"/>
      <c r="AB556" s="554"/>
      <c r="AC556" s="554"/>
      <c r="AD556" s="554"/>
      <c r="AE556" s="554"/>
      <c r="AF556" s="554"/>
      <c r="AG556" s="554"/>
      <c r="AH556" s="554"/>
      <c r="AI556" s="554"/>
      <c r="AJ556" s="554"/>
      <c r="AK556" s="554"/>
      <c r="AL556" s="554"/>
      <c r="AM556" s="554"/>
      <c r="AN556" s="554"/>
      <c r="AO556" s="554"/>
      <c r="AP556" s="554"/>
      <c r="AQ556" s="554"/>
      <c r="AR556" s="554"/>
      <c r="AS556" s="554"/>
      <c r="AT556" s="554"/>
      <c r="AU556" s="554"/>
      <c r="AV556" s="554"/>
      <c r="AW556" s="554"/>
      <c r="AX556" s="554"/>
      <c r="AY556" s="554"/>
      <c r="AZ556" s="554"/>
      <c r="BA556" s="554"/>
      <c r="BB556" s="554"/>
      <c r="BC556" s="554"/>
      <c r="BD556" s="554"/>
      <c r="BE556" s="554"/>
      <c r="BF556" s="554"/>
      <c r="BG556" s="554"/>
      <c r="BH556" s="554"/>
      <c r="BI556" s="554"/>
      <c r="BJ556" s="554"/>
      <c r="BK556" s="554"/>
      <c r="BL556" s="554"/>
      <c r="BM556" s="554"/>
      <c r="BN556" s="554"/>
      <c r="BO556" s="554"/>
      <c r="BP556" s="554"/>
      <c r="BQ556" s="554"/>
      <c r="BR556" s="555"/>
      <c r="BS556" s="582" t="s">
        <v>4</v>
      </c>
      <c r="BT556" s="582"/>
      <c r="BU556" s="582"/>
      <c r="BV556" s="582"/>
      <c r="BW556" s="582"/>
      <c r="BX556" s="582"/>
      <c r="BY556" s="582"/>
      <c r="BZ556" s="582"/>
      <c r="CA556" s="582"/>
      <c r="CB556" s="582"/>
      <c r="CC556" s="582"/>
      <c r="CD556" s="582"/>
      <c r="CE556" s="582"/>
      <c r="CF556" s="582"/>
      <c r="CG556" s="582"/>
      <c r="CH556" s="582"/>
      <c r="CI556" s="611">
        <f>CI552+CI553+CI554+CI555</f>
        <v>9608042.3000000007</v>
      </c>
      <c r="CJ556" s="611"/>
      <c r="CK556" s="611"/>
      <c r="CL556" s="611"/>
      <c r="CM556" s="611"/>
      <c r="CN556" s="611"/>
      <c r="CO556" s="611"/>
      <c r="CP556" s="611"/>
      <c r="CQ556" s="611"/>
      <c r="CR556" s="611"/>
      <c r="CS556" s="611"/>
      <c r="CT556" s="611"/>
      <c r="CU556" s="611"/>
      <c r="CV556" s="611"/>
      <c r="CW556" s="611"/>
      <c r="CX556" s="611"/>
      <c r="CY556" s="611"/>
      <c r="CZ556" s="611"/>
    </row>
    <row r="557" spans="1:105" ht="15" hidden="1" customHeight="1" x14ac:dyDescent="0.25">
      <c r="A557" s="648" t="s">
        <v>573</v>
      </c>
      <c r="B557" s="649"/>
      <c r="C557" s="649"/>
      <c r="D557" s="649"/>
      <c r="E557" s="649"/>
      <c r="F557" s="649"/>
      <c r="G557" s="649"/>
      <c r="H557" s="649"/>
      <c r="I557" s="649"/>
      <c r="J557" s="649"/>
      <c r="K557" s="649"/>
      <c r="L557" s="649"/>
      <c r="M557" s="649"/>
      <c r="N557" s="649"/>
      <c r="O557" s="649"/>
      <c r="P557" s="649"/>
      <c r="Q557" s="649"/>
      <c r="R557" s="649"/>
      <c r="S557" s="649"/>
      <c r="T557" s="649"/>
      <c r="U557" s="649"/>
      <c r="V557" s="649"/>
      <c r="W557" s="649"/>
      <c r="X557" s="649"/>
      <c r="Y557" s="649"/>
      <c r="Z557" s="649"/>
      <c r="AA557" s="649"/>
      <c r="AB557" s="649"/>
      <c r="AC557" s="649"/>
      <c r="AD557" s="649"/>
      <c r="AE557" s="649"/>
      <c r="AF557" s="649"/>
      <c r="AG557" s="649"/>
      <c r="AH557" s="649"/>
      <c r="AI557" s="649"/>
      <c r="AJ557" s="649"/>
      <c r="AK557" s="649"/>
      <c r="AL557" s="649"/>
      <c r="AM557" s="649"/>
      <c r="AN557" s="649"/>
      <c r="AO557" s="649"/>
      <c r="AP557" s="649"/>
      <c r="AQ557" s="649"/>
      <c r="AR557" s="649"/>
      <c r="AS557" s="649"/>
      <c r="AT557" s="649"/>
      <c r="AU557" s="649"/>
      <c r="AV557" s="649"/>
      <c r="AW557" s="649"/>
      <c r="AX557" s="649"/>
      <c r="AY557" s="649"/>
      <c r="AZ557" s="649"/>
      <c r="BA557" s="649"/>
      <c r="BB557" s="649"/>
      <c r="BC557" s="649"/>
      <c r="BD557" s="649"/>
      <c r="BE557" s="649"/>
      <c r="BF557" s="649"/>
      <c r="BG557" s="649"/>
      <c r="BH557" s="649"/>
      <c r="BI557" s="649"/>
      <c r="BJ557" s="649"/>
      <c r="BK557" s="649"/>
      <c r="BL557" s="649"/>
      <c r="BM557" s="649"/>
      <c r="BN557" s="649"/>
      <c r="BO557" s="649"/>
      <c r="BP557" s="649"/>
      <c r="BQ557" s="649"/>
      <c r="BR557" s="649"/>
      <c r="BS557" s="649"/>
      <c r="BT557" s="649"/>
      <c r="BU557" s="649"/>
      <c r="BV557" s="649"/>
      <c r="BW557" s="649"/>
      <c r="BX557" s="649"/>
      <c r="BY557" s="649"/>
      <c r="BZ557" s="649"/>
      <c r="CA557" s="649"/>
      <c r="CB557" s="649"/>
      <c r="CC557" s="649"/>
      <c r="CD557" s="649"/>
      <c r="CE557" s="649"/>
      <c r="CF557" s="649"/>
      <c r="CG557" s="649"/>
      <c r="CH557" s="649"/>
      <c r="CI557" s="649"/>
      <c r="CJ557" s="649"/>
      <c r="CK557" s="649"/>
      <c r="CL557" s="649"/>
      <c r="CM557" s="649"/>
      <c r="CN557" s="649"/>
      <c r="CO557" s="649"/>
      <c r="CP557" s="649"/>
      <c r="CQ557" s="649"/>
      <c r="CR557" s="649"/>
      <c r="CS557" s="649"/>
      <c r="CT557" s="649"/>
      <c r="CU557" s="649"/>
      <c r="CV557" s="649"/>
      <c r="CW557" s="649"/>
      <c r="CX557" s="649"/>
      <c r="CY557" s="649"/>
      <c r="CZ557" s="649"/>
    </row>
    <row r="558" spans="1:105" ht="39" hidden="1" customHeight="1" x14ac:dyDescent="0.25">
      <c r="A558" s="659" t="s">
        <v>441</v>
      </c>
      <c r="B558" s="659"/>
      <c r="C558" s="659"/>
      <c r="D558" s="659"/>
      <c r="E558" s="659"/>
      <c r="F558" s="659"/>
      <c r="G558" s="659"/>
      <c r="H558" s="584" t="s">
        <v>682</v>
      </c>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5"/>
      <c r="AL558" s="585"/>
      <c r="AM558" s="585"/>
      <c r="AN558" s="585"/>
      <c r="AO558" s="585"/>
      <c r="AP558" s="585"/>
      <c r="AQ558" s="585"/>
      <c r="AR558" s="585"/>
      <c r="AS558" s="585"/>
      <c r="AT558" s="585"/>
      <c r="AU558" s="585"/>
      <c r="AV558" s="585"/>
      <c r="AW558" s="585"/>
      <c r="AX558" s="585"/>
      <c r="AY558" s="585"/>
      <c r="AZ558" s="585"/>
      <c r="BA558" s="585"/>
      <c r="BB558" s="585"/>
      <c r="BC558" s="585"/>
      <c r="BD558" s="585"/>
      <c r="BE558" s="585"/>
      <c r="BF558" s="585"/>
      <c r="BG558" s="585"/>
      <c r="BH558" s="585"/>
      <c r="BI558" s="585"/>
      <c r="BJ558" s="585"/>
      <c r="BK558" s="585"/>
      <c r="BL558" s="585"/>
      <c r="BM558" s="585"/>
      <c r="BN558" s="585"/>
      <c r="BO558" s="585"/>
      <c r="BP558" s="585"/>
      <c r="BQ558" s="585"/>
      <c r="BR558" s="586"/>
      <c r="BS558" s="582"/>
      <c r="BT558" s="582"/>
      <c r="BU558" s="582"/>
      <c r="BV558" s="582"/>
      <c r="BW558" s="582"/>
      <c r="BX558" s="582"/>
      <c r="BY558" s="582"/>
      <c r="BZ558" s="582"/>
      <c r="CA558" s="582"/>
      <c r="CB558" s="582"/>
      <c r="CC558" s="582"/>
      <c r="CD558" s="582"/>
      <c r="CE558" s="582"/>
      <c r="CF558" s="582"/>
      <c r="CG558" s="582"/>
      <c r="CH558" s="582"/>
      <c r="CI558" s="664"/>
      <c r="CJ558" s="664"/>
      <c r="CK558" s="664"/>
      <c r="CL558" s="664"/>
      <c r="CM558" s="664"/>
      <c r="CN558" s="664"/>
      <c r="CO558" s="664"/>
      <c r="CP558" s="664"/>
      <c r="CQ558" s="664"/>
      <c r="CR558" s="664"/>
      <c r="CS558" s="664"/>
      <c r="CT558" s="664"/>
      <c r="CU558" s="664"/>
      <c r="CV558" s="664"/>
      <c r="CW558" s="664"/>
      <c r="CX558" s="664"/>
      <c r="CY558" s="664"/>
      <c r="CZ558" s="664"/>
    </row>
    <row r="559" spans="1:105" ht="18" hidden="1" customHeight="1" x14ac:dyDescent="0.25">
      <c r="A559" s="659" t="s">
        <v>444</v>
      </c>
      <c r="B559" s="659"/>
      <c r="C559" s="659"/>
      <c r="D559" s="659"/>
      <c r="E559" s="659"/>
      <c r="F559" s="659"/>
      <c r="G559" s="659"/>
      <c r="H559" s="584" t="s">
        <v>683</v>
      </c>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5"/>
      <c r="AL559" s="585"/>
      <c r="AM559" s="585"/>
      <c r="AN559" s="585"/>
      <c r="AO559" s="585"/>
      <c r="AP559" s="585"/>
      <c r="AQ559" s="585"/>
      <c r="AR559" s="585"/>
      <c r="AS559" s="585"/>
      <c r="AT559" s="585"/>
      <c r="AU559" s="585"/>
      <c r="AV559" s="585"/>
      <c r="AW559" s="585"/>
      <c r="AX559" s="585"/>
      <c r="AY559" s="585"/>
      <c r="AZ559" s="585"/>
      <c r="BA559" s="585"/>
      <c r="BB559" s="585"/>
      <c r="BC559" s="585"/>
      <c r="BD559" s="585"/>
      <c r="BE559" s="585"/>
      <c r="BF559" s="585"/>
      <c r="BG559" s="585"/>
      <c r="BH559" s="585"/>
      <c r="BI559" s="585"/>
      <c r="BJ559" s="585"/>
      <c r="BK559" s="585"/>
      <c r="BL559" s="585"/>
      <c r="BM559" s="585"/>
      <c r="BN559" s="585"/>
      <c r="BO559" s="585"/>
      <c r="BP559" s="585"/>
      <c r="BQ559" s="585"/>
      <c r="BR559" s="586"/>
      <c r="BS559" s="582"/>
      <c r="BT559" s="582"/>
      <c r="BU559" s="582"/>
      <c r="BV559" s="582"/>
      <c r="BW559" s="582"/>
      <c r="BX559" s="582"/>
      <c r="BY559" s="582"/>
      <c r="BZ559" s="582"/>
      <c r="CA559" s="582"/>
      <c r="CB559" s="582"/>
      <c r="CC559" s="582"/>
      <c r="CD559" s="582"/>
      <c r="CE559" s="582"/>
      <c r="CF559" s="582"/>
      <c r="CG559" s="582"/>
      <c r="CH559" s="582"/>
      <c r="CI559" s="664"/>
      <c r="CJ559" s="664"/>
      <c r="CK559" s="664"/>
      <c r="CL559" s="664"/>
      <c r="CM559" s="664"/>
      <c r="CN559" s="664"/>
      <c r="CO559" s="664"/>
      <c r="CP559" s="664"/>
      <c r="CQ559" s="664"/>
      <c r="CR559" s="664"/>
      <c r="CS559" s="664"/>
      <c r="CT559" s="664"/>
      <c r="CU559" s="664"/>
      <c r="CV559" s="664"/>
      <c r="CW559" s="664"/>
      <c r="CX559" s="664"/>
      <c r="CY559" s="664"/>
      <c r="CZ559" s="664"/>
    </row>
    <row r="560" spans="1:105" ht="18" hidden="1" customHeight="1" x14ac:dyDescent="0.25">
      <c r="A560" s="659" t="s">
        <v>446</v>
      </c>
      <c r="B560" s="659"/>
      <c r="C560" s="659"/>
      <c r="D560" s="659"/>
      <c r="E560" s="659"/>
      <c r="F560" s="659"/>
      <c r="G560" s="659"/>
      <c r="H560" s="584" t="s">
        <v>684</v>
      </c>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5"/>
      <c r="AL560" s="585"/>
      <c r="AM560" s="585"/>
      <c r="AN560" s="585"/>
      <c r="AO560" s="585"/>
      <c r="AP560" s="585"/>
      <c r="AQ560" s="585"/>
      <c r="AR560" s="585"/>
      <c r="AS560" s="585"/>
      <c r="AT560" s="585"/>
      <c r="AU560" s="585"/>
      <c r="AV560" s="585"/>
      <c r="AW560" s="585"/>
      <c r="AX560" s="585"/>
      <c r="AY560" s="585"/>
      <c r="AZ560" s="585"/>
      <c r="BA560" s="585"/>
      <c r="BB560" s="585"/>
      <c r="BC560" s="585"/>
      <c r="BD560" s="585"/>
      <c r="BE560" s="585"/>
      <c r="BF560" s="585"/>
      <c r="BG560" s="585"/>
      <c r="BH560" s="585"/>
      <c r="BI560" s="585"/>
      <c r="BJ560" s="585"/>
      <c r="BK560" s="585"/>
      <c r="BL560" s="585"/>
      <c r="BM560" s="585"/>
      <c r="BN560" s="585"/>
      <c r="BO560" s="585"/>
      <c r="BP560" s="585"/>
      <c r="BQ560" s="585"/>
      <c r="BR560" s="586"/>
      <c r="BS560" s="582"/>
      <c r="BT560" s="582"/>
      <c r="BU560" s="582"/>
      <c r="BV560" s="582"/>
      <c r="BW560" s="582"/>
      <c r="BX560" s="582"/>
      <c r="BY560" s="582"/>
      <c r="BZ560" s="582"/>
      <c r="CA560" s="582"/>
      <c r="CB560" s="582"/>
      <c r="CC560" s="582"/>
      <c r="CD560" s="582"/>
      <c r="CE560" s="582"/>
      <c r="CF560" s="582"/>
      <c r="CG560" s="582"/>
      <c r="CH560" s="582"/>
      <c r="CI560" s="664"/>
      <c r="CJ560" s="664"/>
      <c r="CK560" s="664"/>
      <c r="CL560" s="664"/>
      <c r="CM560" s="664"/>
      <c r="CN560" s="664"/>
      <c r="CO560" s="664"/>
      <c r="CP560" s="664"/>
      <c r="CQ560" s="664"/>
      <c r="CR560" s="664"/>
      <c r="CS560" s="664"/>
      <c r="CT560" s="664"/>
      <c r="CU560" s="664"/>
      <c r="CV560" s="664"/>
      <c r="CW560" s="664"/>
      <c r="CX560" s="664"/>
      <c r="CY560" s="664"/>
      <c r="CZ560" s="664"/>
    </row>
    <row r="561" spans="1:105" ht="15" hidden="1" customHeight="1" x14ac:dyDescent="0.25">
      <c r="A561" s="553" t="s">
        <v>292</v>
      </c>
      <c r="B561" s="554"/>
      <c r="C561" s="554"/>
      <c r="D561" s="554"/>
      <c r="E561" s="554"/>
      <c r="F561" s="554"/>
      <c r="G561" s="554"/>
      <c r="H561" s="554"/>
      <c r="I561" s="554"/>
      <c r="J561" s="554"/>
      <c r="K561" s="554"/>
      <c r="L561" s="554"/>
      <c r="M561" s="554"/>
      <c r="N561" s="554"/>
      <c r="O561" s="554"/>
      <c r="P561" s="554"/>
      <c r="Q561" s="554"/>
      <c r="R561" s="554"/>
      <c r="S561" s="554"/>
      <c r="T561" s="554"/>
      <c r="U561" s="554"/>
      <c r="V561" s="554"/>
      <c r="W561" s="554"/>
      <c r="X561" s="554"/>
      <c r="Y561" s="554"/>
      <c r="Z561" s="554"/>
      <c r="AA561" s="554"/>
      <c r="AB561" s="554"/>
      <c r="AC561" s="554"/>
      <c r="AD561" s="554"/>
      <c r="AE561" s="554"/>
      <c r="AF561" s="554"/>
      <c r="AG561" s="554"/>
      <c r="AH561" s="554"/>
      <c r="AI561" s="554"/>
      <c r="AJ561" s="554"/>
      <c r="AK561" s="554"/>
      <c r="AL561" s="554"/>
      <c r="AM561" s="554"/>
      <c r="AN561" s="554"/>
      <c r="AO561" s="554"/>
      <c r="AP561" s="554"/>
      <c r="AQ561" s="554"/>
      <c r="AR561" s="554"/>
      <c r="AS561" s="554"/>
      <c r="AT561" s="554"/>
      <c r="AU561" s="554"/>
      <c r="AV561" s="554"/>
      <c r="AW561" s="554"/>
      <c r="AX561" s="554"/>
      <c r="AY561" s="554"/>
      <c r="AZ561" s="554"/>
      <c r="BA561" s="554"/>
      <c r="BB561" s="554"/>
      <c r="BC561" s="554"/>
      <c r="BD561" s="554"/>
      <c r="BE561" s="554"/>
      <c r="BF561" s="554"/>
      <c r="BG561" s="554"/>
      <c r="BH561" s="554"/>
      <c r="BI561" s="554"/>
      <c r="BJ561" s="554"/>
      <c r="BK561" s="554"/>
      <c r="BL561" s="554"/>
      <c r="BM561" s="554"/>
      <c r="BN561" s="554"/>
      <c r="BO561" s="554"/>
      <c r="BP561" s="554"/>
      <c r="BQ561" s="554"/>
      <c r="BR561" s="555"/>
      <c r="BS561" s="582" t="s">
        <v>4</v>
      </c>
      <c r="BT561" s="582"/>
      <c r="BU561" s="582"/>
      <c r="BV561" s="582"/>
      <c r="BW561" s="582"/>
      <c r="BX561" s="582"/>
      <c r="BY561" s="582"/>
      <c r="BZ561" s="582"/>
      <c r="CA561" s="582"/>
      <c r="CB561" s="582"/>
      <c r="CC561" s="582"/>
      <c r="CD561" s="582"/>
      <c r="CE561" s="582"/>
      <c r="CF561" s="582"/>
      <c r="CG561" s="582"/>
      <c r="CH561" s="582"/>
      <c r="CI561" s="611">
        <f>CI558+CI559+CI560</f>
        <v>0</v>
      </c>
      <c r="CJ561" s="611"/>
      <c r="CK561" s="611"/>
      <c r="CL561" s="611"/>
      <c r="CM561" s="611"/>
      <c r="CN561" s="611"/>
      <c r="CO561" s="611"/>
      <c r="CP561" s="611"/>
      <c r="CQ561" s="611"/>
      <c r="CR561" s="611"/>
      <c r="CS561" s="611"/>
      <c r="CT561" s="611"/>
      <c r="CU561" s="611"/>
      <c r="CV561" s="611"/>
      <c r="CW561" s="611"/>
      <c r="CX561" s="611"/>
      <c r="CY561" s="611"/>
      <c r="CZ561" s="611"/>
    </row>
    <row r="562" spans="1:105" ht="15" hidden="1" customHeight="1" x14ac:dyDescent="0.25">
      <c r="A562" s="648" t="s">
        <v>573</v>
      </c>
      <c r="B562" s="649"/>
      <c r="C562" s="649"/>
      <c r="D562" s="649"/>
      <c r="E562" s="649"/>
      <c r="F562" s="649"/>
      <c r="G562" s="649"/>
      <c r="H562" s="649"/>
      <c r="I562" s="649"/>
      <c r="J562" s="649"/>
      <c r="K562" s="649"/>
      <c r="L562" s="649"/>
      <c r="M562" s="649"/>
      <c r="N562" s="649"/>
      <c r="O562" s="649"/>
      <c r="P562" s="649"/>
      <c r="Q562" s="649"/>
      <c r="R562" s="649"/>
      <c r="S562" s="649"/>
      <c r="T562" s="649"/>
      <c r="U562" s="649"/>
      <c r="V562" s="649"/>
      <c r="W562" s="649"/>
      <c r="X562" s="649"/>
      <c r="Y562" s="649"/>
      <c r="Z562" s="649"/>
      <c r="AA562" s="649"/>
      <c r="AB562" s="649"/>
      <c r="AC562" s="649"/>
      <c r="AD562" s="649"/>
      <c r="AE562" s="649"/>
      <c r="AF562" s="649"/>
      <c r="AG562" s="649"/>
      <c r="AH562" s="649"/>
      <c r="AI562" s="649"/>
      <c r="AJ562" s="649"/>
      <c r="AK562" s="649"/>
      <c r="AL562" s="649"/>
      <c r="AM562" s="649"/>
      <c r="AN562" s="649"/>
      <c r="AO562" s="649"/>
      <c r="AP562" s="649"/>
      <c r="AQ562" s="649"/>
      <c r="AR562" s="649"/>
      <c r="AS562" s="649"/>
      <c r="AT562" s="649"/>
      <c r="AU562" s="649"/>
      <c r="AV562" s="649"/>
      <c r="AW562" s="649"/>
      <c r="AX562" s="649"/>
      <c r="AY562" s="649"/>
      <c r="AZ562" s="649"/>
      <c r="BA562" s="649"/>
      <c r="BB562" s="649"/>
      <c r="BC562" s="649"/>
      <c r="BD562" s="649"/>
      <c r="BE562" s="649"/>
      <c r="BF562" s="649"/>
      <c r="BG562" s="649"/>
      <c r="BH562" s="649"/>
      <c r="BI562" s="649"/>
      <c r="BJ562" s="649"/>
      <c r="BK562" s="649"/>
      <c r="BL562" s="649"/>
      <c r="BM562" s="649"/>
      <c r="BN562" s="649"/>
      <c r="BO562" s="649"/>
      <c r="BP562" s="649"/>
      <c r="BQ562" s="649"/>
      <c r="BR562" s="649"/>
      <c r="BS562" s="649"/>
      <c r="BT562" s="649"/>
      <c r="BU562" s="649"/>
      <c r="BV562" s="649"/>
      <c r="BW562" s="649"/>
      <c r="BX562" s="649"/>
      <c r="BY562" s="649"/>
      <c r="BZ562" s="649"/>
      <c r="CA562" s="649"/>
      <c r="CB562" s="649"/>
      <c r="CC562" s="649"/>
      <c r="CD562" s="649"/>
      <c r="CE562" s="649"/>
      <c r="CF562" s="649"/>
      <c r="CG562" s="649"/>
      <c r="CH562" s="649"/>
      <c r="CI562" s="649"/>
      <c r="CJ562" s="649"/>
      <c r="CK562" s="649"/>
      <c r="CL562" s="649"/>
      <c r="CM562" s="649"/>
      <c r="CN562" s="649"/>
      <c r="CO562" s="649"/>
      <c r="CP562" s="649"/>
      <c r="CQ562" s="649"/>
      <c r="CR562" s="649"/>
      <c r="CS562" s="649"/>
      <c r="CT562" s="649"/>
      <c r="CU562" s="649"/>
      <c r="CV562" s="649"/>
      <c r="CW562" s="649"/>
      <c r="CX562" s="649"/>
      <c r="CY562" s="649"/>
      <c r="CZ562" s="649"/>
    </row>
    <row r="563" spans="1:105" ht="30" hidden="1" customHeight="1" x14ac:dyDescent="0.25">
      <c r="A563" s="659" t="s">
        <v>441</v>
      </c>
      <c r="B563" s="659"/>
      <c r="C563" s="659"/>
      <c r="D563" s="659"/>
      <c r="E563" s="659"/>
      <c r="F563" s="659"/>
      <c r="G563" s="659"/>
      <c r="H563" s="584" t="s">
        <v>685</v>
      </c>
      <c r="I563" s="585"/>
      <c r="J563" s="585"/>
      <c r="K563" s="585"/>
      <c r="L563" s="585"/>
      <c r="M563" s="585"/>
      <c r="N563" s="585"/>
      <c r="O563" s="585"/>
      <c r="P563" s="585"/>
      <c r="Q563" s="585"/>
      <c r="R563" s="585"/>
      <c r="S563" s="585"/>
      <c r="T563" s="585"/>
      <c r="U563" s="585"/>
      <c r="V563" s="585"/>
      <c r="W563" s="585"/>
      <c r="X563" s="585"/>
      <c r="Y563" s="585"/>
      <c r="Z563" s="585"/>
      <c r="AA563" s="585"/>
      <c r="AB563" s="585"/>
      <c r="AC563" s="585"/>
      <c r="AD563" s="585"/>
      <c r="AE563" s="585"/>
      <c r="AF563" s="585"/>
      <c r="AG563" s="585"/>
      <c r="AH563" s="585"/>
      <c r="AI563" s="585"/>
      <c r="AJ563" s="585"/>
      <c r="AK563" s="585"/>
      <c r="AL563" s="585"/>
      <c r="AM563" s="585"/>
      <c r="AN563" s="585"/>
      <c r="AO563" s="585"/>
      <c r="AP563" s="585"/>
      <c r="AQ563" s="585"/>
      <c r="AR563" s="585"/>
      <c r="AS563" s="585"/>
      <c r="AT563" s="585"/>
      <c r="AU563" s="585"/>
      <c r="AV563" s="585"/>
      <c r="AW563" s="585"/>
      <c r="AX563" s="585"/>
      <c r="AY563" s="585"/>
      <c r="AZ563" s="585"/>
      <c r="BA563" s="585"/>
      <c r="BB563" s="585"/>
      <c r="BC563" s="585"/>
      <c r="BD563" s="585"/>
      <c r="BE563" s="585"/>
      <c r="BF563" s="585"/>
      <c r="BG563" s="585"/>
      <c r="BH563" s="585"/>
      <c r="BI563" s="585"/>
      <c r="BJ563" s="585"/>
      <c r="BK563" s="585"/>
      <c r="BL563" s="585"/>
      <c r="BM563" s="585"/>
      <c r="BN563" s="585"/>
      <c r="BO563" s="585"/>
      <c r="BP563" s="585"/>
      <c r="BQ563" s="585"/>
      <c r="BR563" s="586"/>
      <c r="BS563" s="582">
        <v>1</v>
      </c>
      <c r="BT563" s="582"/>
      <c r="BU563" s="582"/>
      <c r="BV563" s="582"/>
      <c r="BW563" s="582"/>
      <c r="BX563" s="582"/>
      <c r="BY563" s="582"/>
      <c r="BZ563" s="582"/>
      <c r="CA563" s="582"/>
      <c r="CB563" s="582"/>
      <c r="CC563" s="582"/>
      <c r="CD563" s="582"/>
      <c r="CE563" s="582"/>
      <c r="CF563" s="582"/>
      <c r="CG563" s="582"/>
      <c r="CH563" s="582"/>
      <c r="CI563" s="664"/>
      <c r="CJ563" s="664"/>
      <c r="CK563" s="664"/>
      <c r="CL563" s="664"/>
      <c r="CM563" s="664"/>
      <c r="CN563" s="664"/>
      <c r="CO563" s="664"/>
      <c r="CP563" s="664"/>
      <c r="CQ563" s="664"/>
      <c r="CR563" s="664"/>
      <c r="CS563" s="664"/>
      <c r="CT563" s="664"/>
      <c r="CU563" s="664"/>
      <c r="CV563" s="664"/>
      <c r="CW563" s="664"/>
      <c r="CX563" s="664"/>
      <c r="CY563" s="664"/>
      <c r="CZ563" s="664"/>
    </row>
    <row r="564" spans="1:105" ht="18" hidden="1" customHeight="1" x14ac:dyDescent="0.25">
      <c r="A564" s="659" t="s">
        <v>444</v>
      </c>
      <c r="B564" s="659"/>
      <c r="C564" s="659"/>
      <c r="D564" s="659"/>
      <c r="E564" s="659"/>
      <c r="F564" s="659"/>
      <c r="G564" s="659"/>
      <c r="H564" s="584" t="s">
        <v>686</v>
      </c>
      <c r="I564" s="585"/>
      <c r="J564" s="585"/>
      <c r="K564" s="585"/>
      <c r="L564" s="585"/>
      <c r="M564" s="585"/>
      <c r="N564" s="585"/>
      <c r="O564" s="585"/>
      <c r="P564" s="585"/>
      <c r="Q564" s="585"/>
      <c r="R564" s="585"/>
      <c r="S564" s="585"/>
      <c r="T564" s="585"/>
      <c r="U564" s="585"/>
      <c r="V564" s="585"/>
      <c r="W564" s="585"/>
      <c r="X564" s="585"/>
      <c r="Y564" s="585"/>
      <c r="Z564" s="585"/>
      <c r="AA564" s="585"/>
      <c r="AB564" s="585"/>
      <c r="AC564" s="585"/>
      <c r="AD564" s="585"/>
      <c r="AE564" s="585"/>
      <c r="AF564" s="585"/>
      <c r="AG564" s="585"/>
      <c r="AH564" s="585"/>
      <c r="AI564" s="585"/>
      <c r="AJ564" s="585"/>
      <c r="AK564" s="585"/>
      <c r="AL564" s="585"/>
      <c r="AM564" s="585"/>
      <c r="AN564" s="585"/>
      <c r="AO564" s="585"/>
      <c r="AP564" s="585"/>
      <c r="AQ564" s="585"/>
      <c r="AR564" s="585"/>
      <c r="AS564" s="585"/>
      <c r="AT564" s="585"/>
      <c r="AU564" s="585"/>
      <c r="AV564" s="585"/>
      <c r="AW564" s="585"/>
      <c r="AX564" s="585"/>
      <c r="AY564" s="585"/>
      <c r="AZ564" s="585"/>
      <c r="BA564" s="585"/>
      <c r="BB564" s="585"/>
      <c r="BC564" s="585"/>
      <c r="BD564" s="585"/>
      <c r="BE564" s="585"/>
      <c r="BF564" s="585"/>
      <c r="BG564" s="585"/>
      <c r="BH564" s="585"/>
      <c r="BI564" s="585"/>
      <c r="BJ564" s="585"/>
      <c r="BK564" s="585"/>
      <c r="BL564" s="585"/>
      <c r="BM564" s="585"/>
      <c r="BN564" s="585"/>
      <c r="BO564" s="585"/>
      <c r="BP564" s="585"/>
      <c r="BQ564" s="585"/>
      <c r="BR564" s="586"/>
      <c r="BS564" s="582">
        <v>5</v>
      </c>
      <c r="BT564" s="582"/>
      <c r="BU564" s="582"/>
      <c r="BV564" s="582"/>
      <c r="BW564" s="582"/>
      <c r="BX564" s="582"/>
      <c r="BY564" s="582"/>
      <c r="BZ564" s="582"/>
      <c r="CA564" s="582"/>
      <c r="CB564" s="582"/>
      <c r="CC564" s="582"/>
      <c r="CD564" s="582"/>
      <c r="CE564" s="582"/>
      <c r="CF564" s="582"/>
      <c r="CG564" s="582"/>
      <c r="CH564" s="582"/>
      <c r="CI564" s="664"/>
      <c r="CJ564" s="664"/>
      <c r="CK564" s="664"/>
      <c r="CL564" s="664"/>
      <c r="CM564" s="664"/>
      <c r="CN564" s="664"/>
      <c r="CO564" s="664"/>
      <c r="CP564" s="664"/>
      <c r="CQ564" s="664"/>
      <c r="CR564" s="664"/>
      <c r="CS564" s="664"/>
      <c r="CT564" s="664"/>
      <c r="CU564" s="664"/>
      <c r="CV564" s="664"/>
      <c r="CW564" s="664"/>
      <c r="CX564" s="664"/>
      <c r="CY564" s="664"/>
      <c r="CZ564" s="664"/>
    </row>
    <row r="565" spans="1:105" ht="18" hidden="1" customHeight="1" x14ac:dyDescent="0.25">
      <c r="A565" s="630" t="s">
        <v>446</v>
      </c>
      <c r="B565" s="631"/>
      <c r="C565" s="631"/>
      <c r="D565" s="631"/>
      <c r="E565" s="631"/>
      <c r="F565" s="631"/>
      <c r="G565" s="632"/>
      <c r="H565" s="584" t="s">
        <v>687</v>
      </c>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5"/>
      <c r="AL565" s="585"/>
      <c r="AM565" s="585"/>
      <c r="AN565" s="585"/>
      <c r="AO565" s="585"/>
      <c r="AP565" s="585"/>
      <c r="AQ565" s="585"/>
      <c r="AR565" s="585"/>
      <c r="AS565" s="585"/>
      <c r="AT565" s="585"/>
      <c r="AU565" s="585"/>
      <c r="AV565" s="585"/>
      <c r="AW565" s="585"/>
      <c r="AX565" s="585"/>
      <c r="AY565" s="585"/>
      <c r="AZ565" s="585"/>
      <c r="BA565" s="585"/>
      <c r="BB565" s="585"/>
      <c r="BC565" s="685"/>
      <c r="BD565" s="685"/>
      <c r="BE565" s="685"/>
      <c r="BF565" s="685"/>
      <c r="BG565" s="685"/>
      <c r="BH565" s="685"/>
      <c r="BI565" s="685"/>
      <c r="BJ565" s="685"/>
      <c r="BK565" s="685"/>
      <c r="BL565" s="685"/>
      <c r="BM565" s="685"/>
      <c r="BN565" s="685"/>
      <c r="BO565" s="685"/>
      <c r="BP565" s="685"/>
      <c r="BQ565" s="685"/>
      <c r="BR565" s="686"/>
      <c r="BS565" s="582">
        <v>1</v>
      </c>
      <c r="BT565" s="582"/>
      <c r="BU565" s="582"/>
      <c r="BV565" s="582"/>
      <c r="BW565" s="582"/>
      <c r="BX565" s="582"/>
      <c r="BY565" s="582"/>
      <c r="BZ565" s="582"/>
      <c r="CA565" s="582"/>
      <c r="CB565" s="582"/>
      <c r="CC565" s="582"/>
      <c r="CD565" s="582"/>
      <c r="CE565" s="582"/>
      <c r="CF565" s="582"/>
      <c r="CG565" s="582"/>
      <c r="CH565" s="582"/>
      <c r="CI565" s="627"/>
      <c r="CJ565" s="628"/>
      <c r="CK565" s="628"/>
      <c r="CL565" s="628"/>
      <c r="CM565" s="628"/>
      <c r="CN565" s="628"/>
      <c r="CO565" s="628"/>
      <c r="CP565" s="628"/>
      <c r="CQ565" s="628"/>
      <c r="CR565" s="628"/>
      <c r="CS565" s="628"/>
      <c r="CT565" s="628"/>
      <c r="CU565" s="628"/>
      <c r="CV565" s="628"/>
      <c r="CW565" s="628"/>
      <c r="CX565" s="628"/>
      <c r="CY565" s="628"/>
      <c r="CZ565" s="629"/>
    </row>
    <row r="566" spans="1:105" ht="18" hidden="1" customHeight="1" x14ac:dyDescent="0.25">
      <c r="A566" s="630" t="s">
        <v>551</v>
      </c>
      <c r="B566" s="631"/>
      <c r="C566" s="631"/>
      <c r="D566" s="631"/>
      <c r="E566" s="631"/>
      <c r="F566" s="631"/>
      <c r="G566" s="632"/>
      <c r="H566" s="584" t="s">
        <v>908</v>
      </c>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5"/>
      <c r="AL566" s="585"/>
      <c r="AM566" s="585"/>
      <c r="AN566" s="585"/>
      <c r="AO566" s="585"/>
      <c r="AP566" s="585"/>
      <c r="AQ566" s="585"/>
      <c r="AR566" s="585"/>
      <c r="AS566" s="585"/>
      <c r="AT566" s="585"/>
      <c r="AU566" s="585"/>
      <c r="AV566" s="585"/>
      <c r="AW566" s="585"/>
      <c r="AX566" s="585"/>
      <c r="AY566" s="585"/>
      <c r="AZ566" s="585"/>
      <c r="BA566" s="585"/>
      <c r="BB566" s="585"/>
      <c r="BC566" s="585"/>
      <c r="BD566" s="585"/>
      <c r="BE566" s="585"/>
      <c r="BF566" s="585"/>
      <c r="BG566" s="585"/>
      <c r="BH566" s="585"/>
      <c r="BI566" s="585"/>
      <c r="BJ566" s="585"/>
      <c r="BK566" s="585"/>
      <c r="BL566" s="585"/>
      <c r="BM566" s="585"/>
      <c r="BN566" s="585"/>
      <c r="BO566" s="585"/>
      <c r="BP566" s="585"/>
      <c r="BQ566" s="585"/>
      <c r="BR566" s="586"/>
      <c r="BS566" s="544">
        <v>1</v>
      </c>
      <c r="BT566" s="545"/>
      <c r="BU566" s="545"/>
      <c r="BV566" s="545"/>
      <c r="BW566" s="545"/>
      <c r="BX566" s="545"/>
      <c r="BY566" s="545"/>
      <c r="BZ566" s="545"/>
      <c r="CA566" s="545"/>
      <c r="CB566" s="545"/>
      <c r="CC566" s="545"/>
      <c r="CD566" s="545"/>
      <c r="CE566" s="545"/>
      <c r="CF566" s="545"/>
      <c r="CG566" s="545"/>
      <c r="CH566" s="546"/>
      <c r="CI566" s="627"/>
      <c r="CJ566" s="628"/>
      <c r="CK566" s="628"/>
      <c r="CL566" s="628"/>
      <c r="CM566" s="628"/>
      <c r="CN566" s="628"/>
      <c r="CO566" s="628"/>
      <c r="CP566" s="628"/>
      <c r="CQ566" s="628"/>
      <c r="CR566" s="628"/>
      <c r="CS566" s="628"/>
      <c r="CT566" s="628"/>
      <c r="CU566" s="628"/>
      <c r="CV566" s="628"/>
      <c r="CW566" s="628"/>
      <c r="CX566" s="628"/>
      <c r="CY566" s="628"/>
      <c r="CZ566" s="629"/>
    </row>
    <row r="567" spans="1:105" ht="18" hidden="1" customHeight="1" x14ac:dyDescent="0.25">
      <c r="A567" s="630" t="s">
        <v>599</v>
      </c>
      <c r="B567" s="631"/>
      <c r="C567" s="631"/>
      <c r="D567" s="631"/>
      <c r="E567" s="631"/>
      <c r="F567" s="631"/>
      <c r="G567" s="632"/>
      <c r="H567" s="584" t="s">
        <v>861</v>
      </c>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5"/>
      <c r="AL567" s="585"/>
      <c r="AM567" s="585"/>
      <c r="AN567" s="585"/>
      <c r="AO567" s="585"/>
      <c r="AP567" s="585"/>
      <c r="AQ567" s="585"/>
      <c r="AR567" s="585"/>
      <c r="AS567" s="585"/>
      <c r="AT567" s="585"/>
      <c r="AU567" s="585"/>
      <c r="AV567" s="585"/>
      <c r="AW567" s="585"/>
      <c r="AX567" s="585"/>
      <c r="AY567" s="585"/>
      <c r="AZ567" s="585"/>
      <c r="BA567" s="585"/>
      <c r="BB567" s="585"/>
      <c r="BC567" s="585"/>
      <c r="BD567" s="585"/>
      <c r="BE567" s="585"/>
      <c r="BF567" s="585"/>
      <c r="BG567" s="585"/>
      <c r="BH567" s="585"/>
      <c r="BI567" s="585"/>
      <c r="BJ567" s="585"/>
      <c r="BK567" s="585"/>
      <c r="BL567" s="585"/>
      <c r="BM567" s="585"/>
      <c r="BN567" s="585"/>
      <c r="BO567" s="585"/>
      <c r="BP567" s="585"/>
      <c r="BQ567" s="585"/>
      <c r="BR567" s="586"/>
      <c r="BS567" s="544">
        <v>1</v>
      </c>
      <c r="BT567" s="545"/>
      <c r="BU567" s="545"/>
      <c r="BV567" s="545"/>
      <c r="BW567" s="545"/>
      <c r="BX567" s="545"/>
      <c r="BY567" s="545"/>
      <c r="BZ567" s="545"/>
      <c r="CA567" s="545"/>
      <c r="CB567" s="545"/>
      <c r="CC567" s="545"/>
      <c r="CD567" s="545"/>
      <c r="CE567" s="545"/>
      <c r="CF567" s="545"/>
      <c r="CG567" s="545"/>
      <c r="CH567" s="546"/>
      <c r="CI567" s="627"/>
      <c r="CJ567" s="628"/>
      <c r="CK567" s="628"/>
      <c r="CL567" s="628"/>
      <c r="CM567" s="628"/>
      <c r="CN567" s="628"/>
      <c r="CO567" s="628"/>
      <c r="CP567" s="628"/>
      <c r="CQ567" s="628"/>
      <c r="CR567" s="628"/>
      <c r="CS567" s="628"/>
      <c r="CT567" s="628"/>
      <c r="CU567" s="628"/>
      <c r="CV567" s="628"/>
      <c r="CW567" s="628"/>
      <c r="CX567" s="628"/>
      <c r="CY567" s="628"/>
      <c r="CZ567" s="629"/>
    </row>
    <row r="568" spans="1:105" ht="27" hidden="1" customHeight="1" x14ac:dyDescent="0.25">
      <c r="A568" s="630" t="s">
        <v>642</v>
      </c>
      <c r="B568" s="631"/>
      <c r="C568" s="631"/>
      <c r="D568" s="631"/>
      <c r="E568" s="631"/>
      <c r="F568" s="631"/>
      <c r="G568" s="632"/>
      <c r="H568" s="584" t="s">
        <v>847</v>
      </c>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5"/>
      <c r="AL568" s="585"/>
      <c r="AM568" s="585"/>
      <c r="AN568" s="585"/>
      <c r="AO568" s="585"/>
      <c r="AP568" s="585"/>
      <c r="AQ568" s="585"/>
      <c r="AR568" s="585"/>
      <c r="AS568" s="585"/>
      <c r="AT568" s="585"/>
      <c r="AU568" s="585"/>
      <c r="AV568" s="585"/>
      <c r="AW568" s="585"/>
      <c r="AX568" s="585"/>
      <c r="AY568" s="585"/>
      <c r="AZ568" s="585"/>
      <c r="BA568" s="585"/>
      <c r="BB568" s="585"/>
      <c r="BC568" s="585"/>
      <c r="BD568" s="585"/>
      <c r="BE568" s="585"/>
      <c r="BF568" s="585"/>
      <c r="BG568" s="585"/>
      <c r="BH568" s="585"/>
      <c r="BI568" s="585"/>
      <c r="BJ568" s="585"/>
      <c r="BK568" s="585"/>
      <c r="BL568" s="585"/>
      <c r="BM568" s="585"/>
      <c r="BN568" s="585"/>
      <c r="BO568" s="585"/>
      <c r="BP568" s="585"/>
      <c r="BQ568" s="585"/>
      <c r="BR568" s="586"/>
      <c r="BS568" s="544">
        <v>1</v>
      </c>
      <c r="BT568" s="545"/>
      <c r="BU568" s="545"/>
      <c r="BV568" s="545"/>
      <c r="BW568" s="545"/>
      <c r="BX568" s="545"/>
      <c r="BY568" s="545"/>
      <c r="BZ568" s="545"/>
      <c r="CA568" s="545"/>
      <c r="CB568" s="545"/>
      <c r="CC568" s="545"/>
      <c r="CD568" s="545"/>
      <c r="CE568" s="545"/>
      <c r="CF568" s="545"/>
      <c r="CG568" s="545"/>
      <c r="CH568" s="546"/>
      <c r="CI568" s="627"/>
      <c r="CJ568" s="628"/>
      <c r="CK568" s="628"/>
      <c r="CL568" s="628"/>
      <c r="CM568" s="628"/>
      <c r="CN568" s="628"/>
      <c r="CO568" s="628"/>
      <c r="CP568" s="628"/>
      <c r="CQ568" s="628"/>
      <c r="CR568" s="628"/>
      <c r="CS568" s="628"/>
      <c r="CT568" s="628"/>
      <c r="CU568" s="628"/>
      <c r="CV568" s="628"/>
      <c r="CW568" s="628"/>
      <c r="CX568" s="628"/>
      <c r="CY568" s="628"/>
      <c r="CZ568" s="629"/>
    </row>
    <row r="569" spans="1:105" ht="17.399999999999999" hidden="1" customHeight="1" x14ac:dyDescent="0.25">
      <c r="A569" s="630" t="s">
        <v>648</v>
      </c>
      <c r="B569" s="631"/>
      <c r="C569" s="631"/>
      <c r="D569" s="631"/>
      <c r="E569" s="631"/>
      <c r="F569" s="631"/>
      <c r="G569" s="632"/>
      <c r="H569" s="584" t="s">
        <v>688</v>
      </c>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5"/>
      <c r="AL569" s="585"/>
      <c r="AM569" s="585"/>
      <c r="AN569" s="585"/>
      <c r="AO569" s="585"/>
      <c r="AP569" s="585"/>
      <c r="AQ569" s="585"/>
      <c r="AR569" s="585"/>
      <c r="AS569" s="585"/>
      <c r="AT569" s="585"/>
      <c r="AU569" s="585"/>
      <c r="AV569" s="585"/>
      <c r="AW569" s="585"/>
      <c r="AX569" s="585"/>
      <c r="AY569" s="585"/>
      <c r="AZ569" s="585"/>
      <c r="BA569" s="585"/>
      <c r="BB569" s="585"/>
      <c r="BC569" s="585"/>
      <c r="BD569" s="585"/>
      <c r="BE569" s="585"/>
      <c r="BF569" s="585"/>
      <c r="BG569" s="585"/>
      <c r="BH569" s="585"/>
      <c r="BI569" s="585"/>
      <c r="BJ569" s="585"/>
      <c r="BK569" s="585"/>
      <c r="BL569" s="585"/>
      <c r="BM569" s="585"/>
      <c r="BN569" s="585"/>
      <c r="BO569" s="585"/>
      <c r="BP569" s="585"/>
      <c r="BQ569" s="585"/>
      <c r="BR569" s="586"/>
      <c r="BS569" s="582">
        <v>2</v>
      </c>
      <c r="BT569" s="582"/>
      <c r="BU569" s="582"/>
      <c r="BV569" s="582"/>
      <c r="BW569" s="582"/>
      <c r="BX569" s="582"/>
      <c r="BY569" s="582"/>
      <c r="BZ569" s="582"/>
      <c r="CA569" s="582"/>
      <c r="CB569" s="582"/>
      <c r="CC569" s="582"/>
      <c r="CD569" s="582"/>
      <c r="CE569" s="582"/>
      <c r="CF569" s="582"/>
      <c r="CG569" s="582"/>
      <c r="CH569" s="582"/>
      <c r="CI569" s="664"/>
      <c r="CJ569" s="664"/>
      <c r="CK569" s="664"/>
      <c r="CL569" s="664"/>
      <c r="CM569" s="664"/>
      <c r="CN569" s="664"/>
      <c r="CO569" s="664"/>
      <c r="CP569" s="664"/>
      <c r="CQ569" s="664"/>
      <c r="CR569" s="664"/>
      <c r="CS569" s="664"/>
      <c r="CT569" s="664"/>
      <c r="CU569" s="664"/>
      <c r="CV569" s="664"/>
      <c r="CW569" s="664"/>
      <c r="CX569" s="664"/>
      <c r="CY569" s="664"/>
      <c r="CZ569" s="664"/>
    </row>
    <row r="570" spans="1:105" ht="17.399999999999999" hidden="1" customHeight="1" x14ac:dyDescent="0.25">
      <c r="A570" s="630" t="s">
        <v>650</v>
      </c>
      <c r="B570" s="631"/>
      <c r="C570" s="631"/>
      <c r="D570" s="631"/>
      <c r="E570" s="631"/>
      <c r="F570" s="631"/>
      <c r="G570" s="632"/>
      <c r="H570" s="584" t="s">
        <v>848</v>
      </c>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5"/>
      <c r="AL570" s="585"/>
      <c r="AM570" s="585"/>
      <c r="AN570" s="585"/>
      <c r="AO570" s="585"/>
      <c r="AP570" s="585"/>
      <c r="AQ570" s="585"/>
      <c r="AR570" s="585"/>
      <c r="AS570" s="585"/>
      <c r="AT570" s="585"/>
      <c r="AU570" s="585"/>
      <c r="AV570" s="585"/>
      <c r="AW570" s="585"/>
      <c r="AX570" s="585"/>
      <c r="AY570" s="585"/>
      <c r="AZ570" s="585"/>
      <c r="BA570" s="585"/>
      <c r="BB570" s="585"/>
      <c r="BC570" s="585"/>
      <c r="BD570" s="585"/>
      <c r="BE570" s="585"/>
      <c r="BF570" s="585"/>
      <c r="BG570" s="585"/>
      <c r="BH570" s="585"/>
      <c r="BI570" s="585"/>
      <c r="BJ570" s="585"/>
      <c r="BK570" s="585"/>
      <c r="BL570" s="585"/>
      <c r="BM570" s="585"/>
      <c r="BN570" s="585"/>
      <c r="BO570" s="585"/>
      <c r="BP570" s="585"/>
      <c r="BQ570" s="585"/>
      <c r="BR570" s="586"/>
      <c r="BS570" s="544">
        <v>1</v>
      </c>
      <c r="BT570" s="545"/>
      <c r="BU570" s="545"/>
      <c r="BV570" s="545"/>
      <c r="BW570" s="545"/>
      <c r="BX570" s="545"/>
      <c r="BY570" s="545"/>
      <c r="BZ570" s="545"/>
      <c r="CA570" s="545"/>
      <c r="CB570" s="545"/>
      <c r="CC570" s="545"/>
      <c r="CD570" s="545"/>
      <c r="CE570" s="545"/>
      <c r="CF570" s="545"/>
      <c r="CG570" s="545"/>
      <c r="CH570" s="546"/>
      <c r="CI570" s="627"/>
      <c r="CJ570" s="628"/>
      <c r="CK570" s="628"/>
      <c r="CL570" s="628"/>
      <c r="CM570" s="628"/>
      <c r="CN570" s="628"/>
      <c r="CO570" s="628"/>
      <c r="CP570" s="628"/>
      <c r="CQ570" s="628"/>
      <c r="CR570" s="628"/>
      <c r="CS570" s="628"/>
      <c r="CT570" s="628"/>
      <c r="CU570" s="628"/>
      <c r="CV570" s="628"/>
      <c r="CW570" s="628"/>
      <c r="CX570" s="628"/>
      <c r="CY570" s="628"/>
      <c r="CZ570" s="629"/>
    </row>
    <row r="571" spans="1:105" ht="15" hidden="1" customHeight="1" x14ac:dyDescent="0.25">
      <c r="A571" s="553" t="s">
        <v>292</v>
      </c>
      <c r="B571" s="554"/>
      <c r="C571" s="554"/>
      <c r="D571" s="554"/>
      <c r="E571" s="554"/>
      <c r="F571" s="554"/>
      <c r="G571" s="554"/>
      <c r="H571" s="554"/>
      <c r="I571" s="554"/>
      <c r="J571" s="554"/>
      <c r="K571" s="554"/>
      <c r="L571" s="554"/>
      <c r="M571" s="554"/>
      <c r="N571" s="554"/>
      <c r="O571" s="554"/>
      <c r="P571" s="554"/>
      <c r="Q571" s="554"/>
      <c r="R571" s="554"/>
      <c r="S571" s="554"/>
      <c r="T571" s="554"/>
      <c r="U571" s="554"/>
      <c r="V571" s="554"/>
      <c r="W571" s="554"/>
      <c r="X571" s="554"/>
      <c r="Y571" s="554"/>
      <c r="Z571" s="554"/>
      <c r="AA571" s="554"/>
      <c r="AB571" s="554"/>
      <c r="AC571" s="554"/>
      <c r="AD571" s="554"/>
      <c r="AE571" s="554"/>
      <c r="AF571" s="554"/>
      <c r="AG571" s="554"/>
      <c r="AH571" s="554"/>
      <c r="AI571" s="554"/>
      <c r="AJ571" s="554"/>
      <c r="AK571" s="554"/>
      <c r="AL571" s="554"/>
      <c r="AM571" s="554"/>
      <c r="AN571" s="554"/>
      <c r="AO571" s="554"/>
      <c r="AP571" s="554"/>
      <c r="AQ571" s="554"/>
      <c r="AR571" s="554"/>
      <c r="AS571" s="554"/>
      <c r="AT571" s="554"/>
      <c r="AU571" s="554"/>
      <c r="AV571" s="554"/>
      <c r="AW571" s="554"/>
      <c r="AX571" s="554"/>
      <c r="AY571" s="554"/>
      <c r="AZ571" s="554"/>
      <c r="BA571" s="554"/>
      <c r="BB571" s="554"/>
      <c r="BC571" s="554"/>
      <c r="BD571" s="554"/>
      <c r="BE571" s="554"/>
      <c r="BF571" s="554"/>
      <c r="BG571" s="554"/>
      <c r="BH571" s="554"/>
      <c r="BI571" s="554"/>
      <c r="BJ571" s="554"/>
      <c r="BK571" s="554"/>
      <c r="BL571" s="554"/>
      <c r="BM571" s="554"/>
      <c r="BN571" s="554"/>
      <c r="BO571" s="554"/>
      <c r="BP571" s="554"/>
      <c r="BQ571" s="554"/>
      <c r="BR571" s="555"/>
      <c r="BS571" s="582" t="s">
        <v>4</v>
      </c>
      <c r="BT571" s="582"/>
      <c r="BU571" s="582"/>
      <c r="BV571" s="582"/>
      <c r="BW571" s="582"/>
      <c r="BX571" s="582"/>
      <c r="BY571" s="582"/>
      <c r="BZ571" s="582"/>
      <c r="CA571" s="582"/>
      <c r="CB571" s="582"/>
      <c r="CC571" s="582"/>
      <c r="CD571" s="582"/>
      <c r="CE571" s="582"/>
      <c r="CF571" s="582"/>
      <c r="CG571" s="582"/>
      <c r="CH571" s="582"/>
      <c r="CI571" s="611">
        <f>SUM(CI563:CZ570)</f>
        <v>0</v>
      </c>
      <c r="CJ571" s="611"/>
      <c r="CK571" s="611"/>
      <c r="CL571" s="611"/>
      <c r="CM571" s="611"/>
      <c r="CN571" s="611"/>
      <c r="CO571" s="611"/>
      <c r="CP571" s="611"/>
      <c r="CQ571" s="611"/>
      <c r="CR571" s="611"/>
      <c r="CS571" s="611"/>
      <c r="CT571" s="611"/>
      <c r="CU571" s="611"/>
      <c r="CV571" s="611"/>
      <c r="CW571" s="611"/>
      <c r="CX571" s="611"/>
      <c r="CY571" s="611"/>
      <c r="CZ571" s="611"/>
    </row>
    <row r="572" spans="1:105" ht="22.95" customHeight="1" x14ac:dyDescent="0.25">
      <c r="A572" s="553" t="s">
        <v>37</v>
      </c>
      <c r="B572" s="554"/>
      <c r="C572" s="554"/>
      <c r="D572" s="554"/>
      <c r="E572" s="554"/>
      <c r="F572" s="554"/>
      <c r="G572" s="554"/>
      <c r="H572" s="554"/>
      <c r="I572" s="554"/>
      <c r="J572" s="554"/>
      <c r="K572" s="554"/>
      <c r="L572" s="554"/>
      <c r="M572" s="554"/>
      <c r="N572" s="554"/>
      <c r="O572" s="554"/>
      <c r="P572" s="554"/>
      <c r="Q572" s="554"/>
      <c r="R572" s="554"/>
      <c r="S572" s="554"/>
      <c r="T572" s="554"/>
      <c r="U572" s="554"/>
      <c r="V572" s="554"/>
      <c r="W572" s="554"/>
      <c r="X572" s="554"/>
      <c r="Y572" s="554"/>
      <c r="Z572" s="554"/>
      <c r="AA572" s="554"/>
      <c r="AB572" s="554"/>
      <c r="AC572" s="554"/>
      <c r="AD572" s="554"/>
      <c r="AE572" s="554"/>
      <c r="AF572" s="554"/>
      <c r="AG572" s="554"/>
      <c r="AH572" s="554"/>
      <c r="AI572" s="554"/>
      <c r="AJ572" s="554"/>
      <c r="AK572" s="554"/>
      <c r="AL572" s="554"/>
      <c r="AM572" s="554"/>
      <c r="AN572" s="554"/>
      <c r="AO572" s="554"/>
      <c r="AP572" s="554"/>
      <c r="AQ572" s="554"/>
      <c r="AR572" s="554"/>
      <c r="AS572" s="554"/>
      <c r="AT572" s="554"/>
      <c r="AU572" s="554"/>
      <c r="AV572" s="554"/>
      <c r="AW572" s="554"/>
      <c r="AX572" s="554"/>
      <c r="AY572" s="554"/>
      <c r="AZ572" s="554"/>
      <c r="BA572" s="554"/>
      <c r="BB572" s="554"/>
      <c r="BC572" s="554"/>
      <c r="BD572" s="554"/>
      <c r="BE572" s="554"/>
      <c r="BF572" s="554"/>
      <c r="BG572" s="554"/>
      <c r="BH572" s="554"/>
      <c r="BI572" s="554"/>
      <c r="BJ572" s="554"/>
      <c r="BK572" s="554"/>
      <c r="BL572" s="554"/>
      <c r="BM572" s="554"/>
      <c r="BN572" s="554"/>
      <c r="BO572" s="554"/>
      <c r="BP572" s="554"/>
      <c r="BQ572" s="554"/>
      <c r="BR572" s="555"/>
      <c r="BS572" s="582" t="s">
        <v>4</v>
      </c>
      <c r="BT572" s="582"/>
      <c r="BU572" s="582"/>
      <c r="BV572" s="582"/>
      <c r="BW572" s="582"/>
      <c r="BX572" s="582"/>
      <c r="BY572" s="582"/>
      <c r="BZ572" s="582"/>
      <c r="CA572" s="582"/>
      <c r="CB572" s="582"/>
      <c r="CC572" s="582"/>
      <c r="CD572" s="582"/>
      <c r="CE572" s="582"/>
      <c r="CF572" s="582"/>
      <c r="CG572" s="582"/>
      <c r="CH572" s="582"/>
      <c r="CI572" s="611">
        <f>CI550+CI556+CI561+CI571</f>
        <v>14502048.580000002</v>
      </c>
      <c r="CJ572" s="560"/>
      <c r="CK572" s="560"/>
      <c r="CL572" s="560"/>
      <c r="CM572" s="560"/>
      <c r="CN572" s="560"/>
      <c r="CO572" s="560"/>
      <c r="CP572" s="560"/>
      <c r="CQ572" s="560"/>
      <c r="CR572" s="560"/>
      <c r="CS572" s="560"/>
      <c r="CT572" s="560"/>
      <c r="CU572" s="560"/>
      <c r="CV572" s="560"/>
      <c r="CW572" s="560"/>
      <c r="CX572" s="560"/>
      <c r="CY572" s="560"/>
      <c r="CZ572" s="560"/>
      <c r="DA572" s="243"/>
    </row>
    <row r="573" spans="1:105"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c r="BB573" s="222"/>
      <c r="BC573" s="222"/>
      <c r="BD573" s="222"/>
      <c r="BE573" s="222"/>
      <c r="BF573" s="222"/>
      <c r="BG573" s="222"/>
      <c r="BH573" s="222"/>
      <c r="BI573" s="222"/>
      <c r="BJ573" s="222"/>
      <c r="BK573" s="222"/>
      <c r="BL573" s="222"/>
      <c r="BM573" s="222"/>
      <c r="BN573" s="222"/>
      <c r="BO573" s="222"/>
      <c r="BP573" s="222"/>
      <c r="BQ573" s="222"/>
      <c r="BR573" s="222"/>
      <c r="BS573" s="223"/>
      <c r="BT573" s="223"/>
      <c r="BU573" s="223"/>
      <c r="BV573" s="223"/>
      <c r="BW573" s="223"/>
      <c r="BX573" s="223"/>
      <c r="BY573" s="223"/>
      <c r="BZ573" s="223"/>
      <c r="CA573" s="223"/>
      <c r="CB573" s="223"/>
      <c r="CC573" s="223"/>
      <c r="CD573" s="223"/>
      <c r="CE573" s="223"/>
      <c r="CF573" s="223"/>
      <c r="CG573" s="223"/>
      <c r="CH573" s="223"/>
      <c r="CI573" s="229"/>
      <c r="CJ573" s="45"/>
      <c r="CK573" s="45"/>
      <c r="CL573" s="45"/>
      <c r="CM573" s="45"/>
      <c r="CN573" s="45"/>
      <c r="CO573" s="45"/>
      <c r="CP573" s="45"/>
      <c r="CQ573" s="45"/>
      <c r="CR573" s="45"/>
      <c r="CS573" s="45"/>
      <c r="CT573" s="45"/>
      <c r="CU573" s="45"/>
      <c r="CV573" s="45"/>
      <c r="CW573" s="45"/>
      <c r="CX573" s="45"/>
      <c r="CY573" s="45"/>
      <c r="CZ573" s="45"/>
      <c r="DA573" s="243"/>
    </row>
    <row r="574" spans="1:105" x14ac:dyDescent="0.25">
      <c r="A574" s="524" t="s">
        <v>361</v>
      </c>
      <c r="B574" s="524"/>
      <c r="C574" s="524"/>
      <c r="D574" s="524"/>
      <c r="E574" s="524"/>
      <c r="F574" s="524"/>
      <c r="G574" s="524"/>
      <c r="H574" s="524"/>
      <c r="I574" s="524"/>
      <c r="J574" s="524"/>
      <c r="K574" s="524"/>
      <c r="L574" s="524"/>
      <c r="M574" s="524"/>
      <c r="N574" s="524"/>
      <c r="O574" s="524"/>
      <c r="P574" s="524"/>
      <c r="Q574" s="524"/>
      <c r="R574" s="524"/>
      <c r="S574" s="524"/>
      <c r="T574" s="524"/>
      <c r="U574" s="524"/>
      <c r="V574" s="524"/>
      <c r="W574" s="524"/>
      <c r="X574" s="524"/>
      <c r="Y574" s="524"/>
      <c r="Z574" s="524"/>
      <c r="AA574" s="524"/>
      <c r="AB574" s="524"/>
      <c r="AC574" s="524"/>
      <c r="AD574" s="524"/>
      <c r="AE574" s="524"/>
      <c r="AF574" s="524"/>
      <c r="AG574" s="524"/>
      <c r="AH574" s="524"/>
      <c r="AI574" s="524"/>
      <c r="AJ574" s="524"/>
      <c r="AK574" s="524"/>
      <c r="AL574" s="524"/>
      <c r="AM574" s="524"/>
      <c r="AN574" s="524"/>
      <c r="AO574" s="524"/>
      <c r="AP574" s="524"/>
      <c r="AQ574" s="524"/>
      <c r="AR574" s="524"/>
      <c r="AS574" s="524"/>
      <c r="AT574" s="524"/>
      <c r="AU574" s="524"/>
      <c r="AV574" s="524"/>
      <c r="AW574" s="524"/>
      <c r="AX574" s="524"/>
      <c r="AY574" s="524"/>
      <c r="AZ574" s="524"/>
      <c r="BA574" s="524"/>
      <c r="BB574" s="524"/>
      <c r="BC574" s="524"/>
      <c r="BD574" s="524"/>
      <c r="BE574" s="524"/>
      <c r="BF574" s="524"/>
      <c r="BG574" s="524"/>
      <c r="BH574" s="524"/>
      <c r="BI574" s="524"/>
      <c r="BJ574" s="524"/>
      <c r="BK574" s="524"/>
      <c r="BL574" s="524"/>
      <c r="BM574" s="524"/>
      <c r="BN574" s="524"/>
      <c r="BO574" s="524"/>
      <c r="BP574" s="524"/>
      <c r="BQ574" s="524"/>
      <c r="BR574" s="524"/>
      <c r="BS574" s="524"/>
      <c r="BT574" s="524"/>
      <c r="BU574" s="524"/>
      <c r="BV574" s="524"/>
      <c r="BW574" s="524"/>
      <c r="BX574" s="524"/>
      <c r="BY574" s="524"/>
      <c r="BZ574" s="524"/>
      <c r="CA574" s="524"/>
      <c r="CB574" s="524"/>
      <c r="CC574" s="524"/>
      <c r="CD574" s="524"/>
      <c r="CE574" s="524"/>
      <c r="CF574" s="524"/>
      <c r="CG574" s="524"/>
      <c r="CH574" s="524"/>
      <c r="CI574" s="524"/>
      <c r="CJ574" s="524"/>
      <c r="CK574" s="524"/>
      <c r="CL574" s="524"/>
      <c r="CM574" s="524"/>
      <c r="CN574" s="524"/>
      <c r="CO574" s="524"/>
      <c r="CP574" s="524"/>
      <c r="CQ574" s="524"/>
      <c r="CR574" s="524"/>
      <c r="CS574" s="524"/>
      <c r="CT574" s="524"/>
      <c r="CU574" s="524"/>
      <c r="CV574" s="524"/>
      <c r="CW574" s="524"/>
      <c r="CX574" s="524"/>
      <c r="CY574" s="524"/>
      <c r="CZ574" s="524"/>
      <c r="DA574" s="243"/>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43"/>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595" t="s">
        <v>587</v>
      </c>
      <c r="X576" s="595"/>
      <c r="Y576" s="595"/>
      <c r="Z576" s="595"/>
      <c r="AA576" s="595"/>
      <c r="AB576" s="595"/>
      <c r="AC576" s="595"/>
      <c r="AD576" s="595"/>
      <c r="AE576" s="595"/>
      <c r="AF576" s="595"/>
      <c r="AG576" s="595"/>
      <c r="AH576" s="595"/>
      <c r="AI576" s="595"/>
      <c r="AJ576" s="595"/>
      <c r="AK576" s="595"/>
      <c r="AL576" s="595"/>
      <c r="AM576" s="595"/>
      <c r="AN576" s="595"/>
      <c r="AO576" s="595"/>
      <c r="AP576" s="595"/>
      <c r="AQ576" s="595"/>
      <c r="AR576" s="595"/>
      <c r="AS576" s="595"/>
      <c r="AT576" s="595"/>
      <c r="AU576" s="595"/>
      <c r="AV576" s="595"/>
      <c r="AW576" s="595"/>
      <c r="AX576" s="595"/>
      <c r="AY576" s="595"/>
      <c r="AZ576" s="595"/>
      <c r="BA576" s="595"/>
      <c r="BB576" s="595"/>
      <c r="BC576" s="595"/>
      <c r="BD576" s="595"/>
      <c r="BE576" s="595"/>
      <c r="BF576" s="595"/>
      <c r="BG576" s="595"/>
      <c r="BH576" s="595"/>
      <c r="BI576" s="595"/>
      <c r="BJ576" s="595"/>
      <c r="BK576" s="595"/>
      <c r="BL576" s="595"/>
      <c r="BM576" s="595"/>
      <c r="BN576" s="595"/>
      <c r="BO576" s="595"/>
      <c r="BP576" s="595"/>
      <c r="BQ576" s="595"/>
      <c r="BR576" s="595"/>
      <c r="BS576" s="595"/>
      <c r="BT576" s="595"/>
      <c r="BU576" s="595"/>
      <c r="BV576" s="595"/>
      <c r="BW576" s="595"/>
      <c r="BX576" s="595"/>
      <c r="BY576" s="595"/>
      <c r="BZ576" s="595"/>
      <c r="CA576" s="595"/>
      <c r="CB576" s="595"/>
      <c r="CC576" s="595"/>
      <c r="CD576" s="595"/>
      <c r="CE576" s="595"/>
      <c r="CF576" s="595"/>
      <c r="CG576" s="595"/>
      <c r="CH576" s="595"/>
      <c r="CI576" s="595"/>
      <c r="CJ576" s="595"/>
      <c r="CK576" s="595"/>
      <c r="CL576" s="595"/>
      <c r="CM576" s="595"/>
      <c r="CN576" s="595"/>
      <c r="CO576" s="595"/>
      <c r="CP576" s="595"/>
      <c r="CQ576" s="595"/>
      <c r="CR576" s="595"/>
      <c r="CS576" s="595"/>
      <c r="CT576" s="595"/>
      <c r="CU576" s="595"/>
      <c r="CV576" s="595"/>
      <c r="CW576" s="595"/>
      <c r="CX576" s="595"/>
      <c r="CY576" s="595"/>
      <c r="CZ576" s="595"/>
      <c r="DA576" s="243"/>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43"/>
    </row>
    <row r="578" spans="1:105" x14ac:dyDescent="0.25">
      <c r="A578" s="475" t="s">
        <v>49</v>
      </c>
      <c r="B578" s="476"/>
      <c r="C578" s="476"/>
      <c r="D578" s="476"/>
      <c r="E578" s="476"/>
      <c r="F578" s="476"/>
      <c r="G578" s="477"/>
      <c r="H578" s="475" t="s">
        <v>0</v>
      </c>
      <c r="I578" s="476"/>
      <c r="J578" s="476"/>
      <c r="K578" s="476"/>
      <c r="L578" s="476"/>
      <c r="M578" s="476"/>
      <c r="N578" s="476"/>
      <c r="O578" s="476"/>
      <c r="P578" s="476"/>
      <c r="Q578" s="476"/>
      <c r="R578" s="476"/>
      <c r="S578" s="476"/>
      <c r="T578" s="476"/>
      <c r="U578" s="476"/>
      <c r="V578" s="476"/>
      <c r="W578" s="476"/>
      <c r="X578" s="476"/>
      <c r="Y578" s="476"/>
      <c r="Z578" s="476"/>
      <c r="AA578" s="476"/>
      <c r="AB578" s="476"/>
      <c r="AC578" s="476"/>
      <c r="AD578" s="476"/>
      <c r="AE578" s="476"/>
      <c r="AF578" s="476"/>
      <c r="AG578" s="476"/>
      <c r="AH578" s="476"/>
      <c r="AI578" s="476"/>
      <c r="AJ578" s="476"/>
      <c r="AK578" s="476"/>
      <c r="AL578" s="476"/>
      <c r="AM578" s="476"/>
      <c r="AN578" s="476"/>
      <c r="AO578" s="476"/>
      <c r="AP578" s="476"/>
      <c r="AQ578" s="476"/>
      <c r="AR578" s="476"/>
      <c r="AS578" s="476"/>
      <c r="AT578" s="476"/>
      <c r="AU578" s="476"/>
      <c r="AV578" s="476"/>
      <c r="AW578" s="476"/>
      <c r="AX578" s="476"/>
      <c r="AY578" s="476"/>
      <c r="AZ578" s="476"/>
      <c r="BA578" s="476"/>
      <c r="BB578" s="477"/>
      <c r="BC578" s="597" t="s">
        <v>91</v>
      </c>
      <c r="BD578" s="598"/>
      <c r="BE578" s="598"/>
      <c r="BF578" s="598"/>
      <c r="BG578" s="598"/>
      <c r="BH578" s="598"/>
      <c r="BI578" s="598"/>
      <c r="BJ578" s="598"/>
      <c r="BK578" s="598"/>
      <c r="BL578" s="598"/>
      <c r="BM578" s="598"/>
      <c r="BN578" s="598"/>
      <c r="BO578" s="598"/>
      <c r="BP578" s="598"/>
      <c r="BQ578" s="598"/>
      <c r="BR578" s="599"/>
      <c r="BS578" s="597" t="s">
        <v>96</v>
      </c>
      <c r="BT578" s="598"/>
      <c r="BU578" s="598"/>
      <c r="BV578" s="598"/>
      <c r="BW578" s="598"/>
      <c r="BX578" s="598"/>
      <c r="BY578" s="598"/>
      <c r="BZ578" s="598"/>
      <c r="CA578" s="598"/>
      <c r="CB578" s="598"/>
      <c r="CC578" s="598"/>
      <c r="CD578" s="598"/>
      <c r="CE578" s="598"/>
      <c r="CF578" s="598"/>
      <c r="CG578" s="598"/>
      <c r="CH578" s="599"/>
      <c r="CI578" s="597" t="s">
        <v>97</v>
      </c>
      <c r="CJ578" s="598"/>
      <c r="CK578" s="598"/>
      <c r="CL578" s="598"/>
      <c r="CM578" s="598"/>
      <c r="CN578" s="598"/>
      <c r="CO578" s="598"/>
      <c r="CP578" s="598"/>
      <c r="CQ578" s="598"/>
      <c r="CR578" s="598"/>
      <c r="CS578" s="598"/>
      <c r="CT578" s="598"/>
      <c r="CU578" s="598"/>
      <c r="CV578" s="598"/>
      <c r="CW578" s="598"/>
      <c r="CX578" s="598"/>
      <c r="CY578" s="598"/>
      <c r="CZ578" s="599"/>
      <c r="DA578" s="243"/>
    </row>
    <row r="579" spans="1:105" x14ac:dyDescent="0.25">
      <c r="A579" s="591">
        <v>1</v>
      </c>
      <c r="B579" s="591"/>
      <c r="C579" s="591"/>
      <c r="D579" s="591"/>
      <c r="E579" s="591"/>
      <c r="F579" s="591"/>
      <c r="G579" s="591"/>
      <c r="H579" s="591">
        <v>2</v>
      </c>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v>3</v>
      </c>
      <c r="BD579" s="591"/>
      <c r="BE579" s="591"/>
      <c r="BF579" s="591"/>
      <c r="BG579" s="591"/>
      <c r="BH579" s="591"/>
      <c r="BI579" s="591"/>
      <c r="BJ579" s="591"/>
      <c r="BK579" s="591"/>
      <c r="BL579" s="591"/>
      <c r="BM579" s="591"/>
      <c r="BN579" s="591"/>
      <c r="BO579" s="591"/>
      <c r="BP579" s="591"/>
      <c r="BQ579" s="591"/>
      <c r="BR579" s="591"/>
      <c r="BS579" s="591">
        <v>4</v>
      </c>
      <c r="BT579" s="591"/>
      <c r="BU579" s="591"/>
      <c r="BV579" s="591"/>
      <c r="BW579" s="591"/>
      <c r="BX579" s="591"/>
      <c r="BY579" s="591"/>
      <c r="BZ579" s="591"/>
      <c r="CA579" s="591"/>
      <c r="CB579" s="591"/>
      <c r="CC579" s="591"/>
      <c r="CD579" s="591"/>
      <c r="CE579" s="591"/>
      <c r="CF579" s="591"/>
      <c r="CG579" s="591"/>
      <c r="CH579" s="591"/>
      <c r="CI579" s="591">
        <v>5</v>
      </c>
      <c r="CJ579" s="591"/>
      <c r="CK579" s="591"/>
      <c r="CL579" s="591"/>
      <c r="CM579" s="591"/>
      <c r="CN579" s="591"/>
      <c r="CO579" s="591"/>
      <c r="CP579" s="591"/>
      <c r="CQ579" s="591"/>
      <c r="CR579" s="591"/>
      <c r="CS579" s="591"/>
      <c r="CT579" s="591"/>
      <c r="CU579" s="591"/>
      <c r="CV579" s="591"/>
      <c r="CW579" s="591"/>
      <c r="CX579" s="591"/>
      <c r="CY579" s="591"/>
      <c r="CZ579" s="591"/>
      <c r="DA579" s="243"/>
    </row>
    <row r="580" spans="1:105" x14ac:dyDescent="0.25">
      <c r="A580" s="648" t="s">
        <v>584</v>
      </c>
      <c r="B580" s="649"/>
      <c r="C580" s="649"/>
      <c r="D580" s="649"/>
      <c r="E580" s="649"/>
      <c r="F580" s="649"/>
      <c r="G580" s="649"/>
      <c r="H580" s="649"/>
      <c r="I580" s="649"/>
      <c r="J580" s="649"/>
      <c r="K580" s="649"/>
      <c r="L580" s="649"/>
      <c r="M580" s="649"/>
      <c r="N580" s="649"/>
      <c r="O580" s="649"/>
      <c r="P580" s="649"/>
      <c r="Q580" s="649"/>
      <c r="R580" s="649"/>
      <c r="S580" s="649"/>
      <c r="T580" s="649"/>
      <c r="U580" s="649"/>
      <c r="V580" s="649"/>
      <c r="W580" s="649"/>
      <c r="X580" s="649"/>
      <c r="Y580" s="649"/>
      <c r="Z580" s="649"/>
      <c r="AA580" s="649"/>
      <c r="AB580" s="649"/>
      <c r="AC580" s="649"/>
      <c r="AD580" s="649"/>
      <c r="AE580" s="649"/>
      <c r="AF580" s="649"/>
      <c r="AG580" s="649"/>
      <c r="AH580" s="649"/>
      <c r="AI580" s="649"/>
      <c r="AJ580" s="649"/>
      <c r="AK580" s="649"/>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649"/>
      <c r="BG580" s="649"/>
      <c r="BH580" s="649"/>
      <c r="BI580" s="649"/>
      <c r="BJ580" s="649"/>
      <c r="BK580" s="649"/>
      <c r="BL580" s="649"/>
      <c r="BM580" s="649"/>
      <c r="BN580" s="649"/>
      <c r="BO580" s="649"/>
      <c r="BP580" s="649"/>
      <c r="BQ580" s="649"/>
      <c r="BR580" s="649"/>
      <c r="BS580" s="649"/>
      <c r="BT580" s="649"/>
      <c r="BU580" s="649"/>
      <c r="BV580" s="649"/>
      <c r="BW580" s="649"/>
      <c r="BX580" s="649"/>
      <c r="BY580" s="649"/>
      <c r="BZ580" s="649"/>
      <c r="CA580" s="649"/>
      <c r="CB580" s="649"/>
      <c r="CC580" s="649"/>
      <c r="CD580" s="649"/>
      <c r="CE580" s="649"/>
      <c r="CF580" s="649"/>
      <c r="CG580" s="649"/>
      <c r="CH580" s="649"/>
      <c r="CI580" s="649"/>
      <c r="CJ580" s="649"/>
      <c r="CK580" s="649"/>
      <c r="CL580" s="649"/>
      <c r="CM580" s="649"/>
      <c r="CN580" s="649"/>
      <c r="CO580" s="649"/>
      <c r="CP580" s="649"/>
      <c r="CQ580" s="649"/>
      <c r="CR580" s="649"/>
      <c r="CS580" s="649"/>
      <c r="CT580" s="649"/>
      <c r="CU580" s="649"/>
      <c r="CV580" s="649"/>
      <c r="CW580" s="649"/>
      <c r="CX580" s="649"/>
      <c r="CY580" s="649"/>
      <c r="CZ580" s="649"/>
      <c r="DA580" s="243"/>
    </row>
    <row r="581" spans="1:105" hidden="1" x14ac:dyDescent="0.25">
      <c r="A581" s="630" t="s">
        <v>441</v>
      </c>
      <c r="B581" s="631"/>
      <c r="C581" s="631"/>
      <c r="D581" s="631"/>
      <c r="E581" s="631"/>
      <c r="F581" s="631"/>
      <c r="G581" s="632"/>
      <c r="H581" s="584" t="s">
        <v>968</v>
      </c>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c r="AV581" s="585"/>
      <c r="AW581" s="585"/>
      <c r="AX581" s="585"/>
      <c r="AY581" s="585"/>
      <c r="AZ581" s="585"/>
      <c r="BA581" s="585"/>
      <c r="BB581" s="586"/>
      <c r="BC581" s="544">
        <v>1</v>
      </c>
      <c r="BD581" s="545"/>
      <c r="BE581" s="545"/>
      <c r="BF581" s="545"/>
      <c r="BG581" s="545"/>
      <c r="BH581" s="545"/>
      <c r="BI581" s="545"/>
      <c r="BJ581" s="545"/>
      <c r="BK581" s="545"/>
      <c r="BL581" s="545"/>
      <c r="BM581" s="545"/>
      <c r="BN581" s="545"/>
      <c r="BO581" s="545"/>
      <c r="BP581" s="545"/>
      <c r="BQ581" s="545"/>
      <c r="BR581" s="546"/>
      <c r="BS581" s="627"/>
      <c r="BT581" s="628"/>
      <c r="BU581" s="628"/>
      <c r="BV581" s="628"/>
      <c r="BW581" s="628"/>
      <c r="BX581" s="628"/>
      <c r="BY581" s="628"/>
      <c r="BZ581" s="628"/>
      <c r="CA581" s="628"/>
      <c r="CB581" s="628"/>
      <c r="CC581" s="628"/>
      <c r="CD581" s="628"/>
      <c r="CE581" s="628"/>
      <c r="CF581" s="628"/>
      <c r="CG581" s="628"/>
      <c r="CH581" s="629"/>
      <c r="CI581" s="627">
        <f>BC581*BS581</f>
        <v>0</v>
      </c>
      <c r="CJ581" s="628"/>
      <c r="CK581" s="628"/>
      <c r="CL581" s="628"/>
      <c r="CM581" s="628"/>
      <c r="CN581" s="628"/>
      <c r="CO581" s="628"/>
      <c r="CP581" s="628"/>
      <c r="CQ581" s="628"/>
      <c r="CR581" s="628"/>
      <c r="CS581" s="628"/>
      <c r="CT581" s="628"/>
      <c r="CU581" s="628"/>
      <c r="CV581" s="628"/>
      <c r="CW581" s="628"/>
      <c r="CX581" s="628"/>
      <c r="CY581" s="628"/>
      <c r="CZ581" s="629"/>
      <c r="DA581" s="243"/>
    </row>
    <row r="582" spans="1:105" hidden="1" x14ac:dyDescent="0.25">
      <c r="A582" s="630" t="s">
        <v>444</v>
      </c>
      <c r="B582" s="631"/>
      <c r="C582" s="631"/>
      <c r="D582" s="631"/>
      <c r="E582" s="631"/>
      <c r="F582" s="631"/>
      <c r="G582" s="632"/>
      <c r="H582" s="584" t="s">
        <v>969</v>
      </c>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5"/>
      <c r="AL582" s="585"/>
      <c r="AM582" s="585"/>
      <c r="AN582" s="585"/>
      <c r="AO582" s="585"/>
      <c r="AP582" s="585"/>
      <c r="AQ582" s="585"/>
      <c r="AR582" s="585"/>
      <c r="AS582" s="585"/>
      <c r="AT582" s="585"/>
      <c r="AU582" s="585"/>
      <c r="AV582" s="585"/>
      <c r="AW582" s="585"/>
      <c r="AX582" s="585"/>
      <c r="AY582" s="585"/>
      <c r="AZ582" s="585"/>
      <c r="BA582" s="585"/>
      <c r="BB582" s="586"/>
      <c r="BC582" s="544">
        <v>1</v>
      </c>
      <c r="BD582" s="545"/>
      <c r="BE582" s="545"/>
      <c r="BF582" s="545"/>
      <c r="BG582" s="545"/>
      <c r="BH582" s="545"/>
      <c r="BI582" s="545"/>
      <c r="BJ582" s="545"/>
      <c r="BK582" s="545"/>
      <c r="BL582" s="545"/>
      <c r="BM582" s="545"/>
      <c r="BN582" s="545"/>
      <c r="BO582" s="545"/>
      <c r="BP582" s="545"/>
      <c r="BQ582" s="545"/>
      <c r="BR582" s="546"/>
      <c r="BS582" s="627"/>
      <c r="BT582" s="628"/>
      <c r="BU582" s="628"/>
      <c r="BV582" s="628"/>
      <c r="BW582" s="628"/>
      <c r="BX582" s="628"/>
      <c r="BY582" s="628"/>
      <c r="BZ582" s="628"/>
      <c r="CA582" s="628"/>
      <c r="CB582" s="628"/>
      <c r="CC582" s="628"/>
      <c r="CD582" s="628"/>
      <c r="CE582" s="628"/>
      <c r="CF582" s="628"/>
      <c r="CG582" s="628"/>
      <c r="CH582" s="629"/>
      <c r="CI582" s="627">
        <f t="shared" ref="CI582:CI591" si="8">BC582*BS582</f>
        <v>0</v>
      </c>
      <c r="CJ582" s="628"/>
      <c r="CK582" s="628"/>
      <c r="CL582" s="628"/>
      <c r="CM582" s="628"/>
      <c r="CN582" s="628"/>
      <c r="CO582" s="628"/>
      <c r="CP582" s="628"/>
      <c r="CQ582" s="628"/>
      <c r="CR582" s="628"/>
      <c r="CS582" s="628"/>
      <c r="CT582" s="628"/>
      <c r="CU582" s="628"/>
      <c r="CV582" s="628"/>
      <c r="CW582" s="628"/>
      <c r="CX582" s="628"/>
      <c r="CY582" s="628"/>
      <c r="CZ582" s="629"/>
      <c r="DA582" s="243"/>
    </row>
    <row r="583" spans="1:105" hidden="1" x14ac:dyDescent="0.25">
      <c r="A583" s="630" t="s">
        <v>446</v>
      </c>
      <c r="B583" s="631"/>
      <c r="C583" s="631"/>
      <c r="D583" s="631"/>
      <c r="E583" s="631"/>
      <c r="F583" s="631"/>
      <c r="G583" s="632"/>
      <c r="H583" s="584" t="s">
        <v>970</v>
      </c>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5"/>
      <c r="AL583" s="585"/>
      <c r="AM583" s="585"/>
      <c r="AN583" s="585"/>
      <c r="AO583" s="585"/>
      <c r="AP583" s="585"/>
      <c r="AQ583" s="585"/>
      <c r="AR583" s="585"/>
      <c r="AS583" s="585"/>
      <c r="AT583" s="585"/>
      <c r="AU583" s="585"/>
      <c r="AV583" s="585"/>
      <c r="AW583" s="585"/>
      <c r="AX583" s="585"/>
      <c r="AY583" s="585"/>
      <c r="AZ583" s="585"/>
      <c r="BA583" s="585"/>
      <c r="BB583" s="586"/>
      <c r="BC583" s="544">
        <v>1</v>
      </c>
      <c r="BD583" s="545"/>
      <c r="BE583" s="545"/>
      <c r="BF583" s="545"/>
      <c r="BG583" s="545"/>
      <c r="BH583" s="545"/>
      <c r="BI583" s="545"/>
      <c r="BJ583" s="545"/>
      <c r="BK583" s="545"/>
      <c r="BL583" s="545"/>
      <c r="BM583" s="545"/>
      <c r="BN583" s="545"/>
      <c r="BO583" s="545"/>
      <c r="BP583" s="545"/>
      <c r="BQ583" s="545"/>
      <c r="BR583" s="546"/>
      <c r="BS583" s="627"/>
      <c r="BT583" s="628"/>
      <c r="BU583" s="628"/>
      <c r="BV583" s="628"/>
      <c r="BW583" s="628"/>
      <c r="BX583" s="628"/>
      <c r="BY583" s="628"/>
      <c r="BZ583" s="628"/>
      <c r="CA583" s="628"/>
      <c r="CB583" s="628"/>
      <c r="CC583" s="628"/>
      <c r="CD583" s="628"/>
      <c r="CE583" s="628"/>
      <c r="CF583" s="628"/>
      <c r="CG583" s="628"/>
      <c r="CH583" s="629"/>
      <c r="CI583" s="627">
        <f t="shared" si="8"/>
        <v>0</v>
      </c>
      <c r="CJ583" s="628"/>
      <c r="CK583" s="628"/>
      <c r="CL583" s="628"/>
      <c r="CM583" s="628"/>
      <c r="CN583" s="628"/>
      <c r="CO583" s="628"/>
      <c r="CP583" s="628"/>
      <c r="CQ583" s="628"/>
      <c r="CR583" s="628"/>
      <c r="CS583" s="628"/>
      <c r="CT583" s="628"/>
      <c r="CU583" s="628"/>
      <c r="CV583" s="628"/>
      <c r="CW583" s="628"/>
      <c r="CX583" s="628"/>
      <c r="CY583" s="628"/>
      <c r="CZ583" s="629"/>
      <c r="DA583" s="243"/>
    </row>
    <row r="584" spans="1:105" hidden="1" x14ac:dyDescent="0.25">
      <c r="A584" s="630" t="s">
        <v>551</v>
      </c>
      <c r="B584" s="631"/>
      <c r="C584" s="631"/>
      <c r="D584" s="631"/>
      <c r="E584" s="631"/>
      <c r="F584" s="631"/>
      <c r="G584" s="632"/>
      <c r="H584" s="584" t="s">
        <v>971</v>
      </c>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5"/>
      <c r="AL584" s="585"/>
      <c r="AM584" s="585"/>
      <c r="AN584" s="585"/>
      <c r="AO584" s="585"/>
      <c r="AP584" s="585"/>
      <c r="AQ584" s="585"/>
      <c r="AR584" s="585"/>
      <c r="AS584" s="585"/>
      <c r="AT584" s="585"/>
      <c r="AU584" s="585"/>
      <c r="AV584" s="585"/>
      <c r="AW584" s="585"/>
      <c r="AX584" s="585"/>
      <c r="AY584" s="585"/>
      <c r="AZ584" s="585"/>
      <c r="BA584" s="585"/>
      <c r="BB584" s="586"/>
      <c r="BC584" s="544">
        <v>1</v>
      </c>
      <c r="BD584" s="545"/>
      <c r="BE584" s="545"/>
      <c r="BF584" s="545"/>
      <c r="BG584" s="545"/>
      <c r="BH584" s="545"/>
      <c r="BI584" s="545"/>
      <c r="BJ584" s="545"/>
      <c r="BK584" s="545"/>
      <c r="BL584" s="545"/>
      <c r="BM584" s="545"/>
      <c r="BN584" s="545"/>
      <c r="BO584" s="545"/>
      <c r="BP584" s="545"/>
      <c r="BQ584" s="545"/>
      <c r="BR584" s="546"/>
      <c r="BS584" s="627"/>
      <c r="BT584" s="628"/>
      <c r="BU584" s="628"/>
      <c r="BV584" s="628"/>
      <c r="BW584" s="628"/>
      <c r="BX584" s="628"/>
      <c r="BY584" s="628"/>
      <c r="BZ584" s="628"/>
      <c r="CA584" s="628"/>
      <c r="CB584" s="628"/>
      <c r="CC584" s="628"/>
      <c r="CD584" s="628"/>
      <c r="CE584" s="628"/>
      <c r="CF584" s="628"/>
      <c r="CG584" s="628"/>
      <c r="CH584" s="629"/>
      <c r="CI584" s="627">
        <f t="shared" si="8"/>
        <v>0</v>
      </c>
      <c r="CJ584" s="628"/>
      <c r="CK584" s="628"/>
      <c r="CL584" s="628"/>
      <c r="CM584" s="628"/>
      <c r="CN584" s="628"/>
      <c r="CO584" s="628"/>
      <c r="CP584" s="628"/>
      <c r="CQ584" s="628"/>
      <c r="CR584" s="628"/>
      <c r="CS584" s="628"/>
      <c r="CT584" s="628"/>
      <c r="CU584" s="628"/>
      <c r="CV584" s="628"/>
      <c r="CW584" s="628"/>
      <c r="CX584" s="628"/>
      <c r="CY584" s="628"/>
      <c r="CZ584" s="629"/>
      <c r="DA584" s="243"/>
    </row>
    <row r="585" spans="1:105" hidden="1" x14ac:dyDescent="0.25">
      <c r="A585" s="630" t="s">
        <v>599</v>
      </c>
      <c r="B585" s="631"/>
      <c r="C585" s="631"/>
      <c r="D585" s="631"/>
      <c r="E585" s="631"/>
      <c r="F585" s="631"/>
      <c r="G585" s="632"/>
      <c r="H585" s="584" t="s">
        <v>931</v>
      </c>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5"/>
      <c r="AL585" s="585"/>
      <c r="AM585" s="585"/>
      <c r="AN585" s="585"/>
      <c r="AO585" s="585"/>
      <c r="AP585" s="585"/>
      <c r="AQ585" s="585"/>
      <c r="AR585" s="585"/>
      <c r="AS585" s="585"/>
      <c r="AT585" s="585"/>
      <c r="AU585" s="585"/>
      <c r="AV585" s="585"/>
      <c r="AW585" s="585"/>
      <c r="AX585" s="585"/>
      <c r="AY585" s="585"/>
      <c r="AZ585" s="585"/>
      <c r="BA585" s="585"/>
      <c r="BB585" s="586"/>
      <c r="BC585" s="544">
        <v>4</v>
      </c>
      <c r="BD585" s="545"/>
      <c r="BE585" s="545"/>
      <c r="BF585" s="545"/>
      <c r="BG585" s="545"/>
      <c r="BH585" s="545"/>
      <c r="BI585" s="545"/>
      <c r="BJ585" s="545"/>
      <c r="BK585" s="545"/>
      <c r="BL585" s="545"/>
      <c r="BM585" s="545"/>
      <c r="BN585" s="545"/>
      <c r="BO585" s="545"/>
      <c r="BP585" s="545"/>
      <c r="BQ585" s="545"/>
      <c r="BR585" s="546"/>
      <c r="BS585" s="627"/>
      <c r="BT585" s="628"/>
      <c r="BU585" s="628"/>
      <c r="BV585" s="628"/>
      <c r="BW585" s="628"/>
      <c r="BX585" s="628"/>
      <c r="BY585" s="628"/>
      <c r="BZ585" s="628"/>
      <c r="CA585" s="628"/>
      <c r="CB585" s="628"/>
      <c r="CC585" s="628"/>
      <c r="CD585" s="628"/>
      <c r="CE585" s="628"/>
      <c r="CF585" s="628"/>
      <c r="CG585" s="628"/>
      <c r="CH585" s="629"/>
      <c r="CI585" s="627">
        <f t="shared" si="8"/>
        <v>0</v>
      </c>
      <c r="CJ585" s="628"/>
      <c r="CK585" s="628"/>
      <c r="CL585" s="628"/>
      <c r="CM585" s="628"/>
      <c r="CN585" s="628"/>
      <c r="CO585" s="628"/>
      <c r="CP585" s="628"/>
      <c r="CQ585" s="628"/>
      <c r="CR585" s="628"/>
      <c r="CS585" s="628"/>
      <c r="CT585" s="628"/>
      <c r="CU585" s="628"/>
      <c r="CV585" s="628"/>
      <c r="CW585" s="628"/>
      <c r="CX585" s="628"/>
      <c r="CY585" s="628"/>
      <c r="CZ585" s="629"/>
      <c r="DA585" s="243"/>
    </row>
    <row r="586" spans="1:105" hidden="1" x14ac:dyDescent="0.25">
      <c r="A586" s="630" t="s">
        <v>642</v>
      </c>
      <c r="B586" s="631"/>
      <c r="C586" s="631"/>
      <c r="D586" s="631"/>
      <c r="E586" s="631"/>
      <c r="F586" s="631"/>
      <c r="G586" s="632"/>
      <c r="H586" s="584"/>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5"/>
      <c r="AL586" s="585"/>
      <c r="AM586" s="585"/>
      <c r="AN586" s="585"/>
      <c r="AO586" s="585"/>
      <c r="AP586" s="585"/>
      <c r="AQ586" s="585"/>
      <c r="AR586" s="585"/>
      <c r="AS586" s="585"/>
      <c r="AT586" s="585"/>
      <c r="AU586" s="585"/>
      <c r="AV586" s="585"/>
      <c r="AW586" s="585"/>
      <c r="AX586" s="585"/>
      <c r="AY586" s="585"/>
      <c r="AZ586" s="585"/>
      <c r="BA586" s="585"/>
      <c r="BB586" s="586"/>
      <c r="BC586" s="544"/>
      <c r="BD586" s="545"/>
      <c r="BE586" s="545"/>
      <c r="BF586" s="545"/>
      <c r="BG586" s="545"/>
      <c r="BH586" s="545"/>
      <c r="BI586" s="545"/>
      <c r="BJ586" s="545"/>
      <c r="BK586" s="545"/>
      <c r="BL586" s="545"/>
      <c r="BM586" s="545"/>
      <c r="BN586" s="545"/>
      <c r="BO586" s="545"/>
      <c r="BP586" s="545"/>
      <c r="BQ586" s="545"/>
      <c r="BR586" s="546"/>
      <c r="BS586" s="627"/>
      <c r="BT586" s="628"/>
      <c r="BU586" s="628"/>
      <c r="BV586" s="628"/>
      <c r="BW586" s="628"/>
      <c r="BX586" s="628"/>
      <c r="BY586" s="628"/>
      <c r="BZ586" s="628"/>
      <c r="CA586" s="628"/>
      <c r="CB586" s="628"/>
      <c r="CC586" s="628"/>
      <c r="CD586" s="628"/>
      <c r="CE586" s="628"/>
      <c r="CF586" s="628"/>
      <c r="CG586" s="628"/>
      <c r="CH586" s="629"/>
      <c r="CI586" s="627"/>
      <c r="CJ586" s="628"/>
      <c r="CK586" s="628"/>
      <c r="CL586" s="628"/>
      <c r="CM586" s="628"/>
      <c r="CN586" s="628"/>
      <c r="CO586" s="628"/>
      <c r="CP586" s="628"/>
      <c r="CQ586" s="628"/>
      <c r="CR586" s="628"/>
      <c r="CS586" s="628"/>
      <c r="CT586" s="628"/>
      <c r="CU586" s="628"/>
      <c r="CV586" s="628"/>
      <c r="CW586" s="628"/>
      <c r="CX586" s="628"/>
      <c r="CY586" s="628"/>
      <c r="CZ586" s="629"/>
      <c r="DA586" s="243"/>
    </row>
    <row r="587" spans="1:105" hidden="1" x14ac:dyDescent="0.25">
      <c r="A587" s="630" t="s">
        <v>648</v>
      </c>
      <c r="B587" s="631"/>
      <c r="C587" s="631"/>
      <c r="D587" s="631"/>
      <c r="E587" s="631"/>
      <c r="F587" s="631"/>
      <c r="G587" s="632"/>
      <c r="H587" s="584"/>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5"/>
      <c r="AL587" s="585"/>
      <c r="AM587" s="585"/>
      <c r="AN587" s="585"/>
      <c r="AO587" s="585"/>
      <c r="AP587" s="585"/>
      <c r="AQ587" s="585"/>
      <c r="AR587" s="585"/>
      <c r="AS587" s="585"/>
      <c r="AT587" s="585"/>
      <c r="AU587" s="585"/>
      <c r="AV587" s="585"/>
      <c r="AW587" s="585"/>
      <c r="AX587" s="585"/>
      <c r="AY587" s="585"/>
      <c r="AZ587" s="585"/>
      <c r="BA587" s="585"/>
      <c r="BB587" s="586"/>
      <c r="BC587" s="544"/>
      <c r="BD587" s="545"/>
      <c r="BE587" s="545"/>
      <c r="BF587" s="545"/>
      <c r="BG587" s="545"/>
      <c r="BH587" s="545"/>
      <c r="BI587" s="545"/>
      <c r="BJ587" s="545"/>
      <c r="BK587" s="545"/>
      <c r="BL587" s="545"/>
      <c r="BM587" s="545"/>
      <c r="BN587" s="545"/>
      <c r="BO587" s="545"/>
      <c r="BP587" s="545"/>
      <c r="BQ587" s="545"/>
      <c r="BR587" s="546"/>
      <c r="BS587" s="627"/>
      <c r="BT587" s="628"/>
      <c r="BU587" s="628"/>
      <c r="BV587" s="628"/>
      <c r="BW587" s="628"/>
      <c r="BX587" s="628"/>
      <c r="BY587" s="628"/>
      <c r="BZ587" s="628"/>
      <c r="CA587" s="628"/>
      <c r="CB587" s="628"/>
      <c r="CC587" s="628"/>
      <c r="CD587" s="628"/>
      <c r="CE587" s="628"/>
      <c r="CF587" s="628"/>
      <c r="CG587" s="628"/>
      <c r="CH587" s="629"/>
      <c r="CI587" s="627">
        <f t="shared" si="8"/>
        <v>0</v>
      </c>
      <c r="CJ587" s="628"/>
      <c r="CK587" s="628"/>
      <c r="CL587" s="628"/>
      <c r="CM587" s="628"/>
      <c r="CN587" s="628"/>
      <c r="CO587" s="628"/>
      <c r="CP587" s="628"/>
      <c r="CQ587" s="628"/>
      <c r="CR587" s="628"/>
      <c r="CS587" s="628"/>
      <c r="CT587" s="628"/>
      <c r="CU587" s="628"/>
      <c r="CV587" s="628"/>
      <c r="CW587" s="628"/>
      <c r="CX587" s="628"/>
      <c r="CY587" s="628"/>
      <c r="CZ587" s="629"/>
      <c r="DA587" s="243"/>
    </row>
    <row r="588" spans="1:105" ht="23.25" hidden="1" customHeight="1" x14ac:dyDescent="0.25">
      <c r="A588" s="630" t="s">
        <v>650</v>
      </c>
      <c r="B588" s="631"/>
      <c r="C588" s="631"/>
      <c r="D588" s="631"/>
      <c r="E588" s="631"/>
      <c r="F588" s="631"/>
      <c r="G588" s="632"/>
      <c r="H588" s="584"/>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5"/>
      <c r="AL588" s="585"/>
      <c r="AM588" s="585"/>
      <c r="AN588" s="585"/>
      <c r="AO588" s="585"/>
      <c r="AP588" s="585"/>
      <c r="AQ588" s="585"/>
      <c r="AR588" s="585"/>
      <c r="AS588" s="585"/>
      <c r="AT588" s="585"/>
      <c r="AU588" s="585"/>
      <c r="AV588" s="585"/>
      <c r="AW588" s="585"/>
      <c r="AX588" s="585"/>
      <c r="AY588" s="585"/>
      <c r="AZ588" s="585"/>
      <c r="BA588" s="585"/>
      <c r="BB588" s="586"/>
      <c r="BC588" s="544"/>
      <c r="BD588" s="545"/>
      <c r="BE588" s="545"/>
      <c r="BF588" s="545"/>
      <c r="BG588" s="545"/>
      <c r="BH588" s="545"/>
      <c r="BI588" s="545"/>
      <c r="BJ588" s="545"/>
      <c r="BK588" s="545"/>
      <c r="BL588" s="545"/>
      <c r="BM588" s="545"/>
      <c r="BN588" s="545"/>
      <c r="BO588" s="545"/>
      <c r="BP588" s="545"/>
      <c r="BQ588" s="545"/>
      <c r="BR588" s="546"/>
      <c r="BS588" s="627"/>
      <c r="BT588" s="628"/>
      <c r="BU588" s="628"/>
      <c r="BV588" s="628"/>
      <c r="BW588" s="628"/>
      <c r="BX588" s="628"/>
      <c r="BY588" s="628"/>
      <c r="BZ588" s="628"/>
      <c r="CA588" s="628"/>
      <c r="CB588" s="628"/>
      <c r="CC588" s="628"/>
      <c r="CD588" s="628"/>
      <c r="CE588" s="628"/>
      <c r="CF588" s="628"/>
      <c r="CG588" s="628"/>
      <c r="CH588" s="629"/>
      <c r="CI588" s="627">
        <f t="shared" si="8"/>
        <v>0</v>
      </c>
      <c r="CJ588" s="628"/>
      <c r="CK588" s="628"/>
      <c r="CL588" s="628"/>
      <c r="CM588" s="628"/>
      <c r="CN588" s="628"/>
      <c r="CO588" s="628"/>
      <c r="CP588" s="628"/>
      <c r="CQ588" s="628"/>
      <c r="CR588" s="628"/>
      <c r="CS588" s="628"/>
      <c r="CT588" s="628"/>
      <c r="CU588" s="628"/>
      <c r="CV588" s="628"/>
      <c r="CW588" s="628"/>
      <c r="CX588" s="628"/>
      <c r="CY588" s="628"/>
      <c r="CZ588" s="629"/>
      <c r="DA588" s="243"/>
    </row>
    <row r="589" spans="1:105" ht="23.25" hidden="1" customHeight="1" x14ac:dyDescent="0.25">
      <c r="A589" s="630" t="s">
        <v>651</v>
      </c>
      <c r="B589" s="631"/>
      <c r="C589" s="631"/>
      <c r="D589" s="631"/>
      <c r="E589" s="631"/>
      <c r="F589" s="631"/>
      <c r="G589" s="632"/>
      <c r="H589" s="584"/>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5"/>
      <c r="AL589" s="585"/>
      <c r="AM589" s="585"/>
      <c r="AN589" s="585"/>
      <c r="AO589" s="585"/>
      <c r="AP589" s="585"/>
      <c r="AQ589" s="585"/>
      <c r="AR589" s="585"/>
      <c r="AS589" s="585"/>
      <c r="AT589" s="585"/>
      <c r="AU589" s="585"/>
      <c r="AV589" s="585"/>
      <c r="AW589" s="585"/>
      <c r="AX589" s="585"/>
      <c r="AY589" s="585"/>
      <c r="AZ589" s="585"/>
      <c r="BA589" s="585"/>
      <c r="BB589" s="586"/>
      <c r="BC589" s="544"/>
      <c r="BD589" s="545"/>
      <c r="BE589" s="545"/>
      <c r="BF589" s="545"/>
      <c r="BG589" s="545"/>
      <c r="BH589" s="545"/>
      <c r="BI589" s="545"/>
      <c r="BJ589" s="545"/>
      <c r="BK589" s="545"/>
      <c r="BL589" s="545"/>
      <c r="BM589" s="545"/>
      <c r="BN589" s="545"/>
      <c r="BO589" s="545"/>
      <c r="BP589" s="545"/>
      <c r="BQ589" s="545"/>
      <c r="BR589" s="546"/>
      <c r="BS589" s="627"/>
      <c r="BT589" s="628"/>
      <c r="BU589" s="628"/>
      <c r="BV589" s="628"/>
      <c r="BW589" s="628"/>
      <c r="BX589" s="628"/>
      <c r="BY589" s="628"/>
      <c r="BZ589" s="628"/>
      <c r="CA589" s="628"/>
      <c r="CB589" s="628"/>
      <c r="CC589" s="628"/>
      <c r="CD589" s="628"/>
      <c r="CE589" s="628"/>
      <c r="CF589" s="628"/>
      <c r="CG589" s="628"/>
      <c r="CH589" s="629"/>
      <c r="CI589" s="627">
        <f t="shared" si="8"/>
        <v>0</v>
      </c>
      <c r="CJ589" s="628"/>
      <c r="CK589" s="628"/>
      <c r="CL589" s="628"/>
      <c r="CM589" s="628"/>
      <c r="CN589" s="628"/>
      <c r="CO589" s="628"/>
      <c r="CP589" s="628"/>
      <c r="CQ589" s="628"/>
      <c r="CR589" s="628"/>
      <c r="CS589" s="628"/>
      <c r="CT589" s="628"/>
      <c r="CU589" s="628"/>
      <c r="CV589" s="628"/>
      <c r="CW589" s="628"/>
      <c r="CX589" s="628"/>
      <c r="CY589" s="628"/>
      <c r="CZ589" s="629"/>
      <c r="DA589" s="243"/>
    </row>
    <row r="590" spans="1:105" ht="23.25" hidden="1" customHeight="1" x14ac:dyDescent="0.25">
      <c r="A590" s="630" t="s">
        <v>653</v>
      </c>
      <c r="B590" s="631"/>
      <c r="C590" s="631"/>
      <c r="D590" s="631"/>
      <c r="E590" s="631"/>
      <c r="F590" s="631"/>
      <c r="G590" s="632"/>
      <c r="H590" s="584"/>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5"/>
      <c r="AL590" s="585"/>
      <c r="AM590" s="585"/>
      <c r="AN590" s="585"/>
      <c r="AO590" s="585"/>
      <c r="AP590" s="585"/>
      <c r="AQ590" s="585"/>
      <c r="AR590" s="585"/>
      <c r="AS590" s="585"/>
      <c r="AT590" s="585"/>
      <c r="AU590" s="585"/>
      <c r="AV590" s="585"/>
      <c r="AW590" s="585"/>
      <c r="AX590" s="585"/>
      <c r="AY590" s="585"/>
      <c r="AZ590" s="585"/>
      <c r="BA590" s="585"/>
      <c r="BB590" s="586"/>
      <c r="BC590" s="544"/>
      <c r="BD590" s="545"/>
      <c r="BE590" s="545"/>
      <c r="BF590" s="545"/>
      <c r="BG590" s="545"/>
      <c r="BH590" s="545"/>
      <c r="BI590" s="545"/>
      <c r="BJ590" s="545"/>
      <c r="BK590" s="545"/>
      <c r="BL590" s="545"/>
      <c r="BM590" s="545"/>
      <c r="BN590" s="545"/>
      <c r="BO590" s="545"/>
      <c r="BP590" s="545"/>
      <c r="BQ590" s="545"/>
      <c r="BR590" s="546"/>
      <c r="BS590" s="627"/>
      <c r="BT590" s="628"/>
      <c r="BU590" s="628"/>
      <c r="BV590" s="628"/>
      <c r="BW590" s="628"/>
      <c r="BX590" s="628"/>
      <c r="BY590" s="628"/>
      <c r="BZ590" s="628"/>
      <c r="CA590" s="628"/>
      <c r="CB590" s="628"/>
      <c r="CC590" s="628"/>
      <c r="CD590" s="628"/>
      <c r="CE590" s="628"/>
      <c r="CF590" s="628"/>
      <c r="CG590" s="628"/>
      <c r="CH590" s="629"/>
      <c r="CI590" s="627">
        <f t="shared" si="8"/>
        <v>0</v>
      </c>
      <c r="CJ590" s="628"/>
      <c r="CK590" s="628"/>
      <c r="CL590" s="628"/>
      <c r="CM590" s="628"/>
      <c r="CN590" s="628"/>
      <c r="CO590" s="628"/>
      <c r="CP590" s="628"/>
      <c r="CQ590" s="628"/>
      <c r="CR590" s="628"/>
      <c r="CS590" s="628"/>
      <c r="CT590" s="628"/>
      <c r="CU590" s="628"/>
      <c r="CV590" s="628"/>
      <c r="CW590" s="628"/>
      <c r="CX590" s="628"/>
      <c r="CY590" s="628"/>
      <c r="CZ590" s="629"/>
      <c r="DA590" s="243"/>
    </row>
    <row r="591" spans="1:105" ht="23.25" hidden="1" customHeight="1" x14ac:dyDescent="0.25">
      <c r="A591" s="630" t="s">
        <v>654</v>
      </c>
      <c r="B591" s="631"/>
      <c r="C591" s="631"/>
      <c r="D591" s="631"/>
      <c r="E591" s="631"/>
      <c r="F591" s="631"/>
      <c r="G591" s="632"/>
      <c r="H591" s="584"/>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5"/>
      <c r="AL591" s="585"/>
      <c r="AM591" s="585"/>
      <c r="AN591" s="585"/>
      <c r="AO591" s="585"/>
      <c r="AP591" s="585"/>
      <c r="AQ591" s="585"/>
      <c r="AR591" s="585"/>
      <c r="AS591" s="585"/>
      <c r="AT591" s="585"/>
      <c r="AU591" s="585"/>
      <c r="AV591" s="585"/>
      <c r="AW591" s="585"/>
      <c r="AX591" s="585"/>
      <c r="AY591" s="585"/>
      <c r="AZ591" s="585"/>
      <c r="BA591" s="585"/>
      <c r="BB591" s="586"/>
      <c r="BC591" s="544"/>
      <c r="BD591" s="545"/>
      <c r="BE591" s="545"/>
      <c r="BF591" s="545"/>
      <c r="BG591" s="545"/>
      <c r="BH591" s="545"/>
      <c r="BI591" s="545"/>
      <c r="BJ591" s="545"/>
      <c r="BK591" s="545"/>
      <c r="BL591" s="545"/>
      <c r="BM591" s="545"/>
      <c r="BN591" s="545"/>
      <c r="BO591" s="545"/>
      <c r="BP591" s="545"/>
      <c r="BQ591" s="545"/>
      <c r="BR591" s="546"/>
      <c r="BS591" s="627"/>
      <c r="BT591" s="628"/>
      <c r="BU591" s="628"/>
      <c r="BV591" s="628"/>
      <c r="BW591" s="628"/>
      <c r="BX591" s="628"/>
      <c r="BY591" s="628"/>
      <c r="BZ591" s="628"/>
      <c r="CA591" s="628"/>
      <c r="CB591" s="628"/>
      <c r="CC591" s="628"/>
      <c r="CD591" s="628"/>
      <c r="CE591" s="628"/>
      <c r="CF591" s="628"/>
      <c r="CG591" s="628"/>
      <c r="CH591" s="629"/>
      <c r="CI591" s="627">
        <f t="shared" si="8"/>
        <v>0</v>
      </c>
      <c r="CJ591" s="628"/>
      <c r="CK591" s="628"/>
      <c r="CL591" s="628"/>
      <c r="CM591" s="628"/>
      <c r="CN591" s="628"/>
      <c r="CO591" s="628"/>
      <c r="CP591" s="628"/>
      <c r="CQ591" s="628"/>
      <c r="CR591" s="628"/>
      <c r="CS591" s="628"/>
      <c r="CT591" s="628"/>
      <c r="CU591" s="628"/>
      <c r="CV591" s="628"/>
      <c r="CW591" s="628"/>
      <c r="CX591" s="628"/>
      <c r="CY591" s="628"/>
      <c r="CZ591" s="629"/>
      <c r="DA591" s="243"/>
    </row>
    <row r="592" spans="1:105" ht="22.95" customHeight="1" x14ac:dyDescent="0.25">
      <c r="A592" s="633" t="s">
        <v>292</v>
      </c>
      <c r="B592" s="634"/>
      <c r="C592" s="634"/>
      <c r="D592" s="634"/>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4"/>
      <c r="AY592" s="634"/>
      <c r="AZ592" s="634"/>
      <c r="BA592" s="634"/>
      <c r="BB592" s="635"/>
      <c r="BC592" s="582" t="s">
        <v>4</v>
      </c>
      <c r="BD592" s="582"/>
      <c r="BE592" s="582"/>
      <c r="BF592" s="582"/>
      <c r="BG592" s="582"/>
      <c r="BH592" s="582"/>
      <c r="BI592" s="582"/>
      <c r="BJ592" s="582"/>
      <c r="BK592" s="582"/>
      <c r="BL592" s="582"/>
      <c r="BM592" s="582"/>
      <c r="BN592" s="582"/>
      <c r="BO592" s="582"/>
      <c r="BP592" s="582"/>
      <c r="BQ592" s="582"/>
      <c r="BR592" s="582"/>
      <c r="BS592" s="544" t="s">
        <v>4</v>
      </c>
      <c r="BT592" s="545"/>
      <c r="BU592" s="545"/>
      <c r="BV592" s="545"/>
      <c r="BW592" s="545"/>
      <c r="BX592" s="545"/>
      <c r="BY592" s="545"/>
      <c r="BZ592" s="545"/>
      <c r="CA592" s="545"/>
      <c r="CB592" s="545"/>
      <c r="CC592" s="545"/>
      <c r="CD592" s="545"/>
      <c r="CE592" s="545"/>
      <c r="CF592" s="545"/>
      <c r="CG592" s="545"/>
      <c r="CH592" s="546"/>
      <c r="CI592" s="636">
        <f>SUM(CI581:CZ591)</f>
        <v>0</v>
      </c>
      <c r="CJ592" s="654"/>
      <c r="CK592" s="654"/>
      <c r="CL592" s="654"/>
      <c r="CM592" s="654"/>
      <c r="CN592" s="654"/>
      <c r="CO592" s="654"/>
      <c r="CP592" s="654"/>
      <c r="CQ592" s="654"/>
      <c r="CR592" s="654"/>
      <c r="CS592" s="654"/>
      <c r="CT592" s="654"/>
      <c r="CU592" s="654"/>
      <c r="CV592" s="654"/>
      <c r="CW592" s="654"/>
      <c r="CX592" s="654"/>
      <c r="CY592" s="654"/>
      <c r="CZ592" s="655"/>
      <c r="DA592" s="243"/>
    </row>
    <row r="593" spans="1:105" ht="23.25" customHeight="1" x14ac:dyDescent="0.25">
      <c r="A593" s="648" t="s">
        <v>569</v>
      </c>
      <c r="B593" s="649"/>
      <c r="C593" s="649"/>
      <c r="D593" s="649"/>
      <c r="E593" s="649"/>
      <c r="F593" s="649"/>
      <c r="G593" s="649"/>
      <c r="H593" s="649"/>
      <c r="I593" s="649"/>
      <c r="J593" s="649"/>
      <c r="K593" s="649"/>
      <c r="L593" s="649"/>
      <c r="M593" s="649"/>
      <c r="N593" s="649"/>
      <c r="O593" s="649"/>
      <c r="P593" s="649"/>
      <c r="Q593" s="649"/>
      <c r="R593" s="649"/>
      <c r="S593" s="649"/>
      <c r="T593" s="649"/>
      <c r="U593" s="649"/>
      <c r="V593" s="649"/>
      <c r="W593" s="649"/>
      <c r="X593" s="649"/>
      <c r="Y593" s="649"/>
      <c r="Z593" s="649"/>
      <c r="AA593" s="649"/>
      <c r="AB593" s="649"/>
      <c r="AC593" s="649"/>
      <c r="AD593" s="649"/>
      <c r="AE593" s="649"/>
      <c r="AF593" s="649"/>
      <c r="AG593" s="649"/>
      <c r="AH593" s="649"/>
      <c r="AI593" s="649"/>
      <c r="AJ593" s="649"/>
      <c r="AK593" s="649"/>
      <c r="AL593" s="649"/>
      <c r="AM593" s="649"/>
      <c r="AN593" s="649"/>
      <c r="AO593" s="649"/>
      <c r="AP593" s="649"/>
      <c r="AQ593" s="649"/>
      <c r="AR593" s="649"/>
      <c r="AS593" s="649"/>
      <c r="AT593" s="649"/>
      <c r="AU593" s="649"/>
      <c r="AV593" s="649"/>
      <c r="AW593" s="649"/>
      <c r="AX593" s="649"/>
      <c r="AY593" s="649"/>
      <c r="AZ593" s="649"/>
      <c r="BA593" s="649"/>
      <c r="BB593" s="649"/>
      <c r="BC593" s="649"/>
      <c r="BD593" s="649"/>
      <c r="BE593" s="649"/>
      <c r="BF593" s="649"/>
      <c r="BG593" s="649"/>
      <c r="BH593" s="649"/>
      <c r="BI593" s="649"/>
      <c r="BJ593" s="649"/>
      <c r="BK593" s="649"/>
      <c r="BL593" s="649"/>
      <c r="BM593" s="649"/>
      <c r="BN593" s="649"/>
      <c r="BO593" s="649"/>
      <c r="BP593" s="649"/>
      <c r="BQ593" s="649"/>
      <c r="BR593" s="649"/>
      <c r="BS593" s="649"/>
      <c r="BT593" s="649"/>
      <c r="BU593" s="649"/>
      <c r="BV593" s="649"/>
      <c r="BW593" s="649"/>
      <c r="BX593" s="649"/>
      <c r="BY593" s="649"/>
      <c r="BZ593" s="649"/>
      <c r="CA593" s="649"/>
      <c r="CB593" s="649"/>
      <c r="CC593" s="649"/>
      <c r="CD593" s="649"/>
      <c r="CE593" s="649"/>
      <c r="CF593" s="649"/>
      <c r="CG593" s="649"/>
      <c r="CH593" s="649"/>
      <c r="CI593" s="649"/>
      <c r="CJ593" s="649"/>
      <c r="CK593" s="649"/>
      <c r="CL593" s="649"/>
      <c r="CM593" s="649"/>
      <c r="CN593" s="649"/>
      <c r="CO593" s="649"/>
      <c r="CP593" s="649"/>
      <c r="CQ593" s="649"/>
      <c r="CR593" s="649"/>
      <c r="CS593" s="649"/>
      <c r="CT593" s="649"/>
      <c r="CU593" s="649"/>
      <c r="CV593" s="649"/>
      <c r="CW593" s="649"/>
      <c r="CX593" s="649"/>
      <c r="CY593" s="649"/>
      <c r="CZ593" s="650"/>
      <c r="DA593" s="243"/>
    </row>
    <row r="594" spans="1:105" ht="23.25" hidden="1" customHeight="1" x14ac:dyDescent="0.25">
      <c r="A594" s="630" t="s">
        <v>441</v>
      </c>
      <c r="B594" s="631"/>
      <c r="C594" s="631"/>
      <c r="D594" s="631"/>
      <c r="E594" s="631"/>
      <c r="F594" s="631"/>
      <c r="G594" s="632"/>
      <c r="H594" s="584" t="s">
        <v>995</v>
      </c>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5"/>
      <c r="AL594" s="585"/>
      <c r="AM594" s="585"/>
      <c r="AN594" s="585"/>
      <c r="AO594" s="585"/>
      <c r="AP594" s="585"/>
      <c r="AQ594" s="585"/>
      <c r="AR594" s="585"/>
      <c r="AS594" s="585"/>
      <c r="AT594" s="585"/>
      <c r="AU594" s="585"/>
      <c r="AV594" s="585"/>
      <c r="AW594" s="585"/>
      <c r="AX594" s="585"/>
      <c r="AY594" s="585"/>
      <c r="AZ594" s="585"/>
      <c r="BA594" s="585"/>
      <c r="BB594" s="586"/>
      <c r="BC594" s="544">
        <v>24</v>
      </c>
      <c r="BD594" s="545"/>
      <c r="BE594" s="545"/>
      <c r="BF594" s="545"/>
      <c r="BG594" s="545"/>
      <c r="BH594" s="545"/>
      <c r="BI594" s="545"/>
      <c r="BJ594" s="545"/>
      <c r="BK594" s="545"/>
      <c r="BL594" s="545"/>
      <c r="BM594" s="545"/>
      <c r="BN594" s="545"/>
      <c r="BO594" s="545"/>
      <c r="BP594" s="545"/>
      <c r="BQ594" s="545"/>
      <c r="BR594" s="546"/>
      <c r="BS594" s="627">
        <f>CI594/BC594</f>
        <v>0</v>
      </c>
      <c r="BT594" s="628"/>
      <c r="BU594" s="628"/>
      <c r="BV594" s="628"/>
      <c r="BW594" s="628"/>
      <c r="BX594" s="628"/>
      <c r="BY594" s="628"/>
      <c r="BZ594" s="628"/>
      <c r="CA594" s="628"/>
      <c r="CB594" s="628"/>
      <c r="CC594" s="628"/>
      <c r="CD594" s="628"/>
      <c r="CE594" s="628"/>
      <c r="CF594" s="628"/>
      <c r="CG594" s="628"/>
      <c r="CH594" s="629"/>
      <c r="CI594" s="627"/>
      <c r="CJ594" s="628"/>
      <c r="CK594" s="628"/>
      <c r="CL594" s="628"/>
      <c r="CM594" s="628"/>
      <c r="CN594" s="628"/>
      <c r="CO594" s="628"/>
      <c r="CP594" s="628"/>
      <c r="CQ594" s="628"/>
      <c r="CR594" s="628"/>
      <c r="CS594" s="628"/>
      <c r="CT594" s="628"/>
      <c r="CU594" s="628"/>
      <c r="CV594" s="628"/>
      <c r="CW594" s="628"/>
      <c r="CX594" s="628"/>
      <c r="CY594" s="628"/>
      <c r="CZ594" s="629"/>
      <c r="DA594" s="243"/>
    </row>
    <row r="595" spans="1:105" ht="23.25" hidden="1" customHeight="1" x14ac:dyDescent="0.25">
      <c r="A595" s="630"/>
      <c r="B595" s="631"/>
      <c r="C595" s="631"/>
      <c r="D595" s="631"/>
      <c r="E595" s="631"/>
      <c r="F595" s="631"/>
      <c r="G595" s="632"/>
      <c r="H595" s="584"/>
      <c r="I595" s="585"/>
      <c r="J595" s="585"/>
      <c r="K595" s="585"/>
      <c r="L595" s="585"/>
      <c r="M595" s="585"/>
      <c r="N595" s="585"/>
      <c r="O595" s="585"/>
      <c r="P595" s="585"/>
      <c r="Q595" s="585"/>
      <c r="R595" s="585"/>
      <c r="S595" s="585"/>
      <c r="T595" s="585"/>
      <c r="U595" s="585"/>
      <c r="V595" s="585"/>
      <c r="W595" s="585"/>
      <c r="X595" s="585"/>
      <c r="Y595" s="585"/>
      <c r="Z595" s="585"/>
      <c r="AA595" s="585"/>
      <c r="AB595" s="585"/>
      <c r="AC595" s="585"/>
      <c r="AD595" s="585"/>
      <c r="AE595" s="585"/>
      <c r="AF595" s="585"/>
      <c r="AG595" s="585"/>
      <c r="AH595" s="585"/>
      <c r="AI595" s="585"/>
      <c r="AJ595" s="585"/>
      <c r="AK595" s="585"/>
      <c r="AL595" s="585"/>
      <c r="AM595" s="585"/>
      <c r="AN595" s="585"/>
      <c r="AO595" s="585"/>
      <c r="AP595" s="585"/>
      <c r="AQ595" s="585"/>
      <c r="AR595" s="585"/>
      <c r="AS595" s="585"/>
      <c r="AT595" s="585"/>
      <c r="AU595" s="585"/>
      <c r="AV595" s="585"/>
      <c r="AW595" s="585"/>
      <c r="AX595" s="585"/>
      <c r="AY595" s="585"/>
      <c r="AZ595" s="585"/>
      <c r="BA595" s="585"/>
      <c r="BB595" s="586"/>
      <c r="BC595" s="544"/>
      <c r="BD595" s="545"/>
      <c r="BE595" s="545"/>
      <c r="BF595" s="545"/>
      <c r="BG595" s="545"/>
      <c r="BH595" s="545"/>
      <c r="BI595" s="545"/>
      <c r="BJ595" s="545"/>
      <c r="BK595" s="545"/>
      <c r="BL595" s="545"/>
      <c r="BM595" s="545"/>
      <c r="BN595" s="545"/>
      <c r="BO595" s="545"/>
      <c r="BP595" s="545"/>
      <c r="BQ595" s="545"/>
      <c r="BR595" s="546"/>
      <c r="BS595" s="627"/>
      <c r="BT595" s="628"/>
      <c r="BU595" s="628"/>
      <c r="BV595" s="628"/>
      <c r="BW595" s="628"/>
      <c r="BX595" s="628"/>
      <c r="BY595" s="628"/>
      <c r="BZ595" s="628"/>
      <c r="CA595" s="628"/>
      <c r="CB595" s="628"/>
      <c r="CC595" s="628"/>
      <c r="CD595" s="628"/>
      <c r="CE595" s="628"/>
      <c r="CF595" s="628"/>
      <c r="CG595" s="628"/>
      <c r="CH595" s="629"/>
      <c r="CI595" s="627"/>
      <c r="CJ595" s="628"/>
      <c r="CK595" s="628"/>
      <c r="CL595" s="628"/>
      <c r="CM595" s="628"/>
      <c r="CN595" s="628"/>
      <c r="CO595" s="628"/>
      <c r="CP595" s="628"/>
      <c r="CQ595" s="628"/>
      <c r="CR595" s="628"/>
      <c r="CS595" s="628"/>
      <c r="CT595" s="628"/>
      <c r="CU595" s="628"/>
      <c r="CV595" s="628"/>
      <c r="CW595" s="628"/>
      <c r="CX595" s="628"/>
      <c r="CY595" s="628"/>
      <c r="CZ595" s="629"/>
      <c r="DA595" s="243"/>
    </row>
    <row r="596" spans="1:105" ht="23.25" hidden="1" customHeight="1" x14ac:dyDescent="0.25">
      <c r="A596" s="630"/>
      <c r="B596" s="631"/>
      <c r="C596" s="631"/>
      <c r="D596" s="631"/>
      <c r="E596" s="631"/>
      <c r="F596" s="631"/>
      <c r="G596" s="632"/>
      <c r="H596" s="584"/>
      <c r="I596" s="585"/>
      <c r="J596" s="585"/>
      <c r="K596" s="585"/>
      <c r="L596" s="585"/>
      <c r="M596" s="585"/>
      <c r="N596" s="585"/>
      <c r="O596" s="585"/>
      <c r="P596" s="585"/>
      <c r="Q596" s="585"/>
      <c r="R596" s="585"/>
      <c r="S596" s="585"/>
      <c r="T596" s="585"/>
      <c r="U596" s="585"/>
      <c r="V596" s="585"/>
      <c r="W596" s="585"/>
      <c r="X596" s="585"/>
      <c r="Y596" s="585"/>
      <c r="Z596" s="585"/>
      <c r="AA596" s="585"/>
      <c r="AB596" s="585"/>
      <c r="AC596" s="585"/>
      <c r="AD596" s="585"/>
      <c r="AE596" s="585"/>
      <c r="AF596" s="585"/>
      <c r="AG596" s="585"/>
      <c r="AH596" s="585"/>
      <c r="AI596" s="585"/>
      <c r="AJ596" s="585"/>
      <c r="AK596" s="585"/>
      <c r="AL596" s="585"/>
      <c r="AM596" s="585"/>
      <c r="AN596" s="585"/>
      <c r="AO596" s="585"/>
      <c r="AP596" s="585"/>
      <c r="AQ596" s="585"/>
      <c r="AR596" s="585"/>
      <c r="AS596" s="585"/>
      <c r="AT596" s="585"/>
      <c r="AU596" s="585"/>
      <c r="AV596" s="585"/>
      <c r="AW596" s="585"/>
      <c r="AX596" s="585"/>
      <c r="AY596" s="585"/>
      <c r="AZ596" s="585"/>
      <c r="BA596" s="585"/>
      <c r="BB596" s="586"/>
      <c r="BC596" s="544"/>
      <c r="BD596" s="545"/>
      <c r="BE596" s="545"/>
      <c r="BF596" s="545"/>
      <c r="BG596" s="545"/>
      <c r="BH596" s="545"/>
      <c r="BI596" s="545"/>
      <c r="BJ596" s="545"/>
      <c r="BK596" s="545"/>
      <c r="BL596" s="545"/>
      <c r="BM596" s="545"/>
      <c r="BN596" s="545"/>
      <c r="BO596" s="545"/>
      <c r="BP596" s="545"/>
      <c r="BQ596" s="545"/>
      <c r="BR596" s="546"/>
      <c r="BS596" s="627"/>
      <c r="BT596" s="628"/>
      <c r="BU596" s="628"/>
      <c r="BV596" s="628"/>
      <c r="BW596" s="628"/>
      <c r="BX596" s="628"/>
      <c r="BY596" s="628"/>
      <c r="BZ596" s="628"/>
      <c r="CA596" s="628"/>
      <c r="CB596" s="628"/>
      <c r="CC596" s="628"/>
      <c r="CD596" s="628"/>
      <c r="CE596" s="628"/>
      <c r="CF596" s="628"/>
      <c r="CG596" s="628"/>
      <c r="CH596" s="629"/>
      <c r="CI596" s="627"/>
      <c r="CJ596" s="628"/>
      <c r="CK596" s="628"/>
      <c r="CL596" s="628"/>
      <c r="CM596" s="628"/>
      <c r="CN596" s="628"/>
      <c r="CO596" s="628"/>
      <c r="CP596" s="628"/>
      <c r="CQ596" s="628"/>
      <c r="CR596" s="628"/>
      <c r="CS596" s="628"/>
      <c r="CT596" s="628"/>
      <c r="CU596" s="628"/>
      <c r="CV596" s="628"/>
      <c r="CW596" s="628"/>
      <c r="CX596" s="628"/>
      <c r="CY596" s="628"/>
      <c r="CZ596" s="629"/>
      <c r="DA596" s="243"/>
    </row>
    <row r="597" spans="1:105" ht="23.25" hidden="1" customHeight="1" x14ac:dyDescent="0.25">
      <c r="A597" s="630"/>
      <c r="B597" s="631"/>
      <c r="C597" s="631"/>
      <c r="D597" s="631"/>
      <c r="E597" s="631"/>
      <c r="F597" s="631"/>
      <c r="G597" s="632"/>
      <c r="H597" s="584"/>
      <c r="I597" s="585"/>
      <c r="J597" s="585"/>
      <c r="K597" s="585"/>
      <c r="L597" s="585"/>
      <c r="M597" s="585"/>
      <c r="N597" s="585"/>
      <c r="O597" s="585"/>
      <c r="P597" s="585"/>
      <c r="Q597" s="585"/>
      <c r="R597" s="585"/>
      <c r="S597" s="585"/>
      <c r="T597" s="585"/>
      <c r="U597" s="585"/>
      <c r="V597" s="585"/>
      <c r="W597" s="585"/>
      <c r="X597" s="585"/>
      <c r="Y597" s="585"/>
      <c r="Z597" s="585"/>
      <c r="AA597" s="585"/>
      <c r="AB597" s="585"/>
      <c r="AC597" s="585"/>
      <c r="AD597" s="585"/>
      <c r="AE597" s="585"/>
      <c r="AF597" s="585"/>
      <c r="AG597" s="585"/>
      <c r="AH597" s="585"/>
      <c r="AI597" s="585"/>
      <c r="AJ597" s="585"/>
      <c r="AK597" s="585"/>
      <c r="AL597" s="585"/>
      <c r="AM597" s="585"/>
      <c r="AN597" s="585"/>
      <c r="AO597" s="585"/>
      <c r="AP597" s="585"/>
      <c r="AQ597" s="585"/>
      <c r="AR597" s="585"/>
      <c r="AS597" s="585"/>
      <c r="AT597" s="585"/>
      <c r="AU597" s="585"/>
      <c r="AV597" s="585"/>
      <c r="AW597" s="585"/>
      <c r="AX597" s="585"/>
      <c r="AY597" s="585"/>
      <c r="AZ597" s="585"/>
      <c r="BA597" s="585"/>
      <c r="BB597" s="586"/>
      <c r="BC597" s="544"/>
      <c r="BD597" s="545"/>
      <c r="BE597" s="545"/>
      <c r="BF597" s="545"/>
      <c r="BG597" s="545"/>
      <c r="BH597" s="545"/>
      <c r="BI597" s="545"/>
      <c r="BJ597" s="545"/>
      <c r="BK597" s="545"/>
      <c r="BL597" s="545"/>
      <c r="BM597" s="545"/>
      <c r="BN597" s="545"/>
      <c r="BO597" s="545"/>
      <c r="BP597" s="545"/>
      <c r="BQ597" s="545"/>
      <c r="BR597" s="546"/>
      <c r="BS597" s="627"/>
      <c r="BT597" s="628"/>
      <c r="BU597" s="628"/>
      <c r="BV597" s="628"/>
      <c r="BW597" s="628"/>
      <c r="BX597" s="628"/>
      <c r="BY597" s="628"/>
      <c r="BZ597" s="628"/>
      <c r="CA597" s="628"/>
      <c r="CB597" s="628"/>
      <c r="CC597" s="628"/>
      <c r="CD597" s="628"/>
      <c r="CE597" s="628"/>
      <c r="CF597" s="628"/>
      <c r="CG597" s="628"/>
      <c r="CH597" s="629"/>
      <c r="CI597" s="627"/>
      <c r="CJ597" s="628"/>
      <c r="CK597" s="628"/>
      <c r="CL597" s="628"/>
      <c r="CM597" s="628"/>
      <c r="CN597" s="628"/>
      <c r="CO597" s="628"/>
      <c r="CP597" s="628"/>
      <c r="CQ597" s="628"/>
      <c r="CR597" s="628"/>
      <c r="CS597" s="628"/>
      <c r="CT597" s="628"/>
      <c r="CU597" s="628"/>
      <c r="CV597" s="628"/>
      <c r="CW597" s="628"/>
      <c r="CX597" s="628"/>
      <c r="CY597" s="628"/>
      <c r="CZ597" s="629"/>
      <c r="DA597" s="243"/>
    </row>
    <row r="598" spans="1:105" ht="23.25" hidden="1" customHeight="1" x14ac:dyDescent="0.25">
      <c r="A598" s="630"/>
      <c r="B598" s="631"/>
      <c r="C598" s="631"/>
      <c r="D598" s="631"/>
      <c r="E598" s="631"/>
      <c r="F598" s="631"/>
      <c r="G598" s="632"/>
      <c r="H598" s="584"/>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5"/>
      <c r="AL598" s="585"/>
      <c r="AM598" s="585"/>
      <c r="AN598" s="585"/>
      <c r="AO598" s="585"/>
      <c r="AP598" s="585"/>
      <c r="AQ598" s="585"/>
      <c r="AR598" s="585"/>
      <c r="AS598" s="585"/>
      <c r="AT598" s="585"/>
      <c r="AU598" s="585"/>
      <c r="AV598" s="585"/>
      <c r="AW598" s="585"/>
      <c r="AX598" s="585"/>
      <c r="AY598" s="585"/>
      <c r="AZ598" s="585"/>
      <c r="BA598" s="585"/>
      <c r="BB598" s="586"/>
      <c r="BC598" s="544"/>
      <c r="BD598" s="545"/>
      <c r="BE598" s="545"/>
      <c r="BF598" s="545"/>
      <c r="BG598" s="545"/>
      <c r="BH598" s="545"/>
      <c r="BI598" s="545"/>
      <c r="BJ598" s="545"/>
      <c r="BK598" s="545"/>
      <c r="BL598" s="545"/>
      <c r="BM598" s="545"/>
      <c r="BN598" s="545"/>
      <c r="BO598" s="545"/>
      <c r="BP598" s="545"/>
      <c r="BQ598" s="545"/>
      <c r="BR598" s="546"/>
      <c r="BS598" s="627"/>
      <c r="BT598" s="628"/>
      <c r="BU598" s="628"/>
      <c r="BV598" s="628"/>
      <c r="BW598" s="628"/>
      <c r="BX598" s="628"/>
      <c r="BY598" s="628"/>
      <c r="BZ598" s="628"/>
      <c r="CA598" s="628"/>
      <c r="CB598" s="628"/>
      <c r="CC598" s="628"/>
      <c r="CD598" s="628"/>
      <c r="CE598" s="628"/>
      <c r="CF598" s="628"/>
      <c r="CG598" s="628"/>
      <c r="CH598" s="629"/>
      <c r="CI598" s="627"/>
      <c r="CJ598" s="628"/>
      <c r="CK598" s="628"/>
      <c r="CL598" s="628"/>
      <c r="CM598" s="628"/>
      <c r="CN598" s="628"/>
      <c r="CO598" s="628"/>
      <c r="CP598" s="628"/>
      <c r="CQ598" s="628"/>
      <c r="CR598" s="628"/>
      <c r="CS598" s="628"/>
      <c r="CT598" s="628"/>
      <c r="CU598" s="628"/>
      <c r="CV598" s="628"/>
      <c r="CW598" s="628"/>
      <c r="CX598" s="628"/>
      <c r="CY598" s="628"/>
      <c r="CZ598" s="629"/>
      <c r="DA598" s="243"/>
    </row>
    <row r="599" spans="1:105" ht="23.25" hidden="1" customHeight="1" x14ac:dyDescent="0.25">
      <c r="A599" s="630"/>
      <c r="B599" s="631"/>
      <c r="C599" s="631"/>
      <c r="D599" s="631"/>
      <c r="E599" s="631"/>
      <c r="F599" s="631"/>
      <c r="G599" s="632"/>
      <c r="H599" s="584"/>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5"/>
      <c r="AL599" s="585"/>
      <c r="AM599" s="585"/>
      <c r="AN599" s="585"/>
      <c r="AO599" s="585"/>
      <c r="AP599" s="585"/>
      <c r="AQ599" s="585"/>
      <c r="AR599" s="585"/>
      <c r="AS599" s="585"/>
      <c r="AT599" s="585"/>
      <c r="AU599" s="585"/>
      <c r="AV599" s="585"/>
      <c r="AW599" s="585"/>
      <c r="AX599" s="585"/>
      <c r="AY599" s="585"/>
      <c r="AZ599" s="585"/>
      <c r="BA599" s="585"/>
      <c r="BB599" s="586"/>
      <c r="BC599" s="544"/>
      <c r="BD599" s="545"/>
      <c r="BE599" s="545"/>
      <c r="BF599" s="545"/>
      <c r="BG599" s="545"/>
      <c r="BH599" s="545"/>
      <c r="BI599" s="545"/>
      <c r="BJ599" s="545"/>
      <c r="BK599" s="545"/>
      <c r="BL599" s="545"/>
      <c r="BM599" s="545"/>
      <c r="BN599" s="545"/>
      <c r="BO599" s="545"/>
      <c r="BP599" s="545"/>
      <c r="BQ599" s="545"/>
      <c r="BR599" s="546"/>
      <c r="BS599" s="627"/>
      <c r="BT599" s="628"/>
      <c r="BU599" s="628"/>
      <c r="BV599" s="628"/>
      <c r="BW599" s="628"/>
      <c r="BX599" s="628"/>
      <c r="BY599" s="628"/>
      <c r="BZ599" s="628"/>
      <c r="CA599" s="628"/>
      <c r="CB599" s="628"/>
      <c r="CC599" s="628"/>
      <c r="CD599" s="628"/>
      <c r="CE599" s="628"/>
      <c r="CF599" s="628"/>
      <c r="CG599" s="628"/>
      <c r="CH599" s="629"/>
      <c r="CI599" s="627"/>
      <c r="CJ599" s="628"/>
      <c r="CK599" s="628"/>
      <c r="CL599" s="628"/>
      <c r="CM599" s="628"/>
      <c r="CN599" s="628"/>
      <c r="CO599" s="628"/>
      <c r="CP599" s="628"/>
      <c r="CQ599" s="628"/>
      <c r="CR599" s="628"/>
      <c r="CS599" s="628"/>
      <c r="CT599" s="628"/>
      <c r="CU599" s="628"/>
      <c r="CV599" s="628"/>
      <c r="CW599" s="628"/>
      <c r="CX599" s="628"/>
      <c r="CY599" s="628"/>
      <c r="CZ599" s="629"/>
      <c r="DA599" s="243"/>
    </row>
    <row r="600" spans="1:105" ht="23.25" hidden="1" customHeight="1" x14ac:dyDescent="0.25">
      <c r="A600" s="630"/>
      <c r="B600" s="631"/>
      <c r="C600" s="631"/>
      <c r="D600" s="631"/>
      <c r="E600" s="631"/>
      <c r="F600" s="631"/>
      <c r="G600" s="632"/>
      <c r="H600" s="584"/>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5"/>
      <c r="AL600" s="585"/>
      <c r="AM600" s="585"/>
      <c r="AN600" s="585"/>
      <c r="AO600" s="585"/>
      <c r="AP600" s="585"/>
      <c r="AQ600" s="585"/>
      <c r="AR600" s="585"/>
      <c r="AS600" s="585"/>
      <c r="AT600" s="585"/>
      <c r="AU600" s="585"/>
      <c r="AV600" s="585"/>
      <c r="AW600" s="585"/>
      <c r="AX600" s="585"/>
      <c r="AY600" s="585"/>
      <c r="AZ600" s="585"/>
      <c r="BA600" s="585"/>
      <c r="BB600" s="586"/>
      <c r="BC600" s="544"/>
      <c r="BD600" s="545"/>
      <c r="BE600" s="545"/>
      <c r="BF600" s="545"/>
      <c r="BG600" s="545"/>
      <c r="BH600" s="545"/>
      <c r="BI600" s="545"/>
      <c r="BJ600" s="545"/>
      <c r="BK600" s="545"/>
      <c r="BL600" s="545"/>
      <c r="BM600" s="545"/>
      <c r="BN600" s="545"/>
      <c r="BO600" s="545"/>
      <c r="BP600" s="545"/>
      <c r="BQ600" s="545"/>
      <c r="BR600" s="546"/>
      <c r="BS600" s="627"/>
      <c r="BT600" s="628"/>
      <c r="BU600" s="628"/>
      <c r="BV600" s="628"/>
      <c r="BW600" s="628"/>
      <c r="BX600" s="628"/>
      <c r="BY600" s="628"/>
      <c r="BZ600" s="628"/>
      <c r="CA600" s="628"/>
      <c r="CB600" s="628"/>
      <c r="CC600" s="628"/>
      <c r="CD600" s="628"/>
      <c r="CE600" s="628"/>
      <c r="CF600" s="628"/>
      <c r="CG600" s="628"/>
      <c r="CH600" s="629"/>
      <c r="CI600" s="627"/>
      <c r="CJ600" s="628"/>
      <c r="CK600" s="628"/>
      <c r="CL600" s="628"/>
      <c r="CM600" s="628"/>
      <c r="CN600" s="628"/>
      <c r="CO600" s="628"/>
      <c r="CP600" s="628"/>
      <c r="CQ600" s="628"/>
      <c r="CR600" s="628"/>
      <c r="CS600" s="628"/>
      <c r="CT600" s="628"/>
      <c r="CU600" s="628"/>
      <c r="CV600" s="628"/>
      <c r="CW600" s="628"/>
      <c r="CX600" s="628"/>
      <c r="CY600" s="628"/>
      <c r="CZ600" s="629"/>
      <c r="DA600" s="243"/>
    </row>
    <row r="601" spans="1:105" ht="23.25" hidden="1" customHeight="1" x14ac:dyDescent="0.25">
      <c r="A601" s="630"/>
      <c r="B601" s="631"/>
      <c r="C601" s="631"/>
      <c r="D601" s="631"/>
      <c r="E601" s="631"/>
      <c r="F601" s="631"/>
      <c r="G601" s="632"/>
      <c r="H601" s="584"/>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5"/>
      <c r="AL601" s="585"/>
      <c r="AM601" s="585"/>
      <c r="AN601" s="585"/>
      <c r="AO601" s="585"/>
      <c r="AP601" s="585"/>
      <c r="AQ601" s="585"/>
      <c r="AR601" s="585"/>
      <c r="AS601" s="585"/>
      <c r="AT601" s="585"/>
      <c r="AU601" s="585"/>
      <c r="AV601" s="585"/>
      <c r="AW601" s="585"/>
      <c r="AX601" s="585"/>
      <c r="AY601" s="585"/>
      <c r="AZ601" s="585"/>
      <c r="BA601" s="585"/>
      <c r="BB601" s="586"/>
      <c r="BC601" s="544"/>
      <c r="BD601" s="545"/>
      <c r="BE601" s="545"/>
      <c r="BF601" s="545"/>
      <c r="BG601" s="545"/>
      <c r="BH601" s="545"/>
      <c r="BI601" s="545"/>
      <c r="BJ601" s="545"/>
      <c r="BK601" s="545"/>
      <c r="BL601" s="545"/>
      <c r="BM601" s="545"/>
      <c r="BN601" s="545"/>
      <c r="BO601" s="545"/>
      <c r="BP601" s="545"/>
      <c r="BQ601" s="545"/>
      <c r="BR601" s="546"/>
      <c r="BS601" s="627"/>
      <c r="BT601" s="628"/>
      <c r="BU601" s="628"/>
      <c r="BV601" s="628"/>
      <c r="BW601" s="628"/>
      <c r="BX601" s="628"/>
      <c r="BY601" s="628"/>
      <c r="BZ601" s="628"/>
      <c r="CA601" s="628"/>
      <c r="CB601" s="628"/>
      <c r="CC601" s="628"/>
      <c r="CD601" s="628"/>
      <c r="CE601" s="628"/>
      <c r="CF601" s="628"/>
      <c r="CG601" s="628"/>
      <c r="CH601" s="629"/>
      <c r="CI601" s="627"/>
      <c r="CJ601" s="628"/>
      <c r="CK601" s="628"/>
      <c r="CL601" s="628"/>
      <c r="CM601" s="628"/>
      <c r="CN601" s="628"/>
      <c r="CO601" s="628"/>
      <c r="CP601" s="628"/>
      <c r="CQ601" s="628"/>
      <c r="CR601" s="628"/>
      <c r="CS601" s="628"/>
      <c r="CT601" s="628"/>
      <c r="CU601" s="628"/>
      <c r="CV601" s="628"/>
      <c r="CW601" s="628"/>
      <c r="CX601" s="628"/>
      <c r="CY601" s="628"/>
      <c r="CZ601" s="629"/>
      <c r="DA601" s="243"/>
    </row>
    <row r="602" spans="1:105" ht="23.25" hidden="1" customHeight="1" x14ac:dyDescent="0.25">
      <c r="A602" s="630"/>
      <c r="B602" s="631"/>
      <c r="C602" s="631"/>
      <c r="D602" s="631"/>
      <c r="E602" s="631"/>
      <c r="F602" s="631"/>
      <c r="G602" s="632"/>
      <c r="H602" s="584"/>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5"/>
      <c r="AL602" s="585"/>
      <c r="AM602" s="585"/>
      <c r="AN602" s="585"/>
      <c r="AO602" s="585"/>
      <c r="AP602" s="585"/>
      <c r="AQ602" s="585"/>
      <c r="AR602" s="585"/>
      <c r="AS602" s="585"/>
      <c r="AT602" s="585"/>
      <c r="AU602" s="585"/>
      <c r="AV602" s="585"/>
      <c r="AW602" s="585"/>
      <c r="AX602" s="585"/>
      <c r="AY602" s="585"/>
      <c r="AZ602" s="585"/>
      <c r="BA602" s="585"/>
      <c r="BB602" s="586"/>
      <c r="BC602" s="544"/>
      <c r="BD602" s="545"/>
      <c r="BE602" s="545"/>
      <c r="BF602" s="545"/>
      <c r="BG602" s="545"/>
      <c r="BH602" s="545"/>
      <c r="BI602" s="545"/>
      <c r="BJ602" s="545"/>
      <c r="BK602" s="545"/>
      <c r="BL602" s="545"/>
      <c r="BM602" s="545"/>
      <c r="BN602" s="545"/>
      <c r="BO602" s="545"/>
      <c r="BP602" s="545"/>
      <c r="BQ602" s="545"/>
      <c r="BR602" s="546"/>
      <c r="BS602" s="627"/>
      <c r="BT602" s="628"/>
      <c r="BU602" s="628"/>
      <c r="BV602" s="628"/>
      <c r="BW602" s="628"/>
      <c r="BX602" s="628"/>
      <c r="BY602" s="628"/>
      <c r="BZ602" s="628"/>
      <c r="CA602" s="628"/>
      <c r="CB602" s="628"/>
      <c r="CC602" s="628"/>
      <c r="CD602" s="628"/>
      <c r="CE602" s="628"/>
      <c r="CF602" s="628"/>
      <c r="CG602" s="628"/>
      <c r="CH602" s="629"/>
      <c r="CI602" s="627"/>
      <c r="CJ602" s="628"/>
      <c r="CK602" s="628"/>
      <c r="CL602" s="628"/>
      <c r="CM602" s="628"/>
      <c r="CN602" s="628"/>
      <c r="CO602" s="628"/>
      <c r="CP602" s="628"/>
      <c r="CQ602" s="628"/>
      <c r="CR602" s="628"/>
      <c r="CS602" s="628"/>
      <c r="CT602" s="628"/>
      <c r="CU602" s="628"/>
      <c r="CV602" s="628"/>
      <c r="CW602" s="628"/>
      <c r="CX602" s="628"/>
      <c r="CY602" s="628"/>
      <c r="CZ602" s="629"/>
      <c r="DA602" s="243"/>
    </row>
    <row r="603" spans="1:105" ht="23.25" hidden="1" customHeight="1" x14ac:dyDescent="0.25">
      <c r="A603" s="630"/>
      <c r="B603" s="631"/>
      <c r="C603" s="631"/>
      <c r="D603" s="631"/>
      <c r="E603" s="631"/>
      <c r="F603" s="631"/>
      <c r="G603" s="632"/>
      <c r="H603" s="584"/>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5"/>
      <c r="AL603" s="585"/>
      <c r="AM603" s="585"/>
      <c r="AN603" s="585"/>
      <c r="AO603" s="585"/>
      <c r="AP603" s="585"/>
      <c r="AQ603" s="585"/>
      <c r="AR603" s="585"/>
      <c r="AS603" s="585"/>
      <c r="AT603" s="585"/>
      <c r="AU603" s="585"/>
      <c r="AV603" s="585"/>
      <c r="AW603" s="585"/>
      <c r="AX603" s="585"/>
      <c r="AY603" s="585"/>
      <c r="AZ603" s="585"/>
      <c r="BA603" s="585"/>
      <c r="BB603" s="586"/>
      <c r="BC603" s="544"/>
      <c r="BD603" s="545"/>
      <c r="BE603" s="545"/>
      <c r="BF603" s="545"/>
      <c r="BG603" s="545"/>
      <c r="BH603" s="545"/>
      <c r="BI603" s="545"/>
      <c r="BJ603" s="545"/>
      <c r="BK603" s="545"/>
      <c r="BL603" s="545"/>
      <c r="BM603" s="545"/>
      <c r="BN603" s="545"/>
      <c r="BO603" s="545"/>
      <c r="BP603" s="545"/>
      <c r="BQ603" s="545"/>
      <c r="BR603" s="546"/>
      <c r="BS603" s="627"/>
      <c r="BT603" s="628"/>
      <c r="BU603" s="628"/>
      <c r="BV603" s="628"/>
      <c r="BW603" s="628"/>
      <c r="BX603" s="628"/>
      <c r="BY603" s="628"/>
      <c r="BZ603" s="628"/>
      <c r="CA603" s="628"/>
      <c r="CB603" s="628"/>
      <c r="CC603" s="628"/>
      <c r="CD603" s="628"/>
      <c r="CE603" s="628"/>
      <c r="CF603" s="628"/>
      <c r="CG603" s="628"/>
      <c r="CH603" s="629"/>
      <c r="CI603" s="627"/>
      <c r="CJ603" s="628"/>
      <c r="CK603" s="628"/>
      <c r="CL603" s="628"/>
      <c r="CM603" s="628"/>
      <c r="CN603" s="628"/>
      <c r="CO603" s="628"/>
      <c r="CP603" s="628"/>
      <c r="CQ603" s="628"/>
      <c r="CR603" s="628"/>
      <c r="CS603" s="628"/>
      <c r="CT603" s="628"/>
      <c r="CU603" s="628"/>
      <c r="CV603" s="628"/>
      <c r="CW603" s="628"/>
      <c r="CX603" s="628"/>
      <c r="CY603" s="628"/>
      <c r="CZ603" s="629"/>
      <c r="DA603" s="243"/>
    </row>
    <row r="604" spans="1:105" ht="23.25" hidden="1" customHeight="1" x14ac:dyDescent="0.25">
      <c r="A604" s="630"/>
      <c r="B604" s="631"/>
      <c r="C604" s="631"/>
      <c r="D604" s="631"/>
      <c r="E604" s="631"/>
      <c r="F604" s="631"/>
      <c r="G604" s="632"/>
      <c r="H604" s="584"/>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5"/>
      <c r="AL604" s="585"/>
      <c r="AM604" s="585"/>
      <c r="AN604" s="585"/>
      <c r="AO604" s="585"/>
      <c r="AP604" s="585"/>
      <c r="AQ604" s="585"/>
      <c r="AR604" s="585"/>
      <c r="AS604" s="585"/>
      <c r="AT604" s="585"/>
      <c r="AU604" s="585"/>
      <c r="AV604" s="585"/>
      <c r="AW604" s="585"/>
      <c r="AX604" s="585"/>
      <c r="AY604" s="585"/>
      <c r="AZ604" s="585"/>
      <c r="BA604" s="585"/>
      <c r="BB604" s="586"/>
      <c r="BC604" s="544"/>
      <c r="BD604" s="545"/>
      <c r="BE604" s="545"/>
      <c r="BF604" s="545"/>
      <c r="BG604" s="545"/>
      <c r="BH604" s="545"/>
      <c r="BI604" s="545"/>
      <c r="BJ604" s="545"/>
      <c r="BK604" s="545"/>
      <c r="BL604" s="545"/>
      <c r="BM604" s="545"/>
      <c r="BN604" s="545"/>
      <c r="BO604" s="545"/>
      <c r="BP604" s="545"/>
      <c r="BQ604" s="545"/>
      <c r="BR604" s="546"/>
      <c r="BS604" s="627"/>
      <c r="BT604" s="628"/>
      <c r="BU604" s="628"/>
      <c r="BV604" s="628"/>
      <c r="BW604" s="628"/>
      <c r="BX604" s="628"/>
      <c r="BY604" s="628"/>
      <c r="BZ604" s="628"/>
      <c r="CA604" s="628"/>
      <c r="CB604" s="628"/>
      <c r="CC604" s="628"/>
      <c r="CD604" s="628"/>
      <c r="CE604" s="628"/>
      <c r="CF604" s="628"/>
      <c r="CG604" s="628"/>
      <c r="CH604" s="629"/>
      <c r="CI604" s="627"/>
      <c r="CJ604" s="628"/>
      <c r="CK604" s="628"/>
      <c r="CL604" s="628"/>
      <c r="CM604" s="628"/>
      <c r="CN604" s="628"/>
      <c r="CO604" s="628"/>
      <c r="CP604" s="628"/>
      <c r="CQ604" s="628"/>
      <c r="CR604" s="628"/>
      <c r="CS604" s="628"/>
      <c r="CT604" s="628"/>
      <c r="CU604" s="628"/>
      <c r="CV604" s="628"/>
      <c r="CW604" s="628"/>
      <c r="CX604" s="628"/>
      <c r="CY604" s="628"/>
      <c r="CZ604" s="629"/>
      <c r="DA604" s="243"/>
    </row>
    <row r="605" spans="1:105" ht="23.25" hidden="1" customHeight="1" x14ac:dyDescent="0.25">
      <c r="A605" s="630"/>
      <c r="B605" s="631"/>
      <c r="C605" s="631"/>
      <c r="D605" s="631"/>
      <c r="E605" s="631"/>
      <c r="F605" s="631"/>
      <c r="G605" s="632"/>
      <c r="H605" s="584"/>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5"/>
      <c r="AL605" s="585"/>
      <c r="AM605" s="585"/>
      <c r="AN605" s="585"/>
      <c r="AO605" s="585"/>
      <c r="AP605" s="585"/>
      <c r="AQ605" s="585"/>
      <c r="AR605" s="585"/>
      <c r="AS605" s="585"/>
      <c r="AT605" s="585"/>
      <c r="AU605" s="585"/>
      <c r="AV605" s="585"/>
      <c r="AW605" s="585"/>
      <c r="AX605" s="585"/>
      <c r="AY605" s="585"/>
      <c r="AZ605" s="585"/>
      <c r="BA605" s="585"/>
      <c r="BB605" s="586"/>
      <c r="BC605" s="544"/>
      <c r="BD605" s="545"/>
      <c r="BE605" s="545"/>
      <c r="BF605" s="545"/>
      <c r="BG605" s="545"/>
      <c r="BH605" s="545"/>
      <c r="BI605" s="545"/>
      <c r="BJ605" s="545"/>
      <c r="BK605" s="545"/>
      <c r="BL605" s="545"/>
      <c r="BM605" s="545"/>
      <c r="BN605" s="545"/>
      <c r="BO605" s="545"/>
      <c r="BP605" s="545"/>
      <c r="BQ605" s="545"/>
      <c r="BR605" s="546"/>
      <c r="BS605" s="627"/>
      <c r="BT605" s="628"/>
      <c r="BU605" s="628"/>
      <c r="BV605" s="628"/>
      <c r="BW605" s="628"/>
      <c r="BX605" s="628"/>
      <c r="BY605" s="628"/>
      <c r="BZ605" s="628"/>
      <c r="CA605" s="628"/>
      <c r="CB605" s="628"/>
      <c r="CC605" s="628"/>
      <c r="CD605" s="628"/>
      <c r="CE605" s="628"/>
      <c r="CF605" s="628"/>
      <c r="CG605" s="628"/>
      <c r="CH605" s="629"/>
      <c r="CI605" s="627"/>
      <c r="CJ605" s="628"/>
      <c r="CK605" s="628"/>
      <c r="CL605" s="628"/>
      <c r="CM605" s="628"/>
      <c r="CN605" s="628"/>
      <c r="CO605" s="628"/>
      <c r="CP605" s="628"/>
      <c r="CQ605" s="628"/>
      <c r="CR605" s="628"/>
      <c r="CS605" s="628"/>
      <c r="CT605" s="628"/>
      <c r="CU605" s="628"/>
      <c r="CV605" s="628"/>
      <c r="CW605" s="628"/>
      <c r="CX605" s="628"/>
      <c r="CY605" s="628"/>
      <c r="CZ605" s="629"/>
      <c r="DA605" s="243"/>
    </row>
    <row r="606" spans="1:105" ht="23.25" hidden="1" customHeight="1" x14ac:dyDescent="0.25">
      <c r="A606" s="630"/>
      <c r="B606" s="631"/>
      <c r="C606" s="631"/>
      <c r="D606" s="631"/>
      <c r="E606" s="631"/>
      <c r="F606" s="631"/>
      <c r="G606" s="632"/>
      <c r="H606" s="584"/>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5"/>
      <c r="AL606" s="585"/>
      <c r="AM606" s="585"/>
      <c r="AN606" s="585"/>
      <c r="AO606" s="585"/>
      <c r="AP606" s="585"/>
      <c r="AQ606" s="585"/>
      <c r="AR606" s="585"/>
      <c r="AS606" s="585"/>
      <c r="AT606" s="585"/>
      <c r="AU606" s="585"/>
      <c r="AV606" s="585"/>
      <c r="AW606" s="585"/>
      <c r="AX606" s="585"/>
      <c r="AY606" s="585"/>
      <c r="AZ606" s="585"/>
      <c r="BA606" s="585"/>
      <c r="BB606" s="586"/>
      <c r="BC606" s="544"/>
      <c r="BD606" s="545"/>
      <c r="BE606" s="545"/>
      <c r="BF606" s="545"/>
      <c r="BG606" s="545"/>
      <c r="BH606" s="545"/>
      <c r="BI606" s="545"/>
      <c r="BJ606" s="545"/>
      <c r="BK606" s="545"/>
      <c r="BL606" s="545"/>
      <c r="BM606" s="545"/>
      <c r="BN606" s="545"/>
      <c r="BO606" s="545"/>
      <c r="BP606" s="545"/>
      <c r="BQ606" s="545"/>
      <c r="BR606" s="546"/>
      <c r="BS606" s="627"/>
      <c r="BT606" s="628"/>
      <c r="BU606" s="628"/>
      <c r="BV606" s="628"/>
      <c r="BW606" s="628"/>
      <c r="BX606" s="628"/>
      <c r="BY606" s="628"/>
      <c r="BZ606" s="628"/>
      <c r="CA606" s="628"/>
      <c r="CB606" s="628"/>
      <c r="CC606" s="628"/>
      <c r="CD606" s="628"/>
      <c r="CE606" s="628"/>
      <c r="CF606" s="628"/>
      <c r="CG606" s="628"/>
      <c r="CH606" s="629"/>
      <c r="CI606" s="627"/>
      <c r="CJ606" s="628"/>
      <c r="CK606" s="628"/>
      <c r="CL606" s="628"/>
      <c r="CM606" s="628"/>
      <c r="CN606" s="628"/>
      <c r="CO606" s="628"/>
      <c r="CP606" s="628"/>
      <c r="CQ606" s="628"/>
      <c r="CR606" s="628"/>
      <c r="CS606" s="628"/>
      <c r="CT606" s="628"/>
      <c r="CU606" s="628"/>
      <c r="CV606" s="628"/>
      <c r="CW606" s="628"/>
      <c r="CX606" s="628"/>
      <c r="CY606" s="628"/>
      <c r="CZ606" s="629"/>
      <c r="DA606" s="243"/>
    </row>
    <row r="607" spans="1:105" ht="23.25" hidden="1" customHeight="1" x14ac:dyDescent="0.25">
      <c r="A607" s="630"/>
      <c r="B607" s="631"/>
      <c r="C607" s="631"/>
      <c r="D607" s="631"/>
      <c r="E607" s="631"/>
      <c r="F607" s="631"/>
      <c r="G607" s="632"/>
      <c r="H607" s="584"/>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5"/>
      <c r="AL607" s="585"/>
      <c r="AM607" s="585"/>
      <c r="AN607" s="585"/>
      <c r="AO607" s="585"/>
      <c r="AP607" s="585"/>
      <c r="AQ607" s="585"/>
      <c r="AR607" s="585"/>
      <c r="AS607" s="585"/>
      <c r="AT607" s="585"/>
      <c r="AU607" s="585"/>
      <c r="AV607" s="585"/>
      <c r="AW607" s="585"/>
      <c r="AX607" s="585"/>
      <c r="AY607" s="585"/>
      <c r="AZ607" s="585"/>
      <c r="BA607" s="585"/>
      <c r="BB607" s="586"/>
      <c r="BC607" s="544"/>
      <c r="BD607" s="545"/>
      <c r="BE607" s="545"/>
      <c r="BF607" s="545"/>
      <c r="BG607" s="545"/>
      <c r="BH607" s="545"/>
      <c r="BI607" s="545"/>
      <c r="BJ607" s="545"/>
      <c r="BK607" s="545"/>
      <c r="BL607" s="545"/>
      <c r="BM607" s="545"/>
      <c r="BN607" s="545"/>
      <c r="BO607" s="545"/>
      <c r="BP607" s="545"/>
      <c r="BQ607" s="545"/>
      <c r="BR607" s="546"/>
      <c r="BS607" s="627"/>
      <c r="BT607" s="628"/>
      <c r="BU607" s="628"/>
      <c r="BV607" s="628"/>
      <c r="BW607" s="628"/>
      <c r="BX607" s="628"/>
      <c r="BY607" s="628"/>
      <c r="BZ607" s="628"/>
      <c r="CA607" s="628"/>
      <c r="CB607" s="628"/>
      <c r="CC607" s="628"/>
      <c r="CD607" s="628"/>
      <c r="CE607" s="628"/>
      <c r="CF607" s="628"/>
      <c r="CG607" s="628"/>
      <c r="CH607" s="629"/>
      <c r="CI607" s="627"/>
      <c r="CJ607" s="628"/>
      <c r="CK607" s="628"/>
      <c r="CL607" s="628"/>
      <c r="CM607" s="628"/>
      <c r="CN607" s="628"/>
      <c r="CO607" s="628"/>
      <c r="CP607" s="628"/>
      <c r="CQ607" s="628"/>
      <c r="CR607" s="628"/>
      <c r="CS607" s="628"/>
      <c r="CT607" s="628"/>
      <c r="CU607" s="628"/>
      <c r="CV607" s="628"/>
      <c r="CW607" s="628"/>
      <c r="CX607" s="628"/>
      <c r="CY607" s="628"/>
      <c r="CZ607" s="629"/>
      <c r="DA607" s="243"/>
    </row>
    <row r="608" spans="1:105" ht="23.25" hidden="1" customHeight="1" x14ac:dyDescent="0.25">
      <c r="A608" s="630"/>
      <c r="B608" s="631"/>
      <c r="C608" s="631"/>
      <c r="D608" s="631"/>
      <c r="E608" s="631"/>
      <c r="F608" s="631"/>
      <c r="G608" s="632"/>
      <c r="H608" s="584"/>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5"/>
      <c r="AL608" s="585"/>
      <c r="AM608" s="585"/>
      <c r="AN608" s="585"/>
      <c r="AO608" s="585"/>
      <c r="AP608" s="585"/>
      <c r="AQ608" s="585"/>
      <c r="AR608" s="585"/>
      <c r="AS608" s="585"/>
      <c r="AT608" s="585"/>
      <c r="AU608" s="585"/>
      <c r="AV608" s="585"/>
      <c r="AW608" s="585"/>
      <c r="AX608" s="585"/>
      <c r="AY608" s="585"/>
      <c r="AZ608" s="585"/>
      <c r="BA608" s="585"/>
      <c r="BB608" s="586"/>
      <c r="BC608" s="544"/>
      <c r="BD608" s="545"/>
      <c r="BE608" s="545"/>
      <c r="BF608" s="545"/>
      <c r="BG608" s="545"/>
      <c r="BH608" s="545"/>
      <c r="BI608" s="545"/>
      <c r="BJ608" s="545"/>
      <c r="BK608" s="545"/>
      <c r="BL608" s="545"/>
      <c r="BM608" s="545"/>
      <c r="BN608" s="545"/>
      <c r="BO608" s="545"/>
      <c r="BP608" s="545"/>
      <c r="BQ608" s="545"/>
      <c r="BR608" s="546"/>
      <c r="BS608" s="627"/>
      <c r="BT608" s="628"/>
      <c r="BU608" s="628"/>
      <c r="BV608" s="628"/>
      <c r="BW608" s="628"/>
      <c r="BX608" s="628"/>
      <c r="BY608" s="628"/>
      <c r="BZ608" s="628"/>
      <c r="CA608" s="628"/>
      <c r="CB608" s="628"/>
      <c r="CC608" s="628"/>
      <c r="CD608" s="628"/>
      <c r="CE608" s="628"/>
      <c r="CF608" s="628"/>
      <c r="CG608" s="628"/>
      <c r="CH608" s="629"/>
      <c r="CI608" s="627"/>
      <c r="CJ608" s="628"/>
      <c r="CK608" s="628"/>
      <c r="CL608" s="628"/>
      <c r="CM608" s="628"/>
      <c r="CN608" s="628"/>
      <c r="CO608" s="628"/>
      <c r="CP608" s="628"/>
      <c r="CQ608" s="628"/>
      <c r="CR608" s="628"/>
      <c r="CS608" s="628"/>
      <c r="CT608" s="628"/>
      <c r="CU608" s="628"/>
      <c r="CV608" s="628"/>
      <c r="CW608" s="628"/>
      <c r="CX608" s="628"/>
      <c r="CY608" s="628"/>
      <c r="CZ608" s="629"/>
      <c r="DA608" s="243"/>
    </row>
    <row r="609" spans="1:105" ht="23.25" hidden="1" customHeight="1" x14ac:dyDescent="0.25">
      <c r="A609" s="630"/>
      <c r="B609" s="631"/>
      <c r="C609" s="631"/>
      <c r="D609" s="631"/>
      <c r="E609" s="631"/>
      <c r="F609" s="631"/>
      <c r="G609" s="632"/>
      <c r="H609" s="584"/>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5"/>
      <c r="AL609" s="585"/>
      <c r="AM609" s="585"/>
      <c r="AN609" s="585"/>
      <c r="AO609" s="585"/>
      <c r="AP609" s="585"/>
      <c r="AQ609" s="585"/>
      <c r="AR609" s="585"/>
      <c r="AS609" s="585"/>
      <c r="AT609" s="585"/>
      <c r="AU609" s="585"/>
      <c r="AV609" s="585"/>
      <c r="AW609" s="585"/>
      <c r="AX609" s="585"/>
      <c r="AY609" s="585"/>
      <c r="AZ609" s="585"/>
      <c r="BA609" s="585"/>
      <c r="BB609" s="586"/>
      <c r="BC609" s="544"/>
      <c r="BD609" s="545"/>
      <c r="BE609" s="545"/>
      <c r="BF609" s="545"/>
      <c r="BG609" s="545"/>
      <c r="BH609" s="545"/>
      <c r="BI609" s="545"/>
      <c r="BJ609" s="545"/>
      <c r="BK609" s="545"/>
      <c r="BL609" s="545"/>
      <c r="BM609" s="545"/>
      <c r="BN609" s="545"/>
      <c r="BO609" s="545"/>
      <c r="BP609" s="545"/>
      <c r="BQ609" s="545"/>
      <c r="BR609" s="546"/>
      <c r="BS609" s="627"/>
      <c r="BT609" s="628"/>
      <c r="BU609" s="628"/>
      <c r="BV609" s="628"/>
      <c r="BW609" s="628"/>
      <c r="BX609" s="628"/>
      <c r="BY609" s="628"/>
      <c r="BZ609" s="628"/>
      <c r="CA609" s="628"/>
      <c r="CB609" s="628"/>
      <c r="CC609" s="628"/>
      <c r="CD609" s="628"/>
      <c r="CE609" s="628"/>
      <c r="CF609" s="628"/>
      <c r="CG609" s="628"/>
      <c r="CH609" s="629"/>
      <c r="CI609" s="627"/>
      <c r="CJ609" s="628"/>
      <c r="CK609" s="628"/>
      <c r="CL609" s="628"/>
      <c r="CM609" s="628"/>
      <c r="CN609" s="628"/>
      <c r="CO609" s="628"/>
      <c r="CP609" s="628"/>
      <c r="CQ609" s="628"/>
      <c r="CR609" s="628"/>
      <c r="CS609" s="628"/>
      <c r="CT609" s="628"/>
      <c r="CU609" s="628"/>
      <c r="CV609" s="628"/>
      <c r="CW609" s="628"/>
      <c r="CX609" s="628"/>
      <c r="CY609" s="628"/>
      <c r="CZ609" s="629"/>
      <c r="DA609" s="243"/>
    </row>
    <row r="610" spans="1:105" ht="23.25" hidden="1" customHeight="1" x14ac:dyDescent="0.25">
      <c r="A610" s="630"/>
      <c r="B610" s="631"/>
      <c r="C610" s="631"/>
      <c r="D610" s="631"/>
      <c r="E610" s="631"/>
      <c r="F610" s="631"/>
      <c r="G610" s="632"/>
      <c r="H610" s="584"/>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5"/>
      <c r="AL610" s="585"/>
      <c r="AM610" s="585"/>
      <c r="AN610" s="585"/>
      <c r="AO610" s="585"/>
      <c r="AP610" s="585"/>
      <c r="AQ610" s="585"/>
      <c r="AR610" s="585"/>
      <c r="AS610" s="585"/>
      <c r="AT610" s="585"/>
      <c r="AU610" s="585"/>
      <c r="AV610" s="585"/>
      <c r="AW610" s="585"/>
      <c r="AX610" s="585"/>
      <c r="AY610" s="585"/>
      <c r="AZ610" s="585"/>
      <c r="BA610" s="585"/>
      <c r="BB610" s="586"/>
      <c r="BC610" s="544"/>
      <c r="BD610" s="545"/>
      <c r="BE610" s="545"/>
      <c r="BF610" s="545"/>
      <c r="BG610" s="545"/>
      <c r="BH610" s="545"/>
      <c r="BI610" s="545"/>
      <c r="BJ610" s="545"/>
      <c r="BK610" s="545"/>
      <c r="BL610" s="545"/>
      <c r="BM610" s="545"/>
      <c r="BN610" s="545"/>
      <c r="BO610" s="545"/>
      <c r="BP610" s="545"/>
      <c r="BQ610" s="545"/>
      <c r="BR610" s="546"/>
      <c r="BS610" s="627"/>
      <c r="BT610" s="628"/>
      <c r="BU610" s="628"/>
      <c r="BV610" s="628"/>
      <c r="BW610" s="628"/>
      <c r="BX610" s="628"/>
      <c r="BY610" s="628"/>
      <c r="BZ610" s="628"/>
      <c r="CA610" s="628"/>
      <c r="CB610" s="628"/>
      <c r="CC610" s="628"/>
      <c r="CD610" s="628"/>
      <c r="CE610" s="628"/>
      <c r="CF610" s="628"/>
      <c r="CG610" s="628"/>
      <c r="CH610" s="629"/>
      <c r="CI610" s="627"/>
      <c r="CJ610" s="628"/>
      <c r="CK610" s="628"/>
      <c r="CL610" s="628"/>
      <c r="CM610" s="628"/>
      <c r="CN610" s="628"/>
      <c r="CO610" s="628"/>
      <c r="CP610" s="628"/>
      <c r="CQ610" s="628"/>
      <c r="CR610" s="628"/>
      <c r="CS610" s="628"/>
      <c r="CT610" s="628"/>
      <c r="CU610" s="628"/>
      <c r="CV610" s="628"/>
      <c r="CW610" s="628"/>
      <c r="CX610" s="628"/>
      <c r="CY610" s="628"/>
      <c r="CZ610" s="629"/>
      <c r="DA610" s="243"/>
    </row>
    <row r="611" spans="1:105" ht="23.25" hidden="1" customHeight="1" x14ac:dyDescent="0.25">
      <c r="A611" s="630"/>
      <c r="B611" s="631"/>
      <c r="C611" s="631"/>
      <c r="D611" s="631"/>
      <c r="E611" s="631"/>
      <c r="F611" s="631"/>
      <c r="G611" s="632"/>
      <c r="H611" s="584"/>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5"/>
      <c r="AL611" s="585"/>
      <c r="AM611" s="585"/>
      <c r="AN611" s="585"/>
      <c r="AO611" s="585"/>
      <c r="AP611" s="585"/>
      <c r="AQ611" s="585"/>
      <c r="AR611" s="585"/>
      <c r="AS611" s="585"/>
      <c r="AT611" s="585"/>
      <c r="AU611" s="585"/>
      <c r="AV611" s="585"/>
      <c r="AW611" s="585"/>
      <c r="AX611" s="585"/>
      <c r="AY611" s="585"/>
      <c r="AZ611" s="585"/>
      <c r="BA611" s="585"/>
      <c r="BB611" s="586"/>
      <c r="BC611" s="544"/>
      <c r="BD611" s="545"/>
      <c r="BE611" s="545"/>
      <c r="BF611" s="545"/>
      <c r="BG611" s="545"/>
      <c r="BH611" s="545"/>
      <c r="BI611" s="545"/>
      <c r="BJ611" s="545"/>
      <c r="BK611" s="545"/>
      <c r="BL611" s="545"/>
      <c r="BM611" s="545"/>
      <c r="BN611" s="545"/>
      <c r="BO611" s="545"/>
      <c r="BP611" s="545"/>
      <c r="BQ611" s="545"/>
      <c r="BR611" s="546"/>
      <c r="BS611" s="627"/>
      <c r="BT611" s="628"/>
      <c r="BU611" s="628"/>
      <c r="BV611" s="628"/>
      <c r="BW611" s="628"/>
      <c r="BX611" s="628"/>
      <c r="BY611" s="628"/>
      <c r="BZ611" s="628"/>
      <c r="CA611" s="628"/>
      <c r="CB611" s="628"/>
      <c r="CC611" s="628"/>
      <c r="CD611" s="628"/>
      <c r="CE611" s="628"/>
      <c r="CF611" s="628"/>
      <c r="CG611" s="628"/>
      <c r="CH611" s="629"/>
      <c r="CI611" s="627"/>
      <c r="CJ611" s="628"/>
      <c r="CK611" s="628"/>
      <c r="CL611" s="628"/>
      <c r="CM611" s="628"/>
      <c r="CN611" s="628"/>
      <c r="CO611" s="628"/>
      <c r="CP611" s="628"/>
      <c r="CQ611" s="628"/>
      <c r="CR611" s="628"/>
      <c r="CS611" s="628"/>
      <c r="CT611" s="628"/>
      <c r="CU611" s="628"/>
      <c r="CV611" s="628"/>
      <c r="CW611" s="628"/>
      <c r="CX611" s="628"/>
      <c r="CY611" s="628"/>
      <c r="CZ611" s="629"/>
      <c r="DA611" s="243"/>
    </row>
    <row r="612" spans="1:105" ht="23.25" hidden="1" customHeight="1" x14ac:dyDescent="0.25">
      <c r="A612" s="630"/>
      <c r="B612" s="631"/>
      <c r="C612" s="631"/>
      <c r="D612" s="631"/>
      <c r="E612" s="631"/>
      <c r="F612" s="631"/>
      <c r="G612" s="632"/>
      <c r="H612" s="584"/>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5"/>
      <c r="AL612" s="585"/>
      <c r="AM612" s="585"/>
      <c r="AN612" s="585"/>
      <c r="AO612" s="585"/>
      <c r="AP612" s="585"/>
      <c r="AQ612" s="585"/>
      <c r="AR612" s="585"/>
      <c r="AS612" s="585"/>
      <c r="AT612" s="585"/>
      <c r="AU612" s="585"/>
      <c r="AV612" s="585"/>
      <c r="AW612" s="585"/>
      <c r="AX612" s="585"/>
      <c r="AY612" s="585"/>
      <c r="AZ612" s="585"/>
      <c r="BA612" s="585"/>
      <c r="BB612" s="586"/>
      <c r="BC612" s="544"/>
      <c r="BD612" s="545"/>
      <c r="BE612" s="545"/>
      <c r="BF612" s="545"/>
      <c r="BG612" s="545"/>
      <c r="BH612" s="545"/>
      <c r="BI612" s="545"/>
      <c r="BJ612" s="545"/>
      <c r="BK612" s="545"/>
      <c r="BL612" s="545"/>
      <c r="BM612" s="545"/>
      <c r="BN612" s="545"/>
      <c r="BO612" s="545"/>
      <c r="BP612" s="545"/>
      <c r="BQ612" s="545"/>
      <c r="BR612" s="546"/>
      <c r="BS612" s="627"/>
      <c r="BT612" s="628"/>
      <c r="BU612" s="628"/>
      <c r="BV612" s="628"/>
      <c r="BW612" s="628"/>
      <c r="BX612" s="628"/>
      <c r="BY612" s="628"/>
      <c r="BZ612" s="628"/>
      <c r="CA612" s="628"/>
      <c r="CB612" s="628"/>
      <c r="CC612" s="628"/>
      <c r="CD612" s="628"/>
      <c r="CE612" s="628"/>
      <c r="CF612" s="628"/>
      <c r="CG612" s="628"/>
      <c r="CH612" s="629"/>
      <c r="CI612" s="627"/>
      <c r="CJ612" s="628"/>
      <c r="CK612" s="628"/>
      <c r="CL612" s="628"/>
      <c r="CM612" s="628"/>
      <c r="CN612" s="628"/>
      <c r="CO612" s="628"/>
      <c r="CP612" s="628"/>
      <c r="CQ612" s="628"/>
      <c r="CR612" s="628"/>
      <c r="CS612" s="628"/>
      <c r="CT612" s="628"/>
      <c r="CU612" s="628"/>
      <c r="CV612" s="628"/>
      <c r="CW612" s="628"/>
      <c r="CX612" s="628"/>
      <c r="CY612" s="628"/>
      <c r="CZ612" s="629"/>
      <c r="DA612" s="243"/>
    </row>
    <row r="613" spans="1:105" ht="23.25" hidden="1" customHeight="1" x14ac:dyDescent="0.25">
      <c r="A613" s="630"/>
      <c r="B613" s="631"/>
      <c r="C613" s="631"/>
      <c r="D613" s="631"/>
      <c r="E613" s="631"/>
      <c r="F613" s="631"/>
      <c r="G613" s="632"/>
      <c r="H613" s="584"/>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5"/>
      <c r="AL613" s="585"/>
      <c r="AM613" s="585"/>
      <c r="AN613" s="585"/>
      <c r="AO613" s="585"/>
      <c r="AP613" s="585"/>
      <c r="AQ613" s="585"/>
      <c r="AR613" s="585"/>
      <c r="AS613" s="585"/>
      <c r="AT613" s="585"/>
      <c r="AU613" s="585"/>
      <c r="AV613" s="585"/>
      <c r="AW613" s="585"/>
      <c r="AX613" s="585"/>
      <c r="AY613" s="585"/>
      <c r="AZ613" s="585"/>
      <c r="BA613" s="585"/>
      <c r="BB613" s="586"/>
      <c r="BC613" s="544"/>
      <c r="BD613" s="545"/>
      <c r="BE613" s="545"/>
      <c r="BF613" s="545"/>
      <c r="BG613" s="545"/>
      <c r="BH613" s="545"/>
      <c r="BI613" s="545"/>
      <c r="BJ613" s="545"/>
      <c r="BK613" s="545"/>
      <c r="BL613" s="545"/>
      <c r="BM613" s="545"/>
      <c r="BN613" s="545"/>
      <c r="BO613" s="545"/>
      <c r="BP613" s="545"/>
      <c r="BQ613" s="545"/>
      <c r="BR613" s="546"/>
      <c r="BS613" s="627"/>
      <c r="BT613" s="628"/>
      <c r="BU613" s="628"/>
      <c r="BV613" s="628"/>
      <c r="BW613" s="628"/>
      <c r="BX613" s="628"/>
      <c r="BY613" s="628"/>
      <c r="BZ613" s="628"/>
      <c r="CA613" s="628"/>
      <c r="CB613" s="628"/>
      <c r="CC613" s="628"/>
      <c r="CD613" s="628"/>
      <c r="CE613" s="628"/>
      <c r="CF613" s="628"/>
      <c r="CG613" s="628"/>
      <c r="CH613" s="629"/>
      <c r="CI613" s="627"/>
      <c r="CJ613" s="628"/>
      <c r="CK613" s="628"/>
      <c r="CL613" s="628"/>
      <c r="CM613" s="628"/>
      <c r="CN613" s="628"/>
      <c r="CO613" s="628"/>
      <c r="CP613" s="628"/>
      <c r="CQ613" s="628"/>
      <c r="CR613" s="628"/>
      <c r="CS613" s="628"/>
      <c r="CT613" s="628"/>
      <c r="CU613" s="628"/>
      <c r="CV613" s="628"/>
      <c r="CW613" s="628"/>
      <c r="CX613" s="628"/>
      <c r="CY613" s="628"/>
      <c r="CZ613" s="629"/>
      <c r="DA613" s="243"/>
    </row>
    <row r="614" spans="1:105" ht="23.25" hidden="1" customHeight="1" x14ac:dyDescent="0.25">
      <c r="A614" s="630"/>
      <c r="B614" s="631"/>
      <c r="C614" s="631"/>
      <c r="D614" s="631"/>
      <c r="E614" s="631"/>
      <c r="F614" s="631"/>
      <c r="G614" s="632"/>
      <c r="H614" s="584"/>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5"/>
      <c r="AL614" s="585"/>
      <c r="AM614" s="585"/>
      <c r="AN614" s="585"/>
      <c r="AO614" s="585"/>
      <c r="AP614" s="585"/>
      <c r="AQ614" s="585"/>
      <c r="AR614" s="585"/>
      <c r="AS614" s="585"/>
      <c r="AT614" s="585"/>
      <c r="AU614" s="585"/>
      <c r="AV614" s="585"/>
      <c r="AW614" s="585"/>
      <c r="AX614" s="585"/>
      <c r="AY614" s="585"/>
      <c r="AZ614" s="585"/>
      <c r="BA614" s="585"/>
      <c r="BB614" s="586"/>
      <c r="BC614" s="544"/>
      <c r="BD614" s="545"/>
      <c r="BE614" s="545"/>
      <c r="BF614" s="545"/>
      <c r="BG614" s="545"/>
      <c r="BH614" s="545"/>
      <c r="BI614" s="545"/>
      <c r="BJ614" s="545"/>
      <c r="BK614" s="545"/>
      <c r="BL614" s="545"/>
      <c r="BM614" s="545"/>
      <c r="BN614" s="545"/>
      <c r="BO614" s="545"/>
      <c r="BP614" s="545"/>
      <c r="BQ614" s="545"/>
      <c r="BR614" s="546"/>
      <c r="BS614" s="627"/>
      <c r="BT614" s="628"/>
      <c r="BU614" s="628"/>
      <c r="BV614" s="628"/>
      <c r="BW614" s="628"/>
      <c r="BX614" s="628"/>
      <c r="BY614" s="628"/>
      <c r="BZ614" s="628"/>
      <c r="CA614" s="628"/>
      <c r="CB614" s="628"/>
      <c r="CC614" s="628"/>
      <c r="CD614" s="628"/>
      <c r="CE614" s="628"/>
      <c r="CF614" s="628"/>
      <c r="CG614" s="628"/>
      <c r="CH614" s="629"/>
      <c r="CI614" s="627"/>
      <c r="CJ614" s="628"/>
      <c r="CK614" s="628"/>
      <c r="CL614" s="628"/>
      <c r="CM614" s="628"/>
      <c r="CN614" s="628"/>
      <c r="CO614" s="628"/>
      <c r="CP614" s="628"/>
      <c r="CQ614" s="628"/>
      <c r="CR614" s="628"/>
      <c r="CS614" s="628"/>
      <c r="CT614" s="628"/>
      <c r="CU614" s="628"/>
      <c r="CV614" s="628"/>
      <c r="CW614" s="628"/>
      <c r="CX614" s="628"/>
      <c r="CY614" s="628"/>
      <c r="CZ614" s="629"/>
      <c r="DA614" s="243"/>
    </row>
    <row r="615" spans="1:105" ht="23.25" hidden="1" customHeight="1" x14ac:dyDescent="0.25">
      <c r="A615" s="630"/>
      <c r="B615" s="631"/>
      <c r="C615" s="631"/>
      <c r="D615" s="631"/>
      <c r="E615" s="631"/>
      <c r="F615" s="631"/>
      <c r="G615" s="632"/>
      <c r="H615" s="584"/>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5"/>
      <c r="AL615" s="585"/>
      <c r="AM615" s="585"/>
      <c r="AN615" s="585"/>
      <c r="AO615" s="585"/>
      <c r="AP615" s="585"/>
      <c r="AQ615" s="585"/>
      <c r="AR615" s="585"/>
      <c r="AS615" s="585"/>
      <c r="AT615" s="585"/>
      <c r="AU615" s="585"/>
      <c r="AV615" s="585"/>
      <c r="AW615" s="585"/>
      <c r="AX615" s="585"/>
      <c r="AY615" s="585"/>
      <c r="AZ615" s="585"/>
      <c r="BA615" s="585"/>
      <c r="BB615" s="586"/>
      <c r="BC615" s="544"/>
      <c r="BD615" s="545"/>
      <c r="BE615" s="545"/>
      <c r="BF615" s="545"/>
      <c r="BG615" s="545"/>
      <c r="BH615" s="545"/>
      <c r="BI615" s="545"/>
      <c r="BJ615" s="545"/>
      <c r="BK615" s="545"/>
      <c r="BL615" s="545"/>
      <c r="BM615" s="545"/>
      <c r="BN615" s="545"/>
      <c r="BO615" s="545"/>
      <c r="BP615" s="545"/>
      <c r="BQ615" s="545"/>
      <c r="BR615" s="546"/>
      <c r="BS615" s="627"/>
      <c r="BT615" s="628"/>
      <c r="BU615" s="628"/>
      <c r="BV615" s="628"/>
      <c r="BW615" s="628"/>
      <c r="BX615" s="628"/>
      <c r="BY615" s="628"/>
      <c r="BZ615" s="628"/>
      <c r="CA615" s="628"/>
      <c r="CB615" s="628"/>
      <c r="CC615" s="628"/>
      <c r="CD615" s="628"/>
      <c r="CE615" s="628"/>
      <c r="CF615" s="628"/>
      <c r="CG615" s="628"/>
      <c r="CH615" s="629"/>
      <c r="CI615" s="627"/>
      <c r="CJ615" s="628"/>
      <c r="CK615" s="628"/>
      <c r="CL615" s="628"/>
      <c r="CM615" s="628"/>
      <c r="CN615" s="628"/>
      <c r="CO615" s="628"/>
      <c r="CP615" s="628"/>
      <c r="CQ615" s="628"/>
      <c r="CR615" s="628"/>
      <c r="CS615" s="628"/>
      <c r="CT615" s="628"/>
      <c r="CU615" s="628"/>
      <c r="CV615" s="628"/>
      <c r="CW615" s="628"/>
      <c r="CX615" s="628"/>
      <c r="CY615" s="628"/>
      <c r="CZ615" s="629"/>
      <c r="DA615" s="243"/>
    </row>
    <row r="616" spans="1:105" ht="23.25" hidden="1" customHeight="1" x14ac:dyDescent="0.25">
      <c r="A616" s="630"/>
      <c r="B616" s="631"/>
      <c r="C616" s="631"/>
      <c r="D616" s="631"/>
      <c r="E616" s="631"/>
      <c r="F616" s="631"/>
      <c r="G616" s="632"/>
      <c r="H616" s="584"/>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5"/>
      <c r="AL616" s="585"/>
      <c r="AM616" s="585"/>
      <c r="AN616" s="585"/>
      <c r="AO616" s="585"/>
      <c r="AP616" s="585"/>
      <c r="AQ616" s="585"/>
      <c r="AR616" s="585"/>
      <c r="AS616" s="585"/>
      <c r="AT616" s="585"/>
      <c r="AU616" s="585"/>
      <c r="AV616" s="585"/>
      <c r="AW616" s="585"/>
      <c r="AX616" s="585"/>
      <c r="AY616" s="585"/>
      <c r="AZ616" s="585"/>
      <c r="BA616" s="585"/>
      <c r="BB616" s="586"/>
      <c r="BC616" s="544"/>
      <c r="BD616" s="545"/>
      <c r="BE616" s="545"/>
      <c r="BF616" s="545"/>
      <c r="BG616" s="545"/>
      <c r="BH616" s="545"/>
      <c r="BI616" s="545"/>
      <c r="BJ616" s="545"/>
      <c r="BK616" s="545"/>
      <c r="BL616" s="545"/>
      <c r="BM616" s="545"/>
      <c r="BN616" s="545"/>
      <c r="BO616" s="545"/>
      <c r="BP616" s="545"/>
      <c r="BQ616" s="545"/>
      <c r="BR616" s="546"/>
      <c r="BS616" s="627"/>
      <c r="BT616" s="628"/>
      <c r="BU616" s="628"/>
      <c r="BV616" s="628"/>
      <c r="BW616" s="628"/>
      <c r="BX616" s="628"/>
      <c r="BY616" s="628"/>
      <c r="BZ616" s="628"/>
      <c r="CA616" s="628"/>
      <c r="CB616" s="628"/>
      <c r="CC616" s="628"/>
      <c r="CD616" s="628"/>
      <c r="CE616" s="628"/>
      <c r="CF616" s="628"/>
      <c r="CG616" s="628"/>
      <c r="CH616" s="629"/>
      <c r="CI616" s="627"/>
      <c r="CJ616" s="628"/>
      <c r="CK616" s="628"/>
      <c r="CL616" s="628"/>
      <c r="CM616" s="628"/>
      <c r="CN616" s="628"/>
      <c r="CO616" s="628"/>
      <c r="CP616" s="628"/>
      <c r="CQ616" s="628"/>
      <c r="CR616" s="628"/>
      <c r="CS616" s="628"/>
      <c r="CT616" s="628"/>
      <c r="CU616" s="628"/>
      <c r="CV616" s="628"/>
      <c r="CW616" s="628"/>
      <c r="CX616" s="628"/>
      <c r="CY616" s="628"/>
      <c r="CZ616" s="629"/>
      <c r="DA616" s="243"/>
    </row>
    <row r="617" spans="1:105" ht="23.25" customHeight="1" x14ac:dyDescent="0.25">
      <c r="A617" s="633" t="s">
        <v>292</v>
      </c>
      <c r="B617" s="634"/>
      <c r="C617" s="634"/>
      <c r="D617" s="634"/>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c r="AA617" s="634"/>
      <c r="AB617" s="634"/>
      <c r="AC617" s="634"/>
      <c r="AD617" s="634"/>
      <c r="AE617" s="634"/>
      <c r="AF617" s="634"/>
      <c r="AG617" s="634"/>
      <c r="AH617" s="634"/>
      <c r="AI617" s="634"/>
      <c r="AJ617" s="634"/>
      <c r="AK617" s="634"/>
      <c r="AL617" s="634"/>
      <c r="AM617" s="634"/>
      <c r="AN617" s="634"/>
      <c r="AO617" s="634"/>
      <c r="AP617" s="634"/>
      <c r="AQ617" s="634"/>
      <c r="AR617" s="634"/>
      <c r="AS617" s="634"/>
      <c r="AT617" s="634"/>
      <c r="AU617" s="634"/>
      <c r="AV617" s="634"/>
      <c r="AW617" s="634"/>
      <c r="AX617" s="634"/>
      <c r="AY617" s="634"/>
      <c r="AZ617" s="634"/>
      <c r="BA617" s="634"/>
      <c r="BB617" s="635"/>
      <c r="BC617" s="582" t="s">
        <v>4</v>
      </c>
      <c r="BD617" s="582"/>
      <c r="BE617" s="582"/>
      <c r="BF617" s="582"/>
      <c r="BG617" s="582"/>
      <c r="BH617" s="582"/>
      <c r="BI617" s="582"/>
      <c r="BJ617" s="582"/>
      <c r="BK617" s="582"/>
      <c r="BL617" s="582"/>
      <c r="BM617" s="582"/>
      <c r="BN617" s="582"/>
      <c r="BO617" s="582"/>
      <c r="BP617" s="582"/>
      <c r="BQ617" s="582"/>
      <c r="BR617" s="582"/>
      <c r="BS617" s="582" t="s">
        <v>4</v>
      </c>
      <c r="BT617" s="582"/>
      <c r="BU617" s="582"/>
      <c r="BV617" s="582"/>
      <c r="BW617" s="582"/>
      <c r="BX617" s="582"/>
      <c r="BY617" s="582"/>
      <c r="BZ617" s="582"/>
      <c r="CA617" s="582"/>
      <c r="CB617" s="582"/>
      <c r="CC617" s="582"/>
      <c r="CD617" s="582"/>
      <c r="CE617" s="582"/>
      <c r="CF617" s="582"/>
      <c r="CG617" s="582"/>
      <c r="CH617" s="582"/>
      <c r="CI617" s="636">
        <f>CI594+CI595+CI596+CI598+CI599+CI600+CI601+CI602+CI603+CI604+CI605+CI597+CI610+CI611+CI612+CI606+CI607+CI608+CI609+CI613+CI614+CI615+CI616</f>
        <v>0</v>
      </c>
      <c r="CJ617" s="637"/>
      <c r="CK617" s="637"/>
      <c r="CL617" s="637"/>
      <c r="CM617" s="637"/>
      <c r="CN617" s="637"/>
      <c r="CO617" s="637"/>
      <c r="CP617" s="637"/>
      <c r="CQ617" s="637"/>
      <c r="CR617" s="637"/>
      <c r="CS617" s="637"/>
      <c r="CT617" s="637"/>
      <c r="CU617" s="637"/>
      <c r="CV617" s="637"/>
      <c r="CW617" s="637"/>
      <c r="CX617" s="637"/>
      <c r="CY617" s="637"/>
      <c r="CZ617" s="638"/>
      <c r="DA617" s="243"/>
    </row>
    <row r="618" spans="1:105" ht="23.25" hidden="1" customHeight="1" x14ac:dyDescent="0.25">
      <c r="A618" s="648" t="s">
        <v>573</v>
      </c>
      <c r="B618" s="649"/>
      <c r="C618" s="649"/>
      <c r="D618" s="649"/>
      <c r="E618" s="649"/>
      <c r="F618" s="649"/>
      <c r="G618" s="649"/>
      <c r="H618" s="649"/>
      <c r="I618" s="649"/>
      <c r="J618" s="649"/>
      <c r="K618" s="649"/>
      <c r="L618" s="649"/>
      <c r="M618" s="649"/>
      <c r="N618" s="649"/>
      <c r="O618" s="649"/>
      <c r="P618" s="649"/>
      <c r="Q618" s="649"/>
      <c r="R618" s="649"/>
      <c r="S618" s="649"/>
      <c r="T618" s="649"/>
      <c r="U618" s="649"/>
      <c r="V618" s="649"/>
      <c r="W618" s="649"/>
      <c r="X618" s="649"/>
      <c r="Y618" s="649"/>
      <c r="Z618" s="649"/>
      <c r="AA618" s="649"/>
      <c r="AB618" s="649"/>
      <c r="AC618" s="649"/>
      <c r="AD618" s="649"/>
      <c r="AE618" s="649"/>
      <c r="AF618" s="649"/>
      <c r="AG618" s="649"/>
      <c r="AH618" s="649"/>
      <c r="AI618" s="649"/>
      <c r="AJ618" s="649"/>
      <c r="AK618" s="649"/>
      <c r="AL618" s="649"/>
      <c r="AM618" s="649"/>
      <c r="AN618" s="649"/>
      <c r="AO618" s="649"/>
      <c r="AP618" s="649"/>
      <c r="AQ618" s="649"/>
      <c r="AR618" s="649"/>
      <c r="AS618" s="649"/>
      <c r="AT618" s="649"/>
      <c r="AU618" s="649"/>
      <c r="AV618" s="649"/>
      <c r="AW618" s="649"/>
      <c r="AX618" s="649"/>
      <c r="AY618" s="649"/>
      <c r="AZ618" s="649"/>
      <c r="BA618" s="649"/>
      <c r="BB618" s="649"/>
      <c r="BC618" s="649"/>
      <c r="BD618" s="649"/>
      <c r="BE618" s="649"/>
      <c r="BF618" s="649"/>
      <c r="BG618" s="649"/>
      <c r="BH618" s="649"/>
      <c r="BI618" s="649"/>
      <c r="BJ618" s="649"/>
      <c r="BK618" s="649"/>
      <c r="BL618" s="649"/>
      <c r="BM618" s="649"/>
      <c r="BN618" s="649"/>
      <c r="BO618" s="649"/>
      <c r="BP618" s="649"/>
      <c r="BQ618" s="649"/>
      <c r="BR618" s="649"/>
      <c r="BS618" s="649"/>
      <c r="BT618" s="649"/>
      <c r="BU618" s="649"/>
      <c r="BV618" s="649"/>
      <c r="BW618" s="649"/>
      <c r="BX618" s="649"/>
      <c r="BY618" s="649"/>
      <c r="BZ618" s="649"/>
      <c r="CA618" s="649"/>
      <c r="CB618" s="649"/>
      <c r="CC618" s="649"/>
      <c r="CD618" s="649"/>
      <c r="CE618" s="649"/>
      <c r="CF618" s="649"/>
      <c r="CG618" s="649"/>
      <c r="CH618" s="649"/>
      <c r="CI618" s="649"/>
      <c r="CJ618" s="649"/>
      <c r="CK618" s="649"/>
      <c r="CL618" s="649"/>
      <c r="CM618" s="649"/>
      <c r="CN618" s="649"/>
      <c r="CO618" s="649"/>
      <c r="CP618" s="649"/>
      <c r="CQ618" s="649"/>
      <c r="CR618" s="649"/>
      <c r="CS618" s="649"/>
      <c r="CT618" s="649"/>
      <c r="CU618" s="649"/>
      <c r="CV618" s="649"/>
      <c r="CW618" s="649"/>
      <c r="CX618" s="649"/>
      <c r="CY618" s="649"/>
      <c r="CZ618" s="650"/>
      <c r="DA618" s="243"/>
    </row>
    <row r="619" spans="1:105" ht="23.25" hidden="1" customHeight="1" x14ac:dyDescent="0.25">
      <c r="A619" s="630" t="s">
        <v>441</v>
      </c>
      <c r="B619" s="631"/>
      <c r="C619" s="631"/>
      <c r="D619" s="631"/>
      <c r="E619" s="631"/>
      <c r="F619" s="631"/>
      <c r="G619" s="632"/>
      <c r="H619" s="584" t="s">
        <v>868</v>
      </c>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5"/>
      <c r="AL619" s="585"/>
      <c r="AM619" s="585"/>
      <c r="AN619" s="585"/>
      <c r="AO619" s="585"/>
      <c r="AP619" s="585"/>
      <c r="AQ619" s="585"/>
      <c r="AR619" s="585"/>
      <c r="AS619" s="585"/>
      <c r="AT619" s="585"/>
      <c r="AU619" s="585"/>
      <c r="AV619" s="585"/>
      <c r="AW619" s="585"/>
      <c r="AX619" s="585"/>
      <c r="AY619" s="585"/>
      <c r="AZ619" s="585"/>
      <c r="BA619" s="585"/>
      <c r="BB619" s="586"/>
      <c r="BC619" s="544"/>
      <c r="BD619" s="545"/>
      <c r="BE619" s="545"/>
      <c r="BF619" s="545"/>
      <c r="BG619" s="545"/>
      <c r="BH619" s="545"/>
      <c r="BI619" s="545"/>
      <c r="BJ619" s="545"/>
      <c r="BK619" s="545"/>
      <c r="BL619" s="545"/>
      <c r="BM619" s="545"/>
      <c r="BN619" s="545"/>
      <c r="BO619" s="545"/>
      <c r="BP619" s="545"/>
      <c r="BQ619" s="545"/>
      <c r="BR619" s="546"/>
      <c r="BS619" s="627"/>
      <c r="BT619" s="628"/>
      <c r="BU619" s="628"/>
      <c r="BV619" s="628"/>
      <c r="BW619" s="628"/>
      <c r="BX619" s="628"/>
      <c r="BY619" s="628"/>
      <c r="BZ619" s="628"/>
      <c r="CA619" s="628"/>
      <c r="CB619" s="628"/>
      <c r="CC619" s="628"/>
      <c r="CD619" s="628"/>
      <c r="CE619" s="628"/>
      <c r="CF619" s="628"/>
      <c r="CG619" s="628"/>
      <c r="CH619" s="629"/>
      <c r="CI619" s="627">
        <f>BC619*BS619</f>
        <v>0</v>
      </c>
      <c r="CJ619" s="628"/>
      <c r="CK619" s="628"/>
      <c r="CL619" s="628"/>
      <c r="CM619" s="628"/>
      <c r="CN619" s="628"/>
      <c r="CO619" s="628"/>
      <c r="CP619" s="628"/>
      <c r="CQ619" s="628"/>
      <c r="CR619" s="628"/>
      <c r="CS619" s="628"/>
      <c r="CT619" s="628"/>
      <c r="CU619" s="628"/>
      <c r="CV619" s="628"/>
      <c r="CW619" s="628"/>
      <c r="CX619" s="628"/>
      <c r="CY619" s="628"/>
      <c r="CZ619" s="629"/>
      <c r="DA619" s="243"/>
    </row>
    <row r="620" spans="1:105" ht="23.25" hidden="1" customHeight="1" x14ac:dyDescent="0.25">
      <c r="A620" s="630" t="s">
        <v>444</v>
      </c>
      <c r="B620" s="631"/>
      <c r="C620" s="631"/>
      <c r="D620" s="631"/>
      <c r="E620" s="631"/>
      <c r="F620" s="631"/>
      <c r="G620" s="632"/>
      <c r="H620" s="584" t="s">
        <v>807</v>
      </c>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5"/>
      <c r="AL620" s="585"/>
      <c r="AM620" s="585"/>
      <c r="AN620" s="585"/>
      <c r="AO620" s="585"/>
      <c r="AP620" s="585"/>
      <c r="AQ620" s="585"/>
      <c r="AR620" s="585"/>
      <c r="AS620" s="585"/>
      <c r="AT620" s="585"/>
      <c r="AU620" s="585"/>
      <c r="AV620" s="585"/>
      <c r="AW620" s="585"/>
      <c r="AX620" s="585"/>
      <c r="AY620" s="585"/>
      <c r="AZ620" s="585"/>
      <c r="BA620" s="585"/>
      <c r="BB620" s="586"/>
      <c r="BC620" s="544"/>
      <c r="BD620" s="545"/>
      <c r="BE620" s="545"/>
      <c r="BF620" s="545"/>
      <c r="BG620" s="545"/>
      <c r="BH620" s="545"/>
      <c r="BI620" s="545"/>
      <c r="BJ620" s="545"/>
      <c r="BK620" s="545"/>
      <c r="BL620" s="545"/>
      <c r="BM620" s="545"/>
      <c r="BN620" s="545"/>
      <c r="BO620" s="545"/>
      <c r="BP620" s="545"/>
      <c r="BQ620" s="545"/>
      <c r="BR620" s="546"/>
      <c r="BS620" s="627"/>
      <c r="BT620" s="628"/>
      <c r="BU620" s="628"/>
      <c r="BV620" s="628"/>
      <c r="BW620" s="628"/>
      <c r="BX620" s="628"/>
      <c r="BY620" s="628"/>
      <c r="BZ620" s="628"/>
      <c r="CA620" s="628"/>
      <c r="CB620" s="628"/>
      <c r="CC620" s="628"/>
      <c r="CD620" s="628"/>
      <c r="CE620" s="628"/>
      <c r="CF620" s="628"/>
      <c r="CG620" s="628"/>
      <c r="CH620" s="629"/>
      <c r="CI620" s="627">
        <f t="shared" ref="CI620:CI641" si="9">BC620*BS620</f>
        <v>0</v>
      </c>
      <c r="CJ620" s="628"/>
      <c r="CK620" s="628"/>
      <c r="CL620" s="628"/>
      <c r="CM620" s="628"/>
      <c r="CN620" s="628"/>
      <c r="CO620" s="628"/>
      <c r="CP620" s="628"/>
      <c r="CQ620" s="628"/>
      <c r="CR620" s="628"/>
      <c r="CS620" s="628"/>
      <c r="CT620" s="628"/>
      <c r="CU620" s="628"/>
      <c r="CV620" s="628"/>
      <c r="CW620" s="628"/>
      <c r="CX620" s="628"/>
      <c r="CY620" s="628"/>
      <c r="CZ620" s="629"/>
      <c r="DA620" s="243"/>
    </row>
    <row r="621" spans="1:105" ht="23.25" hidden="1" customHeight="1" x14ac:dyDescent="0.25">
      <c r="A621" s="630" t="s">
        <v>446</v>
      </c>
      <c r="B621" s="631"/>
      <c r="C621" s="631"/>
      <c r="D621" s="631"/>
      <c r="E621" s="631"/>
      <c r="F621" s="631"/>
      <c r="G621" s="632"/>
      <c r="H621" s="584" t="s">
        <v>808</v>
      </c>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5"/>
      <c r="AL621" s="585"/>
      <c r="AM621" s="585"/>
      <c r="AN621" s="585"/>
      <c r="AO621" s="585"/>
      <c r="AP621" s="585"/>
      <c r="AQ621" s="585"/>
      <c r="AR621" s="585"/>
      <c r="AS621" s="585"/>
      <c r="AT621" s="585"/>
      <c r="AU621" s="585"/>
      <c r="AV621" s="585"/>
      <c r="AW621" s="585"/>
      <c r="AX621" s="585"/>
      <c r="AY621" s="585"/>
      <c r="AZ621" s="585"/>
      <c r="BA621" s="585"/>
      <c r="BB621" s="586"/>
      <c r="BC621" s="544"/>
      <c r="BD621" s="545"/>
      <c r="BE621" s="545"/>
      <c r="BF621" s="545"/>
      <c r="BG621" s="545"/>
      <c r="BH621" s="545"/>
      <c r="BI621" s="545"/>
      <c r="BJ621" s="545"/>
      <c r="BK621" s="545"/>
      <c r="BL621" s="545"/>
      <c r="BM621" s="545"/>
      <c r="BN621" s="545"/>
      <c r="BO621" s="545"/>
      <c r="BP621" s="545"/>
      <c r="BQ621" s="545"/>
      <c r="BR621" s="546"/>
      <c r="BS621" s="627"/>
      <c r="BT621" s="628"/>
      <c r="BU621" s="628"/>
      <c r="BV621" s="628"/>
      <c r="BW621" s="628"/>
      <c r="BX621" s="628"/>
      <c r="BY621" s="628"/>
      <c r="BZ621" s="628"/>
      <c r="CA621" s="628"/>
      <c r="CB621" s="628"/>
      <c r="CC621" s="628"/>
      <c r="CD621" s="628"/>
      <c r="CE621" s="628"/>
      <c r="CF621" s="628"/>
      <c r="CG621" s="628"/>
      <c r="CH621" s="629"/>
      <c r="CI621" s="627">
        <f t="shared" si="9"/>
        <v>0</v>
      </c>
      <c r="CJ621" s="628"/>
      <c r="CK621" s="628"/>
      <c r="CL621" s="628"/>
      <c r="CM621" s="628"/>
      <c r="CN621" s="628"/>
      <c r="CO621" s="628"/>
      <c r="CP621" s="628"/>
      <c r="CQ621" s="628"/>
      <c r="CR621" s="628"/>
      <c r="CS621" s="628"/>
      <c r="CT621" s="628"/>
      <c r="CU621" s="628"/>
      <c r="CV621" s="628"/>
      <c r="CW621" s="628"/>
      <c r="CX621" s="628"/>
      <c r="CY621" s="628"/>
      <c r="CZ621" s="629"/>
      <c r="DA621" s="243"/>
    </row>
    <row r="622" spans="1:105" ht="23.25" hidden="1" customHeight="1" x14ac:dyDescent="0.25">
      <c r="A622" s="630" t="s">
        <v>441</v>
      </c>
      <c r="B622" s="631"/>
      <c r="C622" s="631"/>
      <c r="D622" s="631"/>
      <c r="E622" s="631"/>
      <c r="F622" s="631"/>
      <c r="G622" s="632"/>
      <c r="H622" s="584" t="s">
        <v>809</v>
      </c>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5"/>
      <c r="AL622" s="585"/>
      <c r="AM622" s="585"/>
      <c r="AN622" s="585"/>
      <c r="AO622" s="585"/>
      <c r="AP622" s="585"/>
      <c r="AQ622" s="585"/>
      <c r="AR622" s="585"/>
      <c r="AS622" s="585"/>
      <c r="AT622" s="585"/>
      <c r="AU622" s="585"/>
      <c r="AV622" s="585"/>
      <c r="AW622" s="585"/>
      <c r="AX622" s="585"/>
      <c r="AY622" s="585"/>
      <c r="AZ622" s="585"/>
      <c r="BA622" s="585"/>
      <c r="BB622" s="586"/>
      <c r="BC622" s="544"/>
      <c r="BD622" s="545"/>
      <c r="BE622" s="545"/>
      <c r="BF622" s="545"/>
      <c r="BG622" s="545"/>
      <c r="BH622" s="545"/>
      <c r="BI622" s="545"/>
      <c r="BJ622" s="545"/>
      <c r="BK622" s="545"/>
      <c r="BL622" s="545"/>
      <c r="BM622" s="545"/>
      <c r="BN622" s="545"/>
      <c r="BO622" s="545"/>
      <c r="BP622" s="545"/>
      <c r="BQ622" s="545"/>
      <c r="BR622" s="546"/>
      <c r="BS622" s="627"/>
      <c r="BT622" s="628"/>
      <c r="BU622" s="628"/>
      <c r="BV622" s="628"/>
      <c r="BW622" s="628"/>
      <c r="BX622" s="628"/>
      <c r="BY622" s="628"/>
      <c r="BZ622" s="628"/>
      <c r="CA622" s="628"/>
      <c r="CB622" s="628"/>
      <c r="CC622" s="628"/>
      <c r="CD622" s="628"/>
      <c r="CE622" s="628"/>
      <c r="CF622" s="628"/>
      <c r="CG622" s="628"/>
      <c r="CH622" s="629"/>
      <c r="CI622" s="627">
        <f t="shared" si="9"/>
        <v>0</v>
      </c>
      <c r="CJ622" s="628"/>
      <c r="CK622" s="628"/>
      <c r="CL622" s="628"/>
      <c r="CM622" s="628"/>
      <c r="CN622" s="628"/>
      <c r="CO622" s="628"/>
      <c r="CP622" s="628"/>
      <c r="CQ622" s="628"/>
      <c r="CR622" s="628"/>
      <c r="CS622" s="628"/>
      <c r="CT622" s="628"/>
      <c r="CU622" s="628"/>
      <c r="CV622" s="628"/>
      <c r="CW622" s="628"/>
      <c r="CX622" s="628"/>
      <c r="CY622" s="628"/>
      <c r="CZ622" s="629"/>
      <c r="DA622" s="243"/>
    </row>
    <row r="623" spans="1:105" ht="23.25" hidden="1" customHeight="1" x14ac:dyDescent="0.25">
      <c r="A623" s="630" t="s">
        <v>444</v>
      </c>
      <c r="B623" s="631"/>
      <c r="C623" s="631"/>
      <c r="D623" s="631"/>
      <c r="E623" s="631"/>
      <c r="F623" s="631"/>
      <c r="G623" s="632"/>
      <c r="H623" s="584" t="s">
        <v>810</v>
      </c>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5"/>
      <c r="AL623" s="585"/>
      <c r="AM623" s="585"/>
      <c r="AN623" s="585"/>
      <c r="AO623" s="585"/>
      <c r="AP623" s="585"/>
      <c r="AQ623" s="585"/>
      <c r="AR623" s="585"/>
      <c r="AS623" s="585"/>
      <c r="AT623" s="585"/>
      <c r="AU623" s="585"/>
      <c r="AV623" s="585"/>
      <c r="AW623" s="585"/>
      <c r="AX623" s="585"/>
      <c r="AY623" s="585"/>
      <c r="AZ623" s="585"/>
      <c r="BA623" s="585"/>
      <c r="BB623" s="586"/>
      <c r="BC623" s="544"/>
      <c r="BD623" s="545"/>
      <c r="BE623" s="545"/>
      <c r="BF623" s="545"/>
      <c r="BG623" s="545"/>
      <c r="BH623" s="545"/>
      <c r="BI623" s="545"/>
      <c r="BJ623" s="545"/>
      <c r="BK623" s="545"/>
      <c r="BL623" s="545"/>
      <c r="BM623" s="545"/>
      <c r="BN623" s="545"/>
      <c r="BO623" s="545"/>
      <c r="BP623" s="545"/>
      <c r="BQ623" s="545"/>
      <c r="BR623" s="546"/>
      <c r="BS623" s="627"/>
      <c r="BT623" s="628"/>
      <c r="BU623" s="628"/>
      <c r="BV623" s="628"/>
      <c r="BW623" s="628"/>
      <c r="BX623" s="628"/>
      <c r="BY623" s="628"/>
      <c r="BZ623" s="628"/>
      <c r="CA623" s="628"/>
      <c r="CB623" s="628"/>
      <c r="CC623" s="628"/>
      <c r="CD623" s="628"/>
      <c r="CE623" s="628"/>
      <c r="CF623" s="628"/>
      <c r="CG623" s="628"/>
      <c r="CH623" s="629"/>
      <c r="CI623" s="627">
        <f t="shared" si="9"/>
        <v>0</v>
      </c>
      <c r="CJ623" s="628"/>
      <c r="CK623" s="628"/>
      <c r="CL623" s="628"/>
      <c r="CM623" s="628"/>
      <c r="CN623" s="628"/>
      <c r="CO623" s="628"/>
      <c r="CP623" s="628"/>
      <c r="CQ623" s="628"/>
      <c r="CR623" s="628"/>
      <c r="CS623" s="628"/>
      <c r="CT623" s="628"/>
      <c r="CU623" s="628"/>
      <c r="CV623" s="628"/>
      <c r="CW623" s="628"/>
      <c r="CX623" s="628"/>
      <c r="CY623" s="628"/>
      <c r="CZ623" s="629"/>
      <c r="DA623" s="243"/>
    </row>
    <row r="624" spans="1:105" ht="23.25" hidden="1" customHeight="1" x14ac:dyDescent="0.25">
      <c r="A624" s="630" t="s">
        <v>446</v>
      </c>
      <c r="B624" s="631"/>
      <c r="C624" s="631"/>
      <c r="D624" s="631"/>
      <c r="E624" s="631"/>
      <c r="F624" s="631"/>
      <c r="G624" s="632"/>
      <c r="H624" s="584" t="s">
        <v>811</v>
      </c>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5"/>
      <c r="AL624" s="585"/>
      <c r="AM624" s="585"/>
      <c r="AN624" s="585"/>
      <c r="AO624" s="585"/>
      <c r="AP624" s="585"/>
      <c r="AQ624" s="585"/>
      <c r="AR624" s="585"/>
      <c r="AS624" s="585"/>
      <c r="AT624" s="585"/>
      <c r="AU624" s="585"/>
      <c r="AV624" s="585"/>
      <c r="AW624" s="585"/>
      <c r="AX624" s="585"/>
      <c r="AY624" s="585"/>
      <c r="AZ624" s="585"/>
      <c r="BA624" s="585"/>
      <c r="BB624" s="586"/>
      <c r="BC624" s="544"/>
      <c r="BD624" s="545"/>
      <c r="BE624" s="545"/>
      <c r="BF624" s="545"/>
      <c r="BG624" s="545"/>
      <c r="BH624" s="545"/>
      <c r="BI624" s="545"/>
      <c r="BJ624" s="545"/>
      <c r="BK624" s="545"/>
      <c r="BL624" s="545"/>
      <c r="BM624" s="545"/>
      <c r="BN624" s="545"/>
      <c r="BO624" s="545"/>
      <c r="BP624" s="545"/>
      <c r="BQ624" s="545"/>
      <c r="BR624" s="546"/>
      <c r="BS624" s="627"/>
      <c r="BT624" s="628"/>
      <c r="BU624" s="628"/>
      <c r="BV624" s="628"/>
      <c r="BW624" s="628"/>
      <c r="BX624" s="628"/>
      <c r="BY624" s="628"/>
      <c r="BZ624" s="628"/>
      <c r="CA624" s="628"/>
      <c r="CB624" s="628"/>
      <c r="CC624" s="628"/>
      <c r="CD624" s="628"/>
      <c r="CE624" s="628"/>
      <c r="CF624" s="628"/>
      <c r="CG624" s="628"/>
      <c r="CH624" s="629"/>
      <c r="CI624" s="627">
        <f t="shared" si="9"/>
        <v>0</v>
      </c>
      <c r="CJ624" s="628"/>
      <c r="CK624" s="628"/>
      <c r="CL624" s="628"/>
      <c r="CM624" s="628"/>
      <c r="CN624" s="628"/>
      <c r="CO624" s="628"/>
      <c r="CP624" s="628"/>
      <c r="CQ624" s="628"/>
      <c r="CR624" s="628"/>
      <c r="CS624" s="628"/>
      <c r="CT624" s="628"/>
      <c r="CU624" s="628"/>
      <c r="CV624" s="628"/>
      <c r="CW624" s="628"/>
      <c r="CX624" s="628"/>
      <c r="CY624" s="628"/>
      <c r="CZ624" s="629"/>
      <c r="DA624" s="243"/>
    </row>
    <row r="625" spans="1:105" ht="23.25" hidden="1" customHeight="1" x14ac:dyDescent="0.25">
      <c r="A625" s="630" t="s">
        <v>551</v>
      </c>
      <c r="B625" s="631"/>
      <c r="C625" s="631"/>
      <c r="D625" s="631"/>
      <c r="E625" s="631"/>
      <c r="F625" s="631"/>
      <c r="G625" s="632"/>
      <c r="H625" s="584" t="s">
        <v>812</v>
      </c>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5"/>
      <c r="AL625" s="585"/>
      <c r="AM625" s="585"/>
      <c r="AN625" s="585"/>
      <c r="AO625" s="585"/>
      <c r="AP625" s="585"/>
      <c r="AQ625" s="585"/>
      <c r="AR625" s="585"/>
      <c r="AS625" s="585"/>
      <c r="AT625" s="585"/>
      <c r="AU625" s="585"/>
      <c r="AV625" s="585"/>
      <c r="AW625" s="585"/>
      <c r="AX625" s="585"/>
      <c r="AY625" s="585"/>
      <c r="AZ625" s="585"/>
      <c r="BA625" s="585"/>
      <c r="BB625" s="586"/>
      <c r="BC625" s="544"/>
      <c r="BD625" s="545"/>
      <c r="BE625" s="545"/>
      <c r="BF625" s="545"/>
      <c r="BG625" s="545"/>
      <c r="BH625" s="545"/>
      <c r="BI625" s="545"/>
      <c r="BJ625" s="545"/>
      <c r="BK625" s="545"/>
      <c r="BL625" s="545"/>
      <c r="BM625" s="545"/>
      <c r="BN625" s="545"/>
      <c r="BO625" s="545"/>
      <c r="BP625" s="545"/>
      <c r="BQ625" s="545"/>
      <c r="BR625" s="546"/>
      <c r="BS625" s="627"/>
      <c r="BT625" s="628"/>
      <c r="BU625" s="628"/>
      <c r="BV625" s="628"/>
      <c r="BW625" s="628"/>
      <c r="BX625" s="628"/>
      <c r="BY625" s="628"/>
      <c r="BZ625" s="628"/>
      <c r="CA625" s="628"/>
      <c r="CB625" s="628"/>
      <c r="CC625" s="628"/>
      <c r="CD625" s="628"/>
      <c r="CE625" s="628"/>
      <c r="CF625" s="628"/>
      <c r="CG625" s="628"/>
      <c r="CH625" s="629"/>
      <c r="CI625" s="627">
        <f t="shared" si="9"/>
        <v>0</v>
      </c>
      <c r="CJ625" s="628"/>
      <c r="CK625" s="628"/>
      <c r="CL625" s="628"/>
      <c r="CM625" s="628"/>
      <c r="CN625" s="628"/>
      <c r="CO625" s="628"/>
      <c r="CP625" s="628"/>
      <c r="CQ625" s="628"/>
      <c r="CR625" s="628"/>
      <c r="CS625" s="628"/>
      <c r="CT625" s="628"/>
      <c r="CU625" s="628"/>
      <c r="CV625" s="628"/>
      <c r="CW625" s="628"/>
      <c r="CX625" s="628"/>
      <c r="CY625" s="628"/>
      <c r="CZ625" s="629"/>
      <c r="DA625" s="243"/>
    </row>
    <row r="626" spans="1:105" ht="23.25" hidden="1" customHeight="1" x14ac:dyDescent="0.25">
      <c r="A626" s="630" t="s">
        <v>599</v>
      </c>
      <c r="B626" s="631"/>
      <c r="C626" s="631"/>
      <c r="D626" s="631"/>
      <c r="E626" s="631"/>
      <c r="F626" s="631"/>
      <c r="G626" s="632"/>
      <c r="H626" s="584" t="s">
        <v>813</v>
      </c>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5"/>
      <c r="AL626" s="585"/>
      <c r="AM626" s="585"/>
      <c r="AN626" s="585"/>
      <c r="AO626" s="585"/>
      <c r="AP626" s="585"/>
      <c r="AQ626" s="585"/>
      <c r="AR626" s="585"/>
      <c r="AS626" s="585"/>
      <c r="AT626" s="585"/>
      <c r="AU626" s="585"/>
      <c r="AV626" s="585"/>
      <c r="AW626" s="585"/>
      <c r="AX626" s="585"/>
      <c r="AY626" s="585"/>
      <c r="AZ626" s="585"/>
      <c r="BA626" s="585"/>
      <c r="BB626" s="586"/>
      <c r="BC626" s="544"/>
      <c r="BD626" s="545"/>
      <c r="BE626" s="545"/>
      <c r="BF626" s="545"/>
      <c r="BG626" s="545"/>
      <c r="BH626" s="545"/>
      <c r="BI626" s="545"/>
      <c r="BJ626" s="545"/>
      <c r="BK626" s="545"/>
      <c r="BL626" s="545"/>
      <c r="BM626" s="545"/>
      <c r="BN626" s="545"/>
      <c r="BO626" s="545"/>
      <c r="BP626" s="545"/>
      <c r="BQ626" s="545"/>
      <c r="BR626" s="546"/>
      <c r="BS626" s="627"/>
      <c r="BT626" s="628"/>
      <c r="BU626" s="628"/>
      <c r="BV626" s="628"/>
      <c r="BW626" s="628"/>
      <c r="BX626" s="628"/>
      <c r="BY626" s="628"/>
      <c r="BZ626" s="628"/>
      <c r="CA626" s="628"/>
      <c r="CB626" s="628"/>
      <c r="CC626" s="628"/>
      <c r="CD626" s="628"/>
      <c r="CE626" s="628"/>
      <c r="CF626" s="628"/>
      <c r="CG626" s="628"/>
      <c r="CH626" s="629"/>
      <c r="CI626" s="627">
        <f t="shared" si="9"/>
        <v>0</v>
      </c>
      <c r="CJ626" s="628"/>
      <c r="CK626" s="628"/>
      <c r="CL626" s="628"/>
      <c r="CM626" s="628"/>
      <c r="CN626" s="628"/>
      <c r="CO626" s="628"/>
      <c r="CP626" s="628"/>
      <c r="CQ626" s="628"/>
      <c r="CR626" s="628"/>
      <c r="CS626" s="628"/>
      <c r="CT626" s="628"/>
      <c r="CU626" s="628"/>
      <c r="CV626" s="628"/>
      <c r="CW626" s="628"/>
      <c r="CX626" s="628"/>
      <c r="CY626" s="628"/>
      <c r="CZ626" s="629"/>
      <c r="DA626" s="243"/>
    </row>
    <row r="627" spans="1:105" ht="23.25" hidden="1" customHeight="1" x14ac:dyDescent="0.25">
      <c r="A627" s="630" t="s">
        <v>642</v>
      </c>
      <c r="B627" s="631"/>
      <c r="C627" s="631"/>
      <c r="D627" s="631"/>
      <c r="E627" s="631"/>
      <c r="F627" s="631"/>
      <c r="G627" s="632"/>
      <c r="H627" s="584" t="s">
        <v>814</v>
      </c>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5"/>
      <c r="AL627" s="585"/>
      <c r="AM627" s="585"/>
      <c r="AN627" s="585"/>
      <c r="AO627" s="585"/>
      <c r="AP627" s="585"/>
      <c r="AQ627" s="585"/>
      <c r="AR627" s="585"/>
      <c r="AS627" s="585"/>
      <c r="AT627" s="585"/>
      <c r="AU627" s="585"/>
      <c r="AV627" s="585"/>
      <c r="AW627" s="585"/>
      <c r="AX627" s="585"/>
      <c r="AY627" s="585"/>
      <c r="AZ627" s="585"/>
      <c r="BA627" s="585"/>
      <c r="BB627" s="586"/>
      <c r="BC627" s="544"/>
      <c r="BD627" s="545"/>
      <c r="BE627" s="545"/>
      <c r="BF627" s="545"/>
      <c r="BG627" s="545"/>
      <c r="BH627" s="545"/>
      <c r="BI627" s="545"/>
      <c r="BJ627" s="545"/>
      <c r="BK627" s="545"/>
      <c r="BL627" s="545"/>
      <c r="BM627" s="545"/>
      <c r="BN627" s="545"/>
      <c r="BO627" s="545"/>
      <c r="BP627" s="545"/>
      <c r="BQ627" s="545"/>
      <c r="BR627" s="546"/>
      <c r="BS627" s="627"/>
      <c r="BT627" s="628"/>
      <c r="BU627" s="628"/>
      <c r="BV627" s="628"/>
      <c r="BW627" s="628"/>
      <c r="BX627" s="628"/>
      <c r="BY627" s="628"/>
      <c r="BZ627" s="628"/>
      <c r="CA627" s="628"/>
      <c r="CB627" s="628"/>
      <c r="CC627" s="628"/>
      <c r="CD627" s="628"/>
      <c r="CE627" s="628"/>
      <c r="CF627" s="628"/>
      <c r="CG627" s="628"/>
      <c r="CH627" s="629"/>
      <c r="CI627" s="627">
        <f t="shared" si="9"/>
        <v>0</v>
      </c>
      <c r="CJ627" s="628"/>
      <c r="CK627" s="628"/>
      <c r="CL627" s="628"/>
      <c r="CM627" s="628"/>
      <c r="CN627" s="628"/>
      <c r="CO627" s="628"/>
      <c r="CP627" s="628"/>
      <c r="CQ627" s="628"/>
      <c r="CR627" s="628"/>
      <c r="CS627" s="628"/>
      <c r="CT627" s="628"/>
      <c r="CU627" s="628"/>
      <c r="CV627" s="628"/>
      <c r="CW627" s="628"/>
      <c r="CX627" s="628"/>
      <c r="CY627" s="628"/>
      <c r="CZ627" s="629"/>
      <c r="DA627" s="243"/>
    </row>
    <row r="628" spans="1:105" ht="23.25" hidden="1" customHeight="1" x14ac:dyDescent="0.25">
      <c r="A628" s="630" t="s">
        <v>648</v>
      </c>
      <c r="B628" s="631"/>
      <c r="C628" s="631"/>
      <c r="D628" s="631"/>
      <c r="E628" s="631"/>
      <c r="F628" s="631"/>
      <c r="G628" s="632"/>
      <c r="H628" s="584" t="s">
        <v>815</v>
      </c>
      <c r="I628" s="585"/>
      <c r="J628" s="585"/>
      <c r="K628" s="585"/>
      <c r="L628" s="585"/>
      <c r="M628" s="585"/>
      <c r="N628" s="585"/>
      <c r="O628" s="585"/>
      <c r="P628" s="585"/>
      <c r="Q628" s="585"/>
      <c r="R628" s="585"/>
      <c r="S628" s="585"/>
      <c r="T628" s="585"/>
      <c r="U628" s="585"/>
      <c r="V628" s="585"/>
      <c r="W628" s="585"/>
      <c r="X628" s="585"/>
      <c r="Y628" s="585"/>
      <c r="Z628" s="585"/>
      <c r="AA628" s="585"/>
      <c r="AB628" s="585"/>
      <c r="AC628" s="585"/>
      <c r="AD628" s="585"/>
      <c r="AE628" s="585"/>
      <c r="AF628" s="585"/>
      <c r="AG628" s="585"/>
      <c r="AH628" s="585"/>
      <c r="AI628" s="585"/>
      <c r="AJ628" s="585"/>
      <c r="AK628" s="585"/>
      <c r="AL628" s="585"/>
      <c r="AM628" s="585"/>
      <c r="AN628" s="585"/>
      <c r="AO628" s="585"/>
      <c r="AP628" s="585"/>
      <c r="AQ628" s="585"/>
      <c r="AR628" s="585"/>
      <c r="AS628" s="585"/>
      <c r="AT628" s="585"/>
      <c r="AU628" s="585"/>
      <c r="AV628" s="585"/>
      <c r="AW628" s="585"/>
      <c r="AX628" s="585"/>
      <c r="AY628" s="585"/>
      <c r="AZ628" s="585"/>
      <c r="BA628" s="585"/>
      <c r="BB628" s="586"/>
      <c r="BC628" s="544"/>
      <c r="BD628" s="545"/>
      <c r="BE628" s="545"/>
      <c r="BF628" s="545"/>
      <c r="BG628" s="545"/>
      <c r="BH628" s="545"/>
      <c r="BI628" s="545"/>
      <c r="BJ628" s="545"/>
      <c r="BK628" s="545"/>
      <c r="BL628" s="545"/>
      <c r="BM628" s="545"/>
      <c r="BN628" s="545"/>
      <c r="BO628" s="545"/>
      <c r="BP628" s="545"/>
      <c r="BQ628" s="545"/>
      <c r="BR628" s="546"/>
      <c r="BS628" s="627"/>
      <c r="BT628" s="628"/>
      <c r="BU628" s="628"/>
      <c r="BV628" s="628"/>
      <c r="BW628" s="628"/>
      <c r="BX628" s="628"/>
      <c r="BY628" s="628"/>
      <c r="BZ628" s="628"/>
      <c r="CA628" s="628"/>
      <c r="CB628" s="628"/>
      <c r="CC628" s="628"/>
      <c r="CD628" s="628"/>
      <c r="CE628" s="628"/>
      <c r="CF628" s="628"/>
      <c r="CG628" s="628"/>
      <c r="CH628" s="629"/>
      <c r="CI628" s="627">
        <f t="shared" si="9"/>
        <v>0</v>
      </c>
      <c r="CJ628" s="628"/>
      <c r="CK628" s="628"/>
      <c r="CL628" s="628"/>
      <c r="CM628" s="628"/>
      <c r="CN628" s="628"/>
      <c r="CO628" s="628"/>
      <c r="CP628" s="628"/>
      <c r="CQ628" s="628"/>
      <c r="CR628" s="628"/>
      <c r="CS628" s="628"/>
      <c r="CT628" s="628"/>
      <c r="CU628" s="628"/>
      <c r="CV628" s="628"/>
      <c r="CW628" s="628"/>
      <c r="CX628" s="628"/>
      <c r="CY628" s="628"/>
      <c r="CZ628" s="629"/>
      <c r="DA628" s="243"/>
    </row>
    <row r="629" spans="1:105" ht="23.25" hidden="1" customHeight="1" x14ac:dyDescent="0.25">
      <c r="A629" s="630" t="s">
        <v>648</v>
      </c>
      <c r="B629" s="631"/>
      <c r="C629" s="631"/>
      <c r="D629" s="631"/>
      <c r="E629" s="631"/>
      <c r="F629" s="631"/>
      <c r="G629" s="632"/>
      <c r="H629" s="584" t="s">
        <v>816</v>
      </c>
      <c r="I629" s="585"/>
      <c r="J629" s="585"/>
      <c r="K629" s="585"/>
      <c r="L629" s="585"/>
      <c r="M629" s="585"/>
      <c r="N629" s="585"/>
      <c r="O629" s="585"/>
      <c r="P629" s="585"/>
      <c r="Q629" s="585"/>
      <c r="R629" s="585"/>
      <c r="S629" s="585"/>
      <c r="T629" s="585"/>
      <c r="U629" s="585"/>
      <c r="V629" s="585"/>
      <c r="W629" s="585"/>
      <c r="X629" s="585"/>
      <c r="Y629" s="585"/>
      <c r="Z629" s="585"/>
      <c r="AA629" s="585"/>
      <c r="AB629" s="585"/>
      <c r="AC629" s="585"/>
      <c r="AD629" s="585"/>
      <c r="AE629" s="585"/>
      <c r="AF629" s="585"/>
      <c r="AG629" s="585"/>
      <c r="AH629" s="585"/>
      <c r="AI629" s="585"/>
      <c r="AJ629" s="585"/>
      <c r="AK629" s="585"/>
      <c r="AL629" s="585"/>
      <c r="AM629" s="585"/>
      <c r="AN629" s="585"/>
      <c r="AO629" s="585"/>
      <c r="AP629" s="585"/>
      <c r="AQ629" s="585"/>
      <c r="AR629" s="585"/>
      <c r="AS629" s="585"/>
      <c r="AT629" s="585"/>
      <c r="AU629" s="585"/>
      <c r="AV629" s="585"/>
      <c r="AW629" s="585"/>
      <c r="AX629" s="585"/>
      <c r="AY629" s="585"/>
      <c r="AZ629" s="585"/>
      <c r="BA629" s="585"/>
      <c r="BB629" s="586"/>
      <c r="BC629" s="544"/>
      <c r="BD629" s="545"/>
      <c r="BE629" s="545"/>
      <c r="BF629" s="545"/>
      <c r="BG629" s="545"/>
      <c r="BH629" s="545"/>
      <c r="BI629" s="545"/>
      <c r="BJ629" s="545"/>
      <c r="BK629" s="545"/>
      <c r="BL629" s="545"/>
      <c r="BM629" s="545"/>
      <c r="BN629" s="545"/>
      <c r="BO629" s="545"/>
      <c r="BP629" s="545"/>
      <c r="BQ629" s="545"/>
      <c r="BR629" s="546"/>
      <c r="BS629" s="627"/>
      <c r="BT629" s="628"/>
      <c r="BU629" s="628"/>
      <c r="BV629" s="628"/>
      <c r="BW629" s="628"/>
      <c r="BX629" s="628"/>
      <c r="BY629" s="628"/>
      <c r="BZ629" s="628"/>
      <c r="CA629" s="628"/>
      <c r="CB629" s="628"/>
      <c r="CC629" s="628"/>
      <c r="CD629" s="628"/>
      <c r="CE629" s="628"/>
      <c r="CF629" s="628"/>
      <c r="CG629" s="628"/>
      <c r="CH629" s="629"/>
      <c r="CI629" s="627">
        <f t="shared" si="9"/>
        <v>0</v>
      </c>
      <c r="CJ629" s="628"/>
      <c r="CK629" s="628"/>
      <c r="CL629" s="628"/>
      <c r="CM629" s="628"/>
      <c r="CN629" s="628"/>
      <c r="CO629" s="628"/>
      <c r="CP629" s="628"/>
      <c r="CQ629" s="628"/>
      <c r="CR629" s="628"/>
      <c r="CS629" s="628"/>
      <c r="CT629" s="628"/>
      <c r="CU629" s="628"/>
      <c r="CV629" s="628"/>
      <c r="CW629" s="628"/>
      <c r="CX629" s="628"/>
      <c r="CY629" s="628"/>
      <c r="CZ629" s="629"/>
      <c r="DA629" s="243"/>
    </row>
    <row r="630" spans="1:105" ht="23.25" hidden="1" customHeight="1" x14ac:dyDescent="0.25">
      <c r="A630" s="630" t="s">
        <v>650</v>
      </c>
      <c r="B630" s="631"/>
      <c r="C630" s="631"/>
      <c r="D630" s="631"/>
      <c r="E630" s="631"/>
      <c r="F630" s="631"/>
      <c r="G630" s="632"/>
      <c r="H630" s="584" t="s">
        <v>817</v>
      </c>
      <c r="I630" s="585"/>
      <c r="J630" s="585"/>
      <c r="K630" s="585"/>
      <c r="L630" s="585"/>
      <c r="M630" s="585"/>
      <c r="N630" s="585"/>
      <c r="O630" s="585"/>
      <c r="P630" s="585"/>
      <c r="Q630" s="585"/>
      <c r="R630" s="585"/>
      <c r="S630" s="585"/>
      <c r="T630" s="585"/>
      <c r="U630" s="585"/>
      <c r="V630" s="585"/>
      <c r="W630" s="585"/>
      <c r="X630" s="585"/>
      <c r="Y630" s="585"/>
      <c r="Z630" s="585"/>
      <c r="AA630" s="585"/>
      <c r="AB630" s="585"/>
      <c r="AC630" s="585"/>
      <c r="AD630" s="585"/>
      <c r="AE630" s="585"/>
      <c r="AF630" s="585"/>
      <c r="AG630" s="585"/>
      <c r="AH630" s="585"/>
      <c r="AI630" s="585"/>
      <c r="AJ630" s="585"/>
      <c r="AK630" s="585"/>
      <c r="AL630" s="585"/>
      <c r="AM630" s="585"/>
      <c r="AN630" s="585"/>
      <c r="AO630" s="585"/>
      <c r="AP630" s="585"/>
      <c r="AQ630" s="585"/>
      <c r="AR630" s="585"/>
      <c r="AS630" s="585"/>
      <c r="AT630" s="585"/>
      <c r="AU630" s="585"/>
      <c r="AV630" s="585"/>
      <c r="AW630" s="585"/>
      <c r="AX630" s="585"/>
      <c r="AY630" s="585"/>
      <c r="AZ630" s="585"/>
      <c r="BA630" s="585"/>
      <c r="BB630" s="586"/>
      <c r="BC630" s="544"/>
      <c r="BD630" s="545"/>
      <c r="BE630" s="545"/>
      <c r="BF630" s="545"/>
      <c r="BG630" s="545"/>
      <c r="BH630" s="545"/>
      <c r="BI630" s="545"/>
      <c r="BJ630" s="545"/>
      <c r="BK630" s="545"/>
      <c r="BL630" s="545"/>
      <c r="BM630" s="545"/>
      <c r="BN630" s="545"/>
      <c r="BO630" s="545"/>
      <c r="BP630" s="545"/>
      <c r="BQ630" s="545"/>
      <c r="BR630" s="546"/>
      <c r="BS630" s="627"/>
      <c r="BT630" s="628"/>
      <c r="BU630" s="628"/>
      <c r="BV630" s="628"/>
      <c r="BW630" s="628"/>
      <c r="BX630" s="628"/>
      <c r="BY630" s="628"/>
      <c r="BZ630" s="628"/>
      <c r="CA630" s="628"/>
      <c r="CB630" s="628"/>
      <c r="CC630" s="628"/>
      <c r="CD630" s="628"/>
      <c r="CE630" s="628"/>
      <c r="CF630" s="628"/>
      <c r="CG630" s="628"/>
      <c r="CH630" s="629"/>
      <c r="CI630" s="627">
        <f t="shared" si="9"/>
        <v>0</v>
      </c>
      <c r="CJ630" s="628"/>
      <c r="CK630" s="628"/>
      <c r="CL630" s="628"/>
      <c r="CM630" s="628"/>
      <c r="CN630" s="628"/>
      <c r="CO630" s="628"/>
      <c r="CP630" s="628"/>
      <c r="CQ630" s="628"/>
      <c r="CR630" s="628"/>
      <c r="CS630" s="628"/>
      <c r="CT630" s="628"/>
      <c r="CU630" s="628"/>
      <c r="CV630" s="628"/>
      <c r="CW630" s="628"/>
      <c r="CX630" s="628"/>
      <c r="CY630" s="628"/>
      <c r="CZ630" s="629"/>
      <c r="DA630" s="243"/>
    </row>
    <row r="631" spans="1:105" ht="23.25" hidden="1" customHeight="1" x14ac:dyDescent="0.25">
      <c r="A631" s="630" t="s">
        <v>651</v>
      </c>
      <c r="B631" s="631"/>
      <c r="C631" s="631"/>
      <c r="D631" s="631"/>
      <c r="E631" s="631"/>
      <c r="F631" s="631"/>
      <c r="G631" s="632"/>
      <c r="H631" s="584" t="s">
        <v>881</v>
      </c>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5"/>
      <c r="AL631" s="585"/>
      <c r="AM631" s="585"/>
      <c r="AN631" s="585"/>
      <c r="AO631" s="585"/>
      <c r="AP631" s="585"/>
      <c r="AQ631" s="585"/>
      <c r="AR631" s="585"/>
      <c r="AS631" s="585"/>
      <c r="AT631" s="585"/>
      <c r="AU631" s="585"/>
      <c r="AV631" s="585"/>
      <c r="AW631" s="585"/>
      <c r="AX631" s="585"/>
      <c r="AY631" s="585"/>
      <c r="AZ631" s="585"/>
      <c r="BA631" s="585"/>
      <c r="BB631" s="586"/>
      <c r="BC631" s="544"/>
      <c r="BD631" s="545"/>
      <c r="BE631" s="545"/>
      <c r="BF631" s="545"/>
      <c r="BG631" s="545"/>
      <c r="BH631" s="545"/>
      <c r="BI631" s="545"/>
      <c r="BJ631" s="545"/>
      <c r="BK631" s="545"/>
      <c r="BL631" s="545"/>
      <c r="BM631" s="545"/>
      <c r="BN631" s="545"/>
      <c r="BO631" s="545"/>
      <c r="BP631" s="545"/>
      <c r="BQ631" s="545"/>
      <c r="BR631" s="546"/>
      <c r="BS631" s="627"/>
      <c r="BT631" s="628"/>
      <c r="BU631" s="628"/>
      <c r="BV631" s="628"/>
      <c r="BW631" s="628"/>
      <c r="BX631" s="628"/>
      <c r="BY631" s="628"/>
      <c r="BZ631" s="628"/>
      <c r="CA631" s="628"/>
      <c r="CB631" s="628"/>
      <c r="CC631" s="628"/>
      <c r="CD631" s="628"/>
      <c r="CE631" s="628"/>
      <c r="CF631" s="628"/>
      <c r="CG631" s="628"/>
      <c r="CH631" s="629"/>
      <c r="CI631" s="627">
        <f t="shared" si="9"/>
        <v>0</v>
      </c>
      <c r="CJ631" s="628"/>
      <c r="CK631" s="628"/>
      <c r="CL631" s="628"/>
      <c r="CM631" s="628"/>
      <c r="CN631" s="628"/>
      <c r="CO631" s="628"/>
      <c r="CP631" s="628"/>
      <c r="CQ631" s="628"/>
      <c r="CR631" s="628"/>
      <c r="CS631" s="628"/>
      <c r="CT631" s="628"/>
      <c r="CU631" s="628"/>
      <c r="CV631" s="628"/>
      <c r="CW631" s="628"/>
      <c r="CX631" s="628"/>
      <c r="CY631" s="628"/>
      <c r="CZ631" s="629"/>
      <c r="DA631" s="243"/>
    </row>
    <row r="632" spans="1:105" ht="23.25" hidden="1" customHeight="1" x14ac:dyDescent="0.25">
      <c r="A632" s="630" t="s">
        <v>653</v>
      </c>
      <c r="B632" s="631"/>
      <c r="C632" s="631"/>
      <c r="D632" s="631"/>
      <c r="E632" s="631"/>
      <c r="F632" s="631"/>
      <c r="G632" s="632"/>
      <c r="H632" s="584" t="s">
        <v>882</v>
      </c>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5"/>
      <c r="AL632" s="585"/>
      <c r="AM632" s="585"/>
      <c r="AN632" s="585"/>
      <c r="AO632" s="585"/>
      <c r="AP632" s="585"/>
      <c r="AQ632" s="585"/>
      <c r="AR632" s="585"/>
      <c r="AS632" s="585"/>
      <c r="AT632" s="585"/>
      <c r="AU632" s="585"/>
      <c r="AV632" s="585"/>
      <c r="AW632" s="585"/>
      <c r="AX632" s="585"/>
      <c r="AY632" s="585"/>
      <c r="AZ632" s="585"/>
      <c r="BA632" s="585"/>
      <c r="BB632" s="586"/>
      <c r="BC632" s="544"/>
      <c r="BD632" s="545"/>
      <c r="BE632" s="545"/>
      <c r="BF632" s="545"/>
      <c r="BG632" s="545"/>
      <c r="BH632" s="545"/>
      <c r="BI632" s="545"/>
      <c r="BJ632" s="545"/>
      <c r="BK632" s="545"/>
      <c r="BL632" s="545"/>
      <c r="BM632" s="545"/>
      <c r="BN632" s="545"/>
      <c r="BO632" s="545"/>
      <c r="BP632" s="545"/>
      <c r="BQ632" s="545"/>
      <c r="BR632" s="546"/>
      <c r="BS632" s="627"/>
      <c r="BT632" s="628"/>
      <c r="BU632" s="628"/>
      <c r="BV632" s="628"/>
      <c r="BW632" s="628"/>
      <c r="BX632" s="628"/>
      <c r="BY632" s="628"/>
      <c r="BZ632" s="628"/>
      <c r="CA632" s="628"/>
      <c r="CB632" s="628"/>
      <c r="CC632" s="628"/>
      <c r="CD632" s="628"/>
      <c r="CE632" s="628"/>
      <c r="CF632" s="628"/>
      <c r="CG632" s="628"/>
      <c r="CH632" s="629"/>
      <c r="CI632" s="627">
        <f t="shared" si="9"/>
        <v>0</v>
      </c>
      <c r="CJ632" s="628"/>
      <c r="CK632" s="628"/>
      <c r="CL632" s="628"/>
      <c r="CM632" s="628"/>
      <c r="CN632" s="628"/>
      <c r="CO632" s="628"/>
      <c r="CP632" s="628"/>
      <c r="CQ632" s="628"/>
      <c r="CR632" s="628"/>
      <c r="CS632" s="628"/>
      <c r="CT632" s="628"/>
      <c r="CU632" s="628"/>
      <c r="CV632" s="628"/>
      <c r="CW632" s="628"/>
      <c r="CX632" s="628"/>
      <c r="CY632" s="628"/>
      <c r="CZ632" s="629"/>
      <c r="DA632" s="243"/>
    </row>
    <row r="633" spans="1:105" ht="23.25" hidden="1" customHeight="1" x14ac:dyDescent="0.25">
      <c r="A633" s="630" t="s">
        <v>654</v>
      </c>
      <c r="B633" s="631"/>
      <c r="C633" s="631"/>
      <c r="D633" s="631"/>
      <c r="E633" s="631"/>
      <c r="F633" s="631"/>
      <c r="G633" s="632"/>
      <c r="H633" s="584" t="s">
        <v>883</v>
      </c>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5"/>
      <c r="AL633" s="585"/>
      <c r="AM633" s="585"/>
      <c r="AN633" s="585"/>
      <c r="AO633" s="585"/>
      <c r="AP633" s="585"/>
      <c r="AQ633" s="585"/>
      <c r="AR633" s="585"/>
      <c r="AS633" s="585"/>
      <c r="AT633" s="585"/>
      <c r="AU633" s="585"/>
      <c r="AV633" s="585"/>
      <c r="AW633" s="585"/>
      <c r="AX633" s="585"/>
      <c r="AY633" s="585"/>
      <c r="AZ633" s="585"/>
      <c r="BA633" s="585"/>
      <c r="BB633" s="586"/>
      <c r="BC633" s="544"/>
      <c r="BD633" s="545"/>
      <c r="BE633" s="545"/>
      <c r="BF633" s="545"/>
      <c r="BG633" s="545"/>
      <c r="BH633" s="545"/>
      <c r="BI633" s="545"/>
      <c r="BJ633" s="545"/>
      <c r="BK633" s="545"/>
      <c r="BL633" s="545"/>
      <c r="BM633" s="545"/>
      <c r="BN633" s="545"/>
      <c r="BO633" s="545"/>
      <c r="BP633" s="545"/>
      <c r="BQ633" s="545"/>
      <c r="BR633" s="546"/>
      <c r="BS633" s="627"/>
      <c r="BT633" s="628"/>
      <c r="BU633" s="628"/>
      <c r="BV633" s="628"/>
      <c r="BW633" s="628"/>
      <c r="BX633" s="628"/>
      <c r="BY633" s="628"/>
      <c r="BZ633" s="628"/>
      <c r="CA633" s="628"/>
      <c r="CB633" s="628"/>
      <c r="CC633" s="628"/>
      <c r="CD633" s="628"/>
      <c r="CE633" s="628"/>
      <c r="CF633" s="628"/>
      <c r="CG633" s="628"/>
      <c r="CH633" s="629"/>
      <c r="CI633" s="627">
        <f t="shared" si="9"/>
        <v>0</v>
      </c>
      <c r="CJ633" s="628"/>
      <c r="CK633" s="628"/>
      <c r="CL633" s="628"/>
      <c r="CM633" s="628"/>
      <c r="CN633" s="628"/>
      <c r="CO633" s="628"/>
      <c r="CP633" s="628"/>
      <c r="CQ633" s="628"/>
      <c r="CR633" s="628"/>
      <c r="CS633" s="628"/>
      <c r="CT633" s="628"/>
      <c r="CU633" s="628"/>
      <c r="CV633" s="628"/>
      <c r="CW633" s="628"/>
      <c r="CX633" s="628"/>
      <c r="CY633" s="628"/>
      <c r="CZ633" s="629"/>
      <c r="DA633" s="243"/>
    </row>
    <row r="634" spans="1:105" ht="23.25" hidden="1" customHeight="1" x14ac:dyDescent="0.25">
      <c r="A634" s="630" t="s">
        <v>655</v>
      </c>
      <c r="B634" s="631"/>
      <c r="C634" s="631"/>
      <c r="D634" s="631"/>
      <c r="E634" s="631"/>
      <c r="F634" s="631"/>
      <c r="G634" s="632"/>
      <c r="H634" s="584" t="s">
        <v>884</v>
      </c>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5"/>
      <c r="AL634" s="585"/>
      <c r="AM634" s="585"/>
      <c r="AN634" s="585"/>
      <c r="AO634" s="585"/>
      <c r="AP634" s="585"/>
      <c r="AQ634" s="585"/>
      <c r="AR634" s="585"/>
      <c r="AS634" s="585"/>
      <c r="AT634" s="585"/>
      <c r="AU634" s="585"/>
      <c r="AV634" s="585"/>
      <c r="AW634" s="585"/>
      <c r="AX634" s="585"/>
      <c r="AY634" s="585"/>
      <c r="AZ634" s="585"/>
      <c r="BA634" s="585"/>
      <c r="BB634" s="586"/>
      <c r="BC634" s="544"/>
      <c r="BD634" s="545"/>
      <c r="BE634" s="545"/>
      <c r="BF634" s="545"/>
      <c r="BG634" s="545"/>
      <c r="BH634" s="545"/>
      <c r="BI634" s="545"/>
      <c r="BJ634" s="545"/>
      <c r="BK634" s="545"/>
      <c r="BL634" s="545"/>
      <c r="BM634" s="545"/>
      <c r="BN634" s="545"/>
      <c r="BO634" s="545"/>
      <c r="BP634" s="545"/>
      <c r="BQ634" s="545"/>
      <c r="BR634" s="546"/>
      <c r="BS634" s="627"/>
      <c r="BT634" s="628"/>
      <c r="BU634" s="628"/>
      <c r="BV634" s="628"/>
      <c r="BW634" s="628"/>
      <c r="BX634" s="628"/>
      <c r="BY634" s="628"/>
      <c r="BZ634" s="628"/>
      <c r="CA634" s="628"/>
      <c r="CB634" s="628"/>
      <c r="CC634" s="628"/>
      <c r="CD634" s="628"/>
      <c r="CE634" s="628"/>
      <c r="CF634" s="628"/>
      <c r="CG634" s="628"/>
      <c r="CH634" s="629"/>
      <c r="CI634" s="627">
        <f t="shared" si="9"/>
        <v>0</v>
      </c>
      <c r="CJ634" s="628"/>
      <c r="CK634" s="628"/>
      <c r="CL634" s="628"/>
      <c r="CM634" s="628"/>
      <c r="CN634" s="628"/>
      <c r="CO634" s="628"/>
      <c r="CP634" s="628"/>
      <c r="CQ634" s="628"/>
      <c r="CR634" s="628"/>
      <c r="CS634" s="628"/>
      <c r="CT634" s="628"/>
      <c r="CU634" s="628"/>
      <c r="CV634" s="628"/>
      <c r="CW634" s="628"/>
      <c r="CX634" s="628"/>
      <c r="CY634" s="628"/>
      <c r="CZ634" s="629"/>
      <c r="DA634" s="243"/>
    </row>
    <row r="635" spans="1:105" ht="23.25" hidden="1" customHeight="1" x14ac:dyDescent="0.25">
      <c r="A635" s="630" t="s">
        <v>656</v>
      </c>
      <c r="B635" s="631"/>
      <c r="C635" s="631"/>
      <c r="D635" s="631"/>
      <c r="E635" s="631"/>
      <c r="F635" s="631"/>
      <c r="G635" s="632"/>
      <c r="H635" s="584" t="s">
        <v>818</v>
      </c>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5"/>
      <c r="AL635" s="585"/>
      <c r="AM635" s="585"/>
      <c r="AN635" s="585"/>
      <c r="AO635" s="585"/>
      <c r="AP635" s="585"/>
      <c r="AQ635" s="585"/>
      <c r="AR635" s="585"/>
      <c r="AS635" s="585"/>
      <c r="AT635" s="585"/>
      <c r="AU635" s="585"/>
      <c r="AV635" s="585"/>
      <c r="AW635" s="585"/>
      <c r="AX635" s="585"/>
      <c r="AY635" s="585"/>
      <c r="AZ635" s="585"/>
      <c r="BA635" s="585"/>
      <c r="BB635" s="586"/>
      <c r="BC635" s="544"/>
      <c r="BD635" s="545"/>
      <c r="BE635" s="545"/>
      <c r="BF635" s="545"/>
      <c r="BG635" s="545"/>
      <c r="BH635" s="545"/>
      <c r="BI635" s="545"/>
      <c r="BJ635" s="545"/>
      <c r="BK635" s="545"/>
      <c r="BL635" s="545"/>
      <c r="BM635" s="545"/>
      <c r="BN635" s="545"/>
      <c r="BO635" s="545"/>
      <c r="BP635" s="545"/>
      <c r="BQ635" s="545"/>
      <c r="BR635" s="546"/>
      <c r="BS635" s="627"/>
      <c r="BT635" s="628"/>
      <c r="BU635" s="628"/>
      <c r="BV635" s="628"/>
      <c r="BW635" s="628"/>
      <c r="BX635" s="628"/>
      <c r="BY635" s="628"/>
      <c r="BZ635" s="628"/>
      <c r="CA635" s="628"/>
      <c r="CB635" s="628"/>
      <c r="CC635" s="628"/>
      <c r="CD635" s="628"/>
      <c r="CE635" s="628"/>
      <c r="CF635" s="628"/>
      <c r="CG635" s="628"/>
      <c r="CH635" s="629"/>
      <c r="CI635" s="627">
        <f t="shared" si="9"/>
        <v>0</v>
      </c>
      <c r="CJ635" s="628"/>
      <c r="CK635" s="628"/>
      <c r="CL635" s="628"/>
      <c r="CM635" s="628"/>
      <c r="CN635" s="628"/>
      <c r="CO635" s="628"/>
      <c r="CP635" s="628"/>
      <c r="CQ635" s="628"/>
      <c r="CR635" s="628"/>
      <c r="CS635" s="628"/>
      <c r="CT635" s="628"/>
      <c r="CU635" s="628"/>
      <c r="CV635" s="628"/>
      <c r="CW635" s="628"/>
      <c r="CX635" s="628"/>
      <c r="CY635" s="628"/>
      <c r="CZ635" s="629"/>
      <c r="DA635" s="243"/>
    </row>
    <row r="636" spans="1:105" ht="23.25" hidden="1" customHeight="1" x14ac:dyDescent="0.25">
      <c r="A636" s="630" t="s">
        <v>657</v>
      </c>
      <c r="B636" s="631"/>
      <c r="C636" s="631"/>
      <c r="D636" s="631"/>
      <c r="E636" s="631"/>
      <c r="F636" s="631"/>
      <c r="G636" s="632"/>
      <c r="H636" s="584" t="s">
        <v>819</v>
      </c>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5"/>
      <c r="AL636" s="585"/>
      <c r="AM636" s="585"/>
      <c r="AN636" s="585"/>
      <c r="AO636" s="585"/>
      <c r="AP636" s="585"/>
      <c r="AQ636" s="585"/>
      <c r="AR636" s="585"/>
      <c r="AS636" s="585"/>
      <c r="AT636" s="585"/>
      <c r="AU636" s="585"/>
      <c r="AV636" s="585"/>
      <c r="AW636" s="585"/>
      <c r="AX636" s="585"/>
      <c r="AY636" s="585"/>
      <c r="AZ636" s="585"/>
      <c r="BA636" s="585"/>
      <c r="BB636" s="586"/>
      <c r="BC636" s="544"/>
      <c r="BD636" s="545"/>
      <c r="BE636" s="545"/>
      <c r="BF636" s="545"/>
      <c r="BG636" s="545"/>
      <c r="BH636" s="545"/>
      <c r="BI636" s="545"/>
      <c r="BJ636" s="545"/>
      <c r="BK636" s="545"/>
      <c r="BL636" s="545"/>
      <c r="BM636" s="545"/>
      <c r="BN636" s="545"/>
      <c r="BO636" s="545"/>
      <c r="BP636" s="545"/>
      <c r="BQ636" s="545"/>
      <c r="BR636" s="546"/>
      <c r="BS636" s="627"/>
      <c r="BT636" s="628"/>
      <c r="BU636" s="628"/>
      <c r="BV636" s="628"/>
      <c r="BW636" s="628"/>
      <c r="BX636" s="628"/>
      <c r="BY636" s="628"/>
      <c r="BZ636" s="628"/>
      <c r="CA636" s="628"/>
      <c r="CB636" s="628"/>
      <c r="CC636" s="628"/>
      <c r="CD636" s="628"/>
      <c r="CE636" s="628"/>
      <c r="CF636" s="628"/>
      <c r="CG636" s="628"/>
      <c r="CH636" s="629"/>
      <c r="CI636" s="627">
        <f t="shared" si="9"/>
        <v>0</v>
      </c>
      <c r="CJ636" s="628"/>
      <c r="CK636" s="628"/>
      <c r="CL636" s="628"/>
      <c r="CM636" s="628"/>
      <c r="CN636" s="628"/>
      <c r="CO636" s="628"/>
      <c r="CP636" s="628"/>
      <c r="CQ636" s="628"/>
      <c r="CR636" s="628"/>
      <c r="CS636" s="628"/>
      <c r="CT636" s="628"/>
      <c r="CU636" s="628"/>
      <c r="CV636" s="628"/>
      <c r="CW636" s="628"/>
      <c r="CX636" s="628"/>
      <c r="CY636" s="628"/>
      <c r="CZ636" s="629"/>
      <c r="DA636" s="243"/>
    </row>
    <row r="637" spans="1:105" ht="23.25" hidden="1" customHeight="1" x14ac:dyDescent="0.25">
      <c r="A637" s="630" t="s">
        <v>659</v>
      </c>
      <c r="B637" s="631"/>
      <c r="C637" s="631"/>
      <c r="D637" s="631"/>
      <c r="E637" s="631"/>
      <c r="F637" s="631"/>
      <c r="G637" s="632"/>
      <c r="H637" s="584" t="s">
        <v>806</v>
      </c>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6"/>
      <c r="BC637" s="544"/>
      <c r="BD637" s="545"/>
      <c r="BE637" s="545"/>
      <c r="BF637" s="545"/>
      <c r="BG637" s="545"/>
      <c r="BH637" s="545"/>
      <c r="BI637" s="545"/>
      <c r="BJ637" s="545"/>
      <c r="BK637" s="545"/>
      <c r="BL637" s="545"/>
      <c r="BM637" s="545"/>
      <c r="BN637" s="545"/>
      <c r="BO637" s="545"/>
      <c r="BP637" s="545"/>
      <c r="BQ637" s="545"/>
      <c r="BR637" s="546"/>
      <c r="BS637" s="627"/>
      <c r="BT637" s="628"/>
      <c r="BU637" s="628"/>
      <c r="BV637" s="628"/>
      <c r="BW637" s="628"/>
      <c r="BX637" s="628"/>
      <c r="BY637" s="628"/>
      <c r="BZ637" s="628"/>
      <c r="CA637" s="628"/>
      <c r="CB637" s="628"/>
      <c r="CC637" s="628"/>
      <c r="CD637" s="628"/>
      <c r="CE637" s="628"/>
      <c r="CF637" s="628"/>
      <c r="CG637" s="628"/>
      <c r="CH637" s="629"/>
      <c r="CI637" s="627">
        <f t="shared" si="9"/>
        <v>0</v>
      </c>
      <c r="CJ637" s="628"/>
      <c r="CK637" s="628"/>
      <c r="CL637" s="628"/>
      <c r="CM637" s="628"/>
      <c r="CN637" s="628"/>
      <c r="CO637" s="628"/>
      <c r="CP637" s="628"/>
      <c r="CQ637" s="628"/>
      <c r="CR637" s="628"/>
      <c r="CS637" s="628"/>
      <c r="CT637" s="628"/>
      <c r="CU637" s="628"/>
      <c r="CV637" s="628"/>
      <c r="CW637" s="628"/>
      <c r="CX637" s="628"/>
      <c r="CY637" s="628"/>
      <c r="CZ637" s="629"/>
      <c r="DA637" s="243"/>
    </row>
    <row r="638" spans="1:105" ht="23.25" hidden="1" customHeight="1" x14ac:dyDescent="0.25">
      <c r="A638" s="630" t="s">
        <v>664</v>
      </c>
      <c r="B638" s="631"/>
      <c r="C638" s="631"/>
      <c r="D638" s="631"/>
      <c r="E638" s="631"/>
      <c r="F638" s="631"/>
      <c r="G638" s="632"/>
      <c r="H638" s="584" t="s">
        <v>899</v>
      </c>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5"/>
      <c r="AL638" s="585"/>
      <c r="AM638" s="585"/>
      <c r="AN638" s="585"/>
      <c r="AO638" s="585"/>
      <c r="AP638" s="585"/>
      <c r="AQ638" s="585"/>
      <c r="AR638" s="585"/>
      <c r="AS638" s="585"/>
      <c r="AT638" s="585"/>
      <c r="AU638" s="585"/>
      <c r="AV638" s="585"/>
      <c r="AW638" s="585"/>
      <c r="AX638" s="585"/>
      <c r="AY638" s="585"/>
      <c r="AZ638" s="585"/>
      <c r="BA638" s="585"/>
      <c r="BB638" s="586"/>
      <c r="BC638" s="544"/>
      <c r="BD638" s="545"/>
      <c r="BE638" s="545"/>
      <c r="BF638" s="545"/>
      <c r="BG638" s="545"/>
      <c r="BH638" s="545"/>
      <c r="BI638" s="545"/>
      <c r="BJ638" s="545"/>
      <c r="BK638" s="545"/>
      <c r="BL638" s="545"/>
      <c r="BM638" s="545"/>
      <c r="BN638" s="545"/>
      <c r="BO638" s="545"/>
      <c r="BP638" s="545"/>
      <c r="BQ638" s="545"/>
      <c r="BR638" s="546"/>
      <c r="BS638" s="627"/>
      <c r="BT638" s="628"/>
      <c r="BU638" s="628"/>
      <c r="BV638" s="628"/>
      <c r="BW638" s="628"/>
      <c r="BX638" s="628"/>
      <c r="BY638" s="628"/>
      <c r="BZ638" s="628"/>
      <c r="CA638" s="628"/>
      <c r="CB638" s="628"/>
      <c r="CC638" s="628"/>
      <c r="CD638" s="628"/>
      <c r="CE638" s="628"/>
      <c r="CF638" s="628"/>
      <c r="CG638" s="628"/>
      <c r="CH638" s="629"/>
      <c r="CI638" s="627">
        <f t="shared" si="9"/>
        <v>0</v>
      </c>
      <c r="CJ638" s="628"/>
      <c r="CK638" s="628"/>
      <c r="CL638" s="628"/>
      <c r="CM638" s="628"/>
      <c r="CN638" s="628"/>
      <c r="CO638" s="628"/>
      <c r="CP638" s="628"/>
      <c r="CQ638" s="628"/>
      <c r="CR638" s="628"/>
      <c r="CS638" s="628"/>
      <c r="CT638" s="628"/>
      <c r="CU638" s="628"/>
      <c r="CV638" s="628"/>
      <c r="CW638" s="628"/>
      <c r="CX638" s="628"/>
      <c r="CY638" s="628"/>
      <c r="CZ638" s="629"/>
      <c r="DA638" s="243"/>
    </row>
    <row r="639" spans="1:105" ht="23.25" hidden="1" customHeight="1" x14ac:dyDescent="0.25">
      <c r="A639" s="630" t="s">
        <v>662</v>
      </c>
      <c r="B639" s="631"/>
      <c r="C639" s="631"/>
      <c r="D639" s="631"/>
      <c r="E639" s="631"/>
      <c r="F639" s="631"/>
      <c r="G639" s="632"/>
      <c r="H639" s="584" t="s">
        <v>900</v>
      </c>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5"/>
      <c r="AL639" s="585"/>
      <c r="AM639" s="585"/>
      <c r="AN639" s="585"/>
      <c r="AO639" s="585"/>
      <c r="AP639" s="585"/>
      <c r="AQ639" s="585"/>
      <c r="AR639" s="585"/>
      <c r="AS639" s="585"/>
      <c r="AT639" s="585"/>
      <c r="AU639" s="585"/>
      <c r="AV639" s="585"/>
      <c r="AW639" s="585"/>
      <c r="AX639" s="585"/>
      <c r="AY639" s="585"/>
      <c r="AZ639" s="585"/>
      <c r="BA639" s="585"/>
      <c r="BB639" s="586"/>
      <c r="BC639" s="544"/>
      <c r="BD639" s="545"/>
      <c r="BE639" s="545"/>
      <c r="BF639" s="545"/>
      <c r="BG639" s="545"/>
      <c r="BH639" s="545"/>
      <c r="BI639" s="545"/>
      <c r="BJ639" s="545"/>
      <c r="BK639" s="545"/>
      <c r="BL639" s="545"/>
      <c r="BM639" s="545"/>
      <c r="BN639" s="545"/>
      <c r="BO639" s="545"/>
      <c r="BP639" s="545"/>
      <c r="BQ639" s="545"/>
      <c r="BR639" s="546"/>
      <c r="BS639" s="627"/>
      <c r="BT639" s="628"/>
      <c r="BU639" s="628"/>
      <c r="BV639" s="628"/>
      <c r="BW639" s="628"/>
      <c r="BX639" s="628"/>
      <c r="BY639" s="628"/>
      <c r="BZ639" s="628"/>
      <c r="CA639" s="628"/>
      <c r="CB639" s="628"/>
      <c r="CC639" s="628"/>
      <c r="CD639" s="628"/>
      <c r="CE639" s="628"/>
      <c r="CF639" s="628"/>
      <c r="CG639" s="628"/>
      <c r="CH639" s="629"/>
      <c r="CI639" s="627">
        <f t="shared" si="9"/>
        <v>0</v>
      </c>
      <c r="CJ639" s="628"/>
      <c r="CK639" s="628"/>
      <c r="CL639" s="628"/>
      <c r="CM639" s="628"/>
      <c r="CN639" s="628"/>
      <c r="CO639" s="628"/>
      <c r="CP639" s="628"/>
      <c r="CQ639" s="628"/>
      <c r="CR639" s="628"/>
      <c r="CS639" s="628"/>
      <c r="CT639" s="628"/>
      <c r="CU639" s="628"/>
      <c r="CV639" s="628"/>
      <c r="CW639" s="628"/>
      <c r="CX639" s="628"/>
      <c r="CY639" s="628"/>
      <c r="CZ639" s="629"/>
      <c r="DA639" s="243"/>
    </row>
    <row r="640" spans="1:105" ht="23.25" hidden="1" customHeight="1" x14ac:dyDescent="0.25">
      <c r="A640" s="630" t="s">
        <v>666</v>
      </c>
      <c r="B640" s="631"/>
      <c r="C640" s="631"/>
      <c r="D640" s="631"/>
      <c r="E640" s="631"/>
      <c r="F640" s="631"/>
      <c r="G640" s="632"/>
      <c r="H640" s="584" t="s">
        <v>901</v>
      </c>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5"/>
      <c r="AL640" s="585"/>
      <c r="AM640" s="585"/>
      <c r="AN640" s="585"/>
      <c r="AO640" s="585"/>
      <c r="AP640" s="585"/>
      <c r="AQ640" s="585"/>
      <c r="AR640" s="585"/>
      <c r="AS640" s="585"/>
      <c r="AT640" s="585"/>
      <c r="AU640" s="585"/>
      <c r="AV640" s="585"/>
      <c r="AW640" s="585"/>
      <c r="AX640" s="585"/>
      <c r="AY640" s="585"/>
      <c r="AZ640" s="585"/>
      <c r="BA640" s="585"/>
      <c r="BB640" s="586"/>
      <c r="BC640" s="544"/>
      <c r="BD640" s="545"/>
      <c r="BE640" s="545"/>
      <c r="BF640" s="545"/>
      <c r="BG640" s="545"/>
      <c r="BH640" s="545"/>
      <c r="BI640" s="545"/>
      <c r="BJ640" s="545"/>
      <c r="BK640" s="545"/>
      <c r="BL640" s="545"/>
      <c r="BM640" s="545"/>
      <c r="BN640" s="545"/>
      <c r="BO640" s="545"/>
      <c r="BP640" s="545"/>
      <c r="BQ640" s="545"/>
      <c r="BR640" s="546"/>
      <c r="BS640" s="627"/>
      <c r="BT640" s="628"/>
      <c r="BU640" s="628"/>
      <c r="BV640" s="628"/>
      <c r="BW640" s="628"/>
      <c r="BX640" s="628"/>
      <c r="BY640" s="628"/>
      <c r="BZ640" s="628"/>
      <c r="CA640" s="628"/>
      <c r="CB640" s="628"/>
      <c r="CC640" s="628"/>
      <c r="CD640" s="628"/>
      <c r="CE640" s="628"/>
      <c r="CF640" s="628"/>
      <c r="CG640" s="628"/>
      <c r="CH640" s="629"/>
      <c r="CI640" s="627">
        <f t="shared" si="9"/>
        <v>0</v>
      </c>
      <c r="CJ640" s="628"/>
      <c r="CK640" s="628"/>
      <c r="CL640" s="628"/>
      <c r="CM640" s="628"/>
      <c r="CN640" s="628"/>
      <c r="CO640" s="628"/>
      <c r="CP640" s="628"/>
      <c r="CQ640" s="628"/>
      <c r="CR640" s="628"/>
      <c r="CS640" s="628"/>
      <c r="CT640" s="628"/>
      <c r="CU640" s="628"/>
      <c r="CV640" s="628"/>
      <c r="CW640" s="628"/>
      <c r="CX640" s="628"/>
      <c r="CY640" s="628"/>
      <c r="CZ640" s="629"/>
      <c r="DA640" s="243"/>
    </row>
    <row r="641" spans="1:105" ht="23.25" hidden="1" customHeight="1" x14ac:dyDescent="0.25">
      <c r="A641" s="630" t="s">
        <v>667</v>
      </c>
      <c r="B641" s="631"/>
      <c r="C641" s="631"/>
      <c r="D641" s="631"/>
      <c r="E641" s="631"/>
      <c r="F641" s="631"/>
      <c r="G641" s="632"/>
      <c r="H641" s="584" t="s">
        <v>902</v>
      </c>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5"/>
      <c r="AL641" s="585"/>
      <c r="AM641" s="585"/>
      <c r="AN641" s="585"/>
      <c r="AO641" s="585"/>
      <c r="AP641" s="585"/>
      <c r="AQ641" s="585"/>
      <c r="AR641" s="585"/>
      <c r="AS641" s="585"/>
      <c r="AT641" s="585"/>
      <c r="AU641" s="585"/>
      <c r="AV641" s="585"/>
      <c r="AW641" s="585"/>
      <c r="AX641" s="585"/>
      <c r="AY641" s="585"/>
      <c r="AZ641" s="585"/>
      <c r="BA641" s="585"/>
      <c r="BB641" s="586"/>
      <c r="BC641" s="544"/>
      <c r="BD641" s="545"/>
      <c r="BE641" s="545"/>
      <c r="BF641" s="545"/>
      <c r="BG641" s="545"/>
      <c r="BH641" s="545"/>
      <c r="BI641" s="545"/>
      <c r="BJ641" s="545"/>
      <c r="BK641" s="545"/>
      <c r="BL641" s="545"/>
      <c r="BM641" s="545"/>
      <c r="BN641" s="545"/>
      <c r="BO641" s="545"/>
      <c r="BP641" s="545"/>
      <c r="BQ641" s="545"/>
      <c r="BR641" s="546"/>
      <c r="BS641" s="627"/>
      <c r="BT641" s="628"/>
      <c r="BU641" s="628"/>
      <c r="BV641" s="628"/>
      <c r="BW641" s="628"/>
      <c r="BX641" s="628"/>
      <c r="BY641" s="628"/>
      <c r="BZ641" s="628"/>
      <c r="CA641" s="628"/>
      <c r="CB641" s="628"/>
      <c r="CC641" s="628"/>
      <c r="CD641" s="628"/>
      <c r="CE641" s="628"/>
      <c r="CF641" s="628"/>
      <c r="CG641" s="628"/>
      <c r="CH641" s="629"/>
      <c r="CI641" s="627">
        <f t="shared" si="9"/>
        <v>0</v>
      </c>
      <c r="CJ641" s="628"/>
      <c r="CK641" s="628"/>
      <c r="CL641" s="628"/>
      <c r="CM641" s="628"/>
      <c r="CN641" s="628"/>
      <c r="CO641" s="628"/>
      <c r="CP641" s="628"/>
      <c r="CQ641" s="628"/>
      <c r="CR641" s="628"/>
      <c r="CS641" s="628"/>
      <c r="CT641" s="628"/>
      <c r="CU641" s="628"/>
      <c r="CV641" s="628"/>
      <c r="CW641" s="628"/>
      <c r="CX641" s="628"/>
      <c r="CY641" s="628"/>
      <c r="CZ641" s="629"/>
      <c r="DA641" s="243"/>
    </row>
    <row r="642" spans="1:105" ht="23.25" hidden="1" customHeight="1" x14ac:dyDescent="0.25">
      <c r="A642" s="633" t="s">
        <v>292</v>
      </c>
      <c r="B642" s="634"/>
      <c r="C642" s="634"/>
      <c r="D642" s="63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c r="AA642" s="634"/>
      <c r="AB642" s="634"/>
      <c r="AC642" s="634"/>
      <c r="AD642" s="634"/>
      <c r="AE642" s="634"/>
      <c r="AF642" s="634"/>
      <c r="AG642" s="634"/>
      <c r="AH642" s="634"/>
      <c r="AI642" s="634"/>
      <c r="AJ642" s="634"/>
      <c r="AK642" s="634"/>
      <c r="AL642" s="634"/>
      <c r="AM642" s="634"/>
      <c r="AN642" s="634"/>
      <c r="AO642" s="634"/>
      <c r="AP642" s="634"/>
      <c r="AQ642" s="634"/>
      <c r="AR642" s="634"/>
      <c r="AS642" s="634"/>
      <c r="AT642" s="634"/>
      <c r="AU642" s="634"/>
      <c r="AV642" s="634"/>
      <c r="AW642" s="634"/>
      <c r="AX642" s="634"/>
      <c r="AY642" s="634"/>
      <c r="AZ642" s="634"/>
      <c r="BA642" s="634"/>
      <c r="BB642" s="635"/>
      <c r="BC642" s="582" t="s">
        <v>4</v>
      </c>
      <c r="BD642" s="582"/>
      <c r="BE642" s="582"/>
      <c r="BF642" s="582"/>
      <c r="BG642" s="582"/>
      <c r="BH642" s="582"/>
      <c r="BI642" s="582"/>
      <c r="BJ642" s="582"/>
      <c r="BK642" s="582"/>
      <c r="BL642" s="582"/>
      <c r="BM642" s="582"/>
      <c r="BN642" s="582"/>
      <c r="BO642" s="582"/>
      <c r="BP642" s="582"/>
      <c r="BQ642" s="582"/>
      <c r="BR642" s="582"/>
      <c r="BS642" s="582" t="s">
        <v>4</v>
      </c>
      <c r="BT642" s="582"/>
      <c r="BU642" s="582"/>
      <c r="BV642" s="582"/>
      <c r="BW642" s="582"/>
      <c r="BX642" s="582"/>
      <c r="BY642" s="582"/>
      <c r="BZ642" s="582"/>
      <c r="CA642" s="582"/>
      <c r="CB642" s="582"/>
      <c r="CC642" s="582"/>
      <c r="CD642" s="582"/>
      <c r="CE642" s="582"/>
      <c r="CF642" s="582"/>
      <c r="CG642" s="582"/>
      <c r="CH642" s="582"/>
      <c r="CI642" s="636">
        <f>CI619+CI620+CI621+CI623+CI624+CI625+CI626+CI627+CI628+CI629+CI630+CI622+CI635+CI636+CI637+CI631+CI632+CI633+CI634+CI638+CI639+CI640+CI641</f>
        <v>0</v>
      </c>
      <c r="CJ642" s="637"/>
      <c r="CK642" s="637"/>
      <c r="CL642" s="637"/>
      <c r="CM642" s="637"/>
      <c r="CN642" s="637"/>
      <c r="CO642" s="637"/>
      <c r="CP642" s="637"/>
      <c r="CQ642" s="637"/>
      <c r="CR642" s="637"/>
      <c r="CS642" s="637"/>
      <c r="CT642" s="637"/>
      <c r="CU642" s="637"/>
      <c r="CV642" s="637"/>
      <c r="CW642" s="637"/>
      <c r="CX642" s="637"/>
      <c r="CY642" s="637"/>
      <c r="CZ642" s="638"/>
      <c r="DA642" s="243">
        <v>3907008</v>
      </c>
    </row>
    <row r="643" spans="1:105" s="16" customFormat="1" ht="15" hidden="1" customHeight="1" x14ac:dyDescent="0.3">
      <c r="A643" s="630"/>
      <c r="B643" s="631"/>
      <c r="C643" s="631"/>
      <c r="D643" s="631"/>
      <c r="E643" s="631"/>
      <c r="F643" s="631"/>
      <c r="G643" s="632"/>
      <c r="H643" s="584"/>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5"/>
      <c r="AL643" s="585"/>
      <c r="AM643" s="585"/>
      <c r="AN643" s="585"/>
      <c r="AO643" s="585"/>
      <c r="AP643" s="585"/>
      <c r="AQ643" s="585"/>
      <c r="AR643" s="585"/>
      <c r="AS643" s="585"/>
      <c r="AT643" s="585"/>
      <c r="AU643" s="585"/>
      <c r="AV643" s="585"/>
      <c r="AW643" s="585"/>
      <c r="AX643" s="585"/>
      <c r="AY643" s="585"/>
      <c r="AZ643" s="585"/>
      <c r="BA643" s="585"/>
      <c r="BB643" s="586"/>
      <c r="BC643" s="544"/>
      <c r="BD643" s="545"/>
      <c r="BE643" s="545"/>
      <c r="BF643" s="545"/>
      <c r="BG643" s="545"/>
      <c r="BH643" s="545"/>
      <c r="BI643" s="545"/>
      <c r="BJ643" s="545"/>
      <c r="BK643" s="545"/>
      <c r="BL643" s="545"/>
      <c r="BM643" s="545"/>
      <c r="BN643" s="545"/>
      <c r="BO643" s="545"/>
      <c r="BP643" s="545"/>
      <c r="BQ643" s="545"/>
      <c r="BR643" s="546"/>
      <c r="BS643" s="544"/>
      <c r="BT643" s="545"/>
      <c r="BU643" s="545"/>
      <c r="BV643" s="545"/>
      <c r="BW643" s="545"/>
      <c r="BX643" s="545"/>
      <c r="BY643" s="545"/>
      <c r="BZ643" s="545"/>
      <c r="CA643" s="545"/>
      <c r="CB643" s="545"/>
      <c r="CC643" s="545"/>
      <c r="CD643" s="545"/>
      <c r="CE643" s="545"/>
      <c r="CF643" s="545"/>
      <c r="CG643" s="545"/>
      <c r="CH643" s="546"/>
      <c r="CI643" s="544"/>
      <c r="CJ643" s="545"/>
      <c r="CK643" s="545"/>
      <c r="CL643" s="545"/>
      <c r="CM643" s="545"/>
      <c r="CN643" s="545"/>
      <c r="CO643" s="545"/>
      <c r="CP643" s="545"/>
      <c r="CQ643" s="545"/>
      <c r="CR643" s="545"/>
      <c r="CS643" s="545"/>
      <c r="CT643" s="545"/>
      <c r="CU643" s="545"/>
      <c r="CV643" s="545"/>
      <c r="CW643" s="545"/>
      <c r="CX643" s="545"/>
      <c r="CY643" s="545"/>
      <c r="CZ643" s="546"/>
      <c r="DA643" s="214"/>
    </row>
    <row r="644" spans="1:105" s="16" customFormat="1" ht="15" hidden="1" customHeight="1" x14ac:dyDescent="0.3">
      <c r="A644" s="633" t="s">
        <v>292</v>
      </c>
      <c r="B644" s="634"/>
      <c r="C644" s="634"/>
      <c r="D644" s="634"/>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c r="AA644" s="634"/>
      <c r="AB644" s="634"/>
      <c r="AC644" s="634"/>
      <c r="AD644" s="634"/>
      <c r="AE644" s="634"/>
      <c r="AF644" s="634"/>
      <c r="AG644" s="634"/>
      <c r="AH644" s="634"/>
      <c r="AI644" s="634"/>
      <c r="AJ644" s="634"/>
      <c r="AK644" s="634"/>
      <c r="AL644" s="634"/>
      <c r="AM644" s="634"/>
      <c r="AN644" s="634"/>
      <c r="AO644" s="634"/>
      <c r="AP644" s="634"/>
      <c r="AQ644" s="634"/>
      <c r="AR644" s="634"/>
      <c r="AS644" s="634"/>
      <c r="AT644" s="634"/>
      <c r="AU644" s="634"/>
      <c r="AV644" s="634"/>
      <c r="AW644" s="634"/>
      <c r="AX644" s="634"/>
      <c r="AY644" s="634"/>
      <c r="AZ644" s="634"/>
      <c r="BA644" s="634"/>
      <c r="BB644" s="635"/>
      <c r="BC644" s="544" t="s">
        <v>4</v>
      </c>
      <c r="BD644" s="545"/>
      <c r="BE644" s="545"/>
      <c r="BF644" s="545"/>
      <c r="BG644" s="545"/>
      <c r="BH644" s="545"/>
      <c r="BI644" s="545"/>
      <c r="BJ644" s="545"/>
      <c r="BK644" s="545"/>
      <c r="BL644" s="545"/>
      <c r="BM644" s="545"/>
      <c r="BN644" s="545"/>
      <c r="BO644" s="545"/>
      <c r="BP644" s="545"/>
      <c r="BQ644" s="545"/>
      <c r="BR644" s="546"/>
      <c r="BS644" s="544" t="s">
        <v>4</v>
      </c>
      <c r="BT644" s="545"/>
      <c r="BU644" s="545"/>
      <c r="BV644" s="545"/>
      <c r="BW644" s="545"/>
      <c r="BX644" s="545"/>
      <c r="BY644" s="545"/>
      <c r="BZ644" s="545"/>
      <c r="CA644" s="545"/>
      <c r="CB644" s="545"/>
      <c r="CC644" s="545"/>
      <c r="CD644" s="545"/>
      <c r="CE644" s="545"/>
      <c r="CF644" s="545"/>
      <c r="CG644" s="545"/>
      <c r="CH644" s="546"/>
      <c r="CI644" s="544"/>
      <c r="CJ644" s="545"/>
      <c r="CK644" s="545"/>
      <c r="CL644" s="545"/>
      <c r="CM644" s="545"/>
      <c r="CN644" s="545"/>
      <c r="CO644" s="545"/>
      <c r="CP644" s="545"/>
      <c r="CQ644" s="545"/>
      <c r="CR644" s="545"/>
      <c r="CS644" s="545"/>
      <c r="CT644" s="545"/>
      <c r="CU644" s="545"/>
      <c r="CV644" s="545"/>
      <c r="CW644" s="545"/>
      <c r="CX644" s="545"/>
      <c r="CY644" s="545"/>
      <c r="CZ644" s="546"/>
      <c r="DA644" s="214"/>
    </row>
    <row r="645" spans="1:105" s="16" customFormat="1" ht="15" hidden="1" customHeight="1" x14ac:dyDescent="0.3">
      <c r="A645" s="648" t="s">
        <v>258</v>
      </c>
      <c r="B645" s="649"/>
      <c r="C645" s="649"/>
      <c r="D645" s="649"/>
      <c r="E645" s="649"/>
      <c r="F645" s="649"/>
      <c r="G645" s="649"/>
      <c r="H645" s="649"/>
      <c r="I645" s="649"/>
      <c r="J645" s="649"/>
      <c r="K645" s="649"/>
      <c r="L645" s="649"/>
      <c r="M645" s="649"/>
      <c r="N645" s="649"/>
      <c r="O645" s="649"/>
      <c r="P645" s="649"/>
      <c r="Q645" s="649"/>
      <c r="R645" s="649"/>
      <c r="S645" s="649"/>
      <c r="T645" s="649"/>
      <c r="U645" s="649"/>
      <c r="V645" s="649"/>
      <c r="W645" s="649"/>
      <c r="X645" s="649"/>
      <c r="Y645" s="649"/>
      <c r="Z645" s="649"/>
      <c r="AA645" s="649"/>
      <c r="AB645" s="649"/>
      <c r="AC645" s="649"/>
      <c r="AD645" s="649"/>
      <c r="AE645" s="649"/>
      <c r="AF645" s="649"/>
      <c r="AG645" s="649"/>
      <c r="AH645" s="649"/>
      <c r="AI645" s="649"/>
      <c r="AJ645" s="649"/>
      <c r="AK645" s="649"/>
      <c r="AL645" s="649"/>
      <c r="AM645" s="649"/>
      <c r="AN645" s="649"/>
      <c r="AO645" s="649"/>
      <c r="AP645" s="649"/>
      <c r="AQ645" s="649"/>
      <c r="AR645" s="649"/>
      <c r="AS645" s="649"/>
      <c r="AT645" s="649"/>
      <c r="AU645" s="649"/>
      <c r="AV645" s="649"/>
      <c r="AW645" s="649"/>
      <c r="AX645" s="649"/>
      <c r="AY645" s="649"/>
      <c r="AZ645" s="649"/>
      <c r="BA645" s="649"/>
      <c r="BB645" s="649"/>
      <c r="BC645" s="649"/>
      <c r="BD645" s="649"/>
      <c r="BE645" s="649"/>
      <c r="BF645" s="649"/>
      <c r="BG645" s="649"/>
      <c r="BH645" s="649"/>
      <c r="BI645" s="649"/>
      <c r="BJ645" s="649"/>
      <c r="BK645" s="649"/>
      <c r="BL645" s="649"/>
      <c r="BM645" s="649"/>
      <c r="BN645" s="649"/>
      <c r="BO645" s="649"/>
      <c r="BP645" s="649"/>
      <c r="BQ645" s="649"/>
      <c r="BR645" s="649"/>
      <c r="BS645" s="649"/>
      <c r="BT645" s="649"/>
      <c r="BU645" s="649"/>
      <c r="BV645" s="649"/>
      <c r="BW645" s="649"/>
      <c r="BX645" s="649"/>
      <c r="BY645" s="649"/>
      <c r="BZ645" s="649"/>
      <c r="CA645" s="649"/>
      <c r="CB645" s="649"/>
      <c r="CC645" s="649"/>
      <c r="CD645" s="649"/>
      <c r="CE645" s="649"/>
      <c r="CF645" s="649"/>
      <c r="CG645" s="649"/>
      <c r="CH645" s="649"/>
      <c r="CI645" s="649"/>
      <c r="CJ645" s="649"/>
      <c r="CK645" s="649"/>
      <c r="CL645" s="649"/>
      <c r="CM645" s="649"/>
      <c r="CN645" s="649"/>
      <c r="CO645" s="649"/>
      <c r="CP645" s="649"/>
      <c r="CQ645" s="649"/>
      <c r="CR645" s="649"/>
      <c r="CS645" s="649"/>
      <c r="CT645" s="649"/>
      <c r="CU645" s="649"/>
      <c r="CV645" s="649"/>
      <c r="CW645" s="649"/>
      <c r="CX645" s="649"/>
      <c r="CY645" s="649"/>
      <c r="CZ645" s="649"/>
      <c r="DA645" s="214"/>
    </row>
    <row r="646" spans="1:105" s="16" customFormat="1" ht="15" hidden="1" customHeight="1" x14ac:dyDescent="0.3">
      <c r="A646" s="630"/>
      <c r="B646" s="631"/>
      <c r="C646" s="631"/>
      <c r="D646" s="631"/>
      <c r="E646" s="631"/>
      <c r="F646" s="631"/>
      <c r="G646" s="632"/>
      <c r="H646" s="584"/>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585"/>
      <c r="AY646" s="585"/>
      <c r="AZ646" s="585"/>
      <c r="BA646" s="585"/>
      <c r="BB646" s="586"/>
      <c r="BC646" s="544"/>
      <c r="BD646" s="545"/>
      <c r="BE646" s="545"/>
      <c r="BF646" s="545"/>
      <c r="BG646" s="545"/>
      <c r="BH646" s="545"/>
      <c r="BI646" s="545"/>
      <c r="BJ646" s="545"/>
      <c r="BK646" s="545"/>
      <c r="BL646" s="545"/>
      <c r="BM646" s="545"/>
      <c r="BN646" s="545"/>
      <c r="BO646" s="545"/>
      <c r="BP646" s="545"/>
      <c r="BQ646" s="545"/>
      <c r="BR646" s="546"/>
      <c r="BS646" s="544"/>
      <c r="BT646" s="545"/>
      <c r="BU646" s="545"/>
      <c r="BV646" s="545"/>
      <c r="BW646" s="545"/>
      <c r="BX646" s="545"/>
      <c r="BY646" s="545"/>
      <c r="BZ646" s="545"/>
      <c r="CA646" s="545"/>
      <c r="CB646" s="545"/>
      <c r="CC646" s="545"/>
      <c r="CD646" s="545"/>
      <c r="CE646" s="545"/>
      <c r="CF646" s="545"/>
      <c r="CG646" s="545"/>
      <c r="CH646" s="546"/>
      <c r="CI646" s="544"/>
      <c r="CJ646" s="545"/>
      <c r="CK646" s="545"/>
      <c r="CL646" s="545"/>
      <c r="CM646" s="545"/>
      <c r="CN646" s="545"/>
      <c r="CO646" s="545"/>
      <c r="CP646" s="545"/>
      <c r="CQ646" s="545"/>
      <c r="CR646" s="545"/>
      <c r="CS646" s="545"/>
      <c r="CT646" s="545"/>
      <c r="CU646" s="545"/>
      <c r="CV646" s="545"/>
      <c r="CW646" s="545"/>
      <c r="CX646" s="545"/>
      <c r="CY646" s="545"/>
      <c r="CZ646" s="546"/>
      <c r="DA646" s="214"/>
    </row>
    <row r="647" spans="1:105" s="16" customFormat="1" ht="15" hidden="1" customHeight="1" x14ac:dyDescent="0.3">
      <c r="A647" s="633" t="s">
        <v>292</v>
      </c>
      <c r="B647" s="634"/>
      <c r="C647" s="634"/>
      <c r="D647" s="634"/>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c r="AA647" s="634"/>
      <c r="AB647" s="634"/>
      <c r="AC647" s="634"/>
      <c r="AD647" s="634"/>
      <c r="AE647" s="634"/>
      <c r="AF647" s="634"/>
      <c r="AG647" s="634"/>
      <c r="AH647" s="634"/>
      <c r="AI647" s="634"/>
      <c r="AJ647" s="634"/>
      <c r="AK647" s="634"/>
      <c r="AL647" s="634"/>
      <c r="AM647" s="634"/>
      <c r="AN647" s="634"/>
      <c r="AO647" s="634"/>
      <c r="AP647" s="634"/>
      <c r="AQ647" s="634"/>
      <c r="AR647" s="634"/>
      <c r="AS647" s="634"/>
      <c r="AT647" s="634"/>
      <c r="AU647" s="634"/>
      <c r="AV647" s="634"/>
      <c r="AW647" s="634"/>
      <c r="AX647" s="634"/>
      <c r="AY647" s="634"/>
      <c r="AZ647" s="634"/>
      <c r="BA647" s="634"/>
      <c r="BB647" s="635"/>
      <c r="BC647" s="544" t="s">
        <v>4</v>
      </c>
      <c r="BD647" s="545"/>
      <c r="BE647" s="545"/>
      <c r="BF647" s="545"/>
      <c r="BG647" s="545"/>
      <c r="BH647" s="545"/>
      <c r="BI647" s="545"/>
      <c r="BJ647" s="545"/>
      <c r="BK647" s="545"/>
      <c r="BL647" s="545"/>
      <c r="BM647" s="545"/>
      <c r="BN647" s="545"/>
      <c r="BO647" s="545"/>
      <c r="BP647" s="545"/>
      <c r="BQ647" s="545"/>
      <c r="BR647" s="546"/>
      <c r="BS647" s="544" t="s">
        <v>4</v>
      </c>
      <c r="BT647" s="545"/>
      <c r="BU647" s="545"/>
      <c r="BV647" s="545"/>
      <c r="BW647" s="545"/>
      <c r="BX647" s="545"/>
      <c r="BY647" s="545"/>
      <c r="BZ647" s="545"/>
      <c r="CA647" s="545"/>
      <c r="CB647" s="545"/>
      <c r="CC647" s="545"/>
      <c r="CD647" s="545"/>
      <c r="CE647" s="545"/>
      <c r="CF647" s="545"/>
      <c r="CG647" s="545"/>
      <c r="CH647" s="546"/>
      <c r="CI647" s="544"/>
      <c r="CJ647" s="545"/>
      <c r="CK647" s="545"/>
      <c r="CL647" s="545"/>
      <c r="CM647" s="545"/>
      <c r="CN647" s="545"/>
      <c r="CO647" s="545"/>
      <c r="CP647" s="545"/>
      <c r="CQ647" s="545"/>
      <c r="CR647" s="545"/>
      <c r="CS647" s="545"/>
      <c r="CT647" s="545"/>
      <c r="CU647" s="545"/>
      <c r="CV647" s="545"/>
      <c r="CW647" s="545"/>
      <c r="CX647" s="545"/>
      <c r="CY647" s="545"/>
      <c r="CZ647" s="546"/>
      <c r="DA647" s="214"/>
    </row>
    <row r="648" spans="1:105" s="16" customFormat="1" ht="15" hidden="1" customHeight="1" x14ac:dyDescent="0.3">
      <c r="A648" s="553" t="s">
        <v>56</v>
      </c>
      <c r="B648" s="554"/>
      <c r="C648" s="554"/>
      <c r="D648" s="554"/>
      <c r="E648" s="554"/>
      <c r="F648" s="554"/>
      <c r="G648" s="554"/>
      <c r="H648" s="554"/>
      <c r="I648" s="554"/>
      <c r="J648" s="554"/>
      <c r="K648" s="554"/>
      <c r="L648" s="554"/>
      <c r="M648" s="554"/>
      <c r="N648" s="554"/>
      <c r="O648" s="554"/>
      <c r="P648" s="554"/>
      <c r="Q648" s="554"/>
      <c r="R648" s="554"/>
      <c r="S648" s="554"/>
      <c r="T648" s="554"/>
      <c r="U648" s="554"/>
      <c r="V648" s="554"/>
      <c r="W648" s="554"/>
      <c r="X648" s="554"/>
      <c r="Y648" s="554"/>
      <c r="Z648" s="554"/>
      <c r="AA648" s="554"/>
      <c r="AB648" s="554"/>
      <c r="AC648" s="554"/>
      <c r="AD648" s="554"/>
      <c r="AE648" s="554"/>
      <c r="AF648" s="554"/>
      <c r="AG648" s="554"/>
      <c r="AH648" s="554"/>
      <c r="AI648" s="554"/>
      <c r="AJ648" s="554"/>
      <c r="AK648" s="554"/>
      <c r="AL648" s="554"/>
      <c r="AM648" s="554"/>
      <c r="AN648" s="554"/>
      <c r="AO648" s="554"/>
      <c r="AP648" s="554"/>
      <c r="AQ648" s="554"/>
      <c r="AR648" s="554"/>
      <c r="AS648" s="554"/>
      <c r="AT648" s="554"/>
      <c r="AU648" s="554"/>
      <c r="AV648" s="554"/>
      <c r="AW648" s="554"/>
      <c r="AX648" s="554"/>
      <c r="AY648" s="554"/>
      <c r="AZ648" s="554"/>
      <c r="BA648" s="554"/>
      <c r="BB648" s="555"/>
      <c r="BC648" s="544" t="s">
        <v>4</v>
      </c>
      <c r="BD648" s="545"/>
      <c r="BE648" s="545"/>
      <c r="BF648" s="545"/>
      <c r="BG648" s="545"/>
      <c r="BH648" s="545"/>
      <c r="BI648" s="545"/>
      <c r="BJ648" s="545"/>
      <c r="BK648" s="545"/>
      <c r="BL648" s="545"/>
      <c r="BM648" s="545"/>
      <c r="BN648" s="545"/>
      <c r="BO648" s="545"/>
      <c r="BP648" s="545"/>
      <c r="BQ648" s="545"/>
      <c r="BR648" s="546"/>
      <c r="BS648" s="544" t="s">
        <v>4</v>
      </c>
      <c r="BT648" s="545"/>
      <c r="BU648" s="545"/>
      <c r="BV648" s="545"/>
      <c r="BW648" s="545"/>
      <c r="BX648" s="545"/>
      <c r="BY648" s="545"/>
      <c r="BZ648" s="545"/>
      <c r="CA648" s="545"/>
      <c r="CB648" s="545"/>
      <c r="CC648" s="545"/>
      <c r="CD648" s="545"/>
      <c r="CE648" s="545"/>
      <c r="CF648" s="545"/>
      <c r="CG648" s="545"/>
      <c r="CH648" s="546"/>
      <c r="CI648" s="544"/>
      <c r="CJ648" s="545"/>
      <c r="CK648" s="545"/>
      <c r="CL648" s="545"/>
      <c r="CM648" s="545"/>
      <c r="CN648" s="545"/>
      <c r="CO648" s="545"/>
      <c r="CP648" s="545"/>
      <c r="CQ648" s="545"/>
      <c r="CR648" s="545"/>
      <c r="CS648" s="545"/>
      <c r="CT648" s="545"/>
      <c r="CU648" s="545"/>
      <c r="CV648" s="545"/>
      <c r="CW648" s="545"/>
      <c r="CX648" s="545"/>
      <c r="CY648" s="545"/>
      <c r="CZ648" s="546"/>
      <c r="DA648" s="214"/>
    </row>
    <row r="649" spans="1:105" ht="10.5" hidden="1" customHeight="1" x14ac:dyDescent="0.25"/>
    <row r="650" spans="1:105" ht="17.399999999999999" customHeight="1" x14ac:dyDescent="0.25">
      <c r="A650" s="553" t="s">
        <v>56</v>
      </c>
      <c r="B650" s="554"/>
      <c r="C650" s="554"/>
      <c r="D650" s="554"/>
      <c r="E650" s="554"/>
      <c r="F650" s="554"/>
      <c r="G650" s="554"/>
      <c r="H650" s="554"/>
      <c r="I650" s="554"/>
      <c r="J650" s="554"/>
      <c r="K650" s="554"/>
      <c r="L650" s="554"/>
      <c r="M650" s="554"/>
      <c r="N650" s="554"/>
      <c r="O650" s="554"/>
      <c r="P650" s="554"/>
      <c r="Q650" s="554"/>
      <c r="R650" s="554"/>
      <c r="S650" s="554"/>
      <c r="T650" s="554"/>
      <c r="U650" s="554"/>
      <c r="V650" s="554"/>
      <c r="W650" s="554"/>
      <c r="X650" s="554"/>
      <c r="Y650" s="554"/>
      <c r="Z650" s="554"/>
      <c r="AA650" s="554"/>
      <c r="AB650" s="554"/>
      <c r="AC650" s="554"/>
      <c r="AD650" s="554"/>
      <c r="AE650" s="554"/>
      <c r="AF650" s="554"/>
      <c r="AG650" s="554"/>
      <c r="AH650" s="554"/>
      <c r="AI650" s="554"/>
      <c r="AJ650" s="554"/>
      <c r="AK650" s="554"/>
      <c r="AL650" s="554"/>
      <c r="AM650" s="554"/>
      <c r="AN650" s="554"/>
      <c r="AO650" s="554"/>
      <c r="AP650" s="554"/>
      <c r="AQ650" s="554"/>
      <c r="AR650" s="554"/>
      <c r="AS650" s="554"/>
      <c r="AT650" s="554"/>
      <c r="AU650" s="554"/>
      <c r="AV650" s="554"/>
      <c r="AW650" s="554"/>
      <c r="AX650" s="554"/>
      <c r="AY650" s="554"/>
      <c r="AZ650" s="554"/>
      <c r="BA650" s="554"/>
      <c r="BB650" s="555"/>
      <c r="BC650" s="582" t="s">
        <v>4</v>
      </c>
      <c r="BD650" s="582"/>
      <c r="BE650" s="582"/>
      <c r="BF650" s="582"/>
      <c r="BG650" s="582"/>
      <c r="BH650" s="582"/>
      <c r="BI650" s="582"/>
      <c r="BJ650" s="582"/>
      <c r="BK650" s="582"/>
      <c r="BL650" s="582"/>
      <c r="BM650" s="582"/>
      <c r="BN650" s="582"/>
      <c r="BO650" s="582"/>
      <c r="BP650" s="582"/>
      <c r="BQ650" s="582"/>
      <c r="BR650" s="582"/>
      <c r="BS650" s="582" t="s">
        <v>4</v>
      </c>
      <c r="BT650" s="582"/>
      <c r="BU650" s="582"/>
      <c r="BV650" s="582"/>
      <c r="BW650" s="582"/>
      <c r="BX650" s="582"/>
      <c r="BY650" s="582"/>
      <c r="BZ650" s="582"/>
      <c r="CA650" s="582"/>
      <c r="CB650" s="582"/>
      <c r="CC650" s="582"/>
      <c r="CD650" s="582"/>
      <c r="CE650" s="582"/>
      <c r="CF650" s="582"/>
      <c r="CG650" s="582"/>
      <c r="CH650" s="582"/>
      <c r="CI650" s="611">
        <f>CI592+CI642+CI617</f>
        <v>0</v>
      </c>
      <c r="CJ650" s="560"/>
      <c r="CK650" s="560"/>
      <c r="CL650" s="560"/>
      <c r="CM650" s="560"/>
      <c r="CN650" s="560"/>
      <c r="CO650" s="560"/>
      <c r="CP650" s="560"/>
      <c r="CQ650" s="560"/>
      <c r="CR650" s="560"/>
      <c r="CS650" s="560"/>
      <c r="CT650" s="560"/>
      <c r="CU650" s="560"/>
      <c r="CV650" s="560"/>
      <c r="CW650" s="560"/>
      <c r="CX650" s="560"/>
      <c r="CY650" s="560"/>
      <c r="CZ650" s="560"/>
      <c r="DA650" s="243">
        <f>DA642-CI642</f>
        <v>3907008</v>
      </c>
    </row>
    <row r="651" spans="1:105" s="20" customFormat="1" ht="21" customHeight="1" x14ac:dyDescent="0.25">
      <c r="A651" s="524" t="s">
        <v>362</v>
      </c>
      <c r="B651" s="524"/>
      <c r="C651" s="524"/>
      <c r="D651" s="524"/>
      <c r="E651" s="524"/>
      <c r="F651" s="524"/>
      <c r="G651" s="524"/>
      <c r="H651" s="524"/>
      <c r="I651" s="524"/>
      <c r="J651" s="524"/>
      <c r="K651" s="524"/>
      <c r="L651" s="524"/>
      <c r="M651" s="524"/>
      <c r="N651" s="524"/>
      <c r="O651" s="524"/>
      <c r="P651" s="524"/>
      <c r="Q651" s="524"/>
      <c r="R651" s="524"/>
      <c r="S651" s="524"/>
      <c r="T651" s="524"/>
      <c r="U651" s="524"/>
      <c r="V651" s="524"/>
      <c r="W651" s="524"/>
      <c r="X651" s="524"/>
      <c r="Y651" s="524"/>
      <c r="Z651" s="524"/>
      <c r="AA651" s="524"/>
      <c r="AB651" s="524"/>
      <c r="AC651" s="524"/>
      <c r="AD651" s="524"/>
      <c r="AE651" s="524"/>
      <c r="AF651" s="524"/>
      <c r="AG651" s="524"/>
      <c r="AH651" s="524"/>
      <c r="AI651" s="524"/>
      <c r="AJ651" s="524"/>
      <c r="AK651" s="524"/>
      <c r="AL651" s="524"/>
      <c r="AM651" s="524"/>
      <c r="AN651" s="524"/>
      <c r="AO651" s="524"/>
      <c r="AP651" s="524"/>
      <c r="AQ651" s="524"/>
      <c r="AR651" s="524"/>
      <c r="AS651" s="524"/>
      <c r="AT651" s="524"/>
      <c r="AU651" s="524"/>
      <c r="AV651" s="524"/>
      <c r="AW651" s="524"/>
      <c r="AX651" s="524"/>
      <c r="AY651" s="524"/>
      <c r="AZ651" s="524"/>
      <c r="BA651" s="524"/>
      <c r="BB651" s="524"/>
      <c r="BC651" s="524"/>
      <c r="BD651" s="524"/>
      <c r="BE651" s="524"/>
      <c r="BF651" s="524"/>
      <c r="BG651" s="524"/>
      <c r="BH651" s="524"/>
      <c r="BI651" s="524"/>
      <c r="BJ651" s="524"/>
      <c r="BK651" s="524"/>
      <c r="BL651" s="524"/>
      <c r="BM651" s="524"/>
      <c r="BN651" s="524"/>
      <c r="BO651" s="524"/>
      <c r="BP651" s="524"/>
      <c r="BQ651" s="524"/>
      <c r="BR651" s="524"/>
      <c r="BS651" s="524"/>
      <c r="BT651" s="524"/>
      <c r="BU651" s="524"/>
      <c r="BV651" s="524"/>
      <c r="BW651" s="524"/>
      <c r="BX651" s="524"/>
      <c r="BY651" s="524"/>
      <c r="BZ651" s="524"/>
      <c r="CA651" s="524"/>
      <c r="CB651" s="524"/>
      <c r="CC651" s="524"/>
      <c r="CD651" s="524"/>
      <c r="CE651" s="524"/>
      <c r="CF651" s="524"/>
      <c r="CG651" s="524"/>
      <c r="CH651" s="524"/>
      <c r="CI651" s="524"/>
      <c r="CJ651" s="524"/>
      <c r="CK651" s="524"/>
      <c r="CL651" s="524"/>
      <c r="CM651" s="524"/>
      <c r="CN651" s="524"/>
      <c r="CO651" s="524"/>
      <c r="CP651" s="524"/>
      <c r="CQ651" s="524"/>
      <c r="CR651" s="524"/>
      <c r="CS651" s="524"/>
      <c r="CT651" s="524"/>
      <c r="CU651" s="524"/>
      <c r="CV651" s="524"/>
      <c r="CW651" s="524"/>
      <c r="CX651" s="524"/>
      <c r="CY651" s="524"/>
      <c r="CZ651" s="524"/>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595" t="s">
        <v>587</v>
      </c>
      <c r="X653" s="595"/>
      <c r="Y653" s="595"/>
      <c r="Z653" s="595"/>
      <c r="AA653" s="595"/>
      <c r="AB653" s="595"/>
      <c r="AC653" s="595"/>
      <c r="AD653" s="595"/>
      <c r="AE653" s="595"/>
      <c r="AF653" s="595"/>
      <c r="AG653" s="595"/>
      <c r="AH653" s="595"/>
      <c r="AI653" s="595"/>
      <c r="AJ653" s="595"/>
      <c r="AK653" s="595"/>
      <c r="AL653" s="595"/>
      <c r="AM653" s="595"/>
      <c r="AN653" s="595"/>
      <c r="AO653" s="595"/>
      <c r="AP653" s="595"/>
      <c r="AQ653" s="595"/>
      <c r="AR653" s="595"/>
      <c r="AS653" s="595"/>
      <c r="AT653" s="595"/>
      <c r="AU653" s="595"/>
      <c r="AV653" s="595"/>
      <c r="AW653" s="595"/>
      <c r="AX653" s="595"/>
      <c r="AY653" s="595"/>
      <c r="AZ653" s="595"/>
      <c r="BA653" s="595"/>
      <c r="BB653" s="595"/>
      <c r="BC653" s="595"/>
      <c r="BD653" s="595"/>
      <c r="BE653" s="595"/>
      <c r="BF653" s="595"/>
      <c r="BG653" s="595"/>
      <c r="BH653" s="595"/>
      <c r="BI653" s="595"/>
      <c r="BJ653" s="595"/>
      <c r="BK653" s="595"/>
      <c r="BL653" s="595"/>
      <c r="BM653" s="595"/>
      <c r="BN653" s="595"/>
      <c r="BO653" s="595"/>
      <c r="BP653" s="595"/>
      <c r="BQ653" s="595"/>
      <c r="BR653" s="595"/>
      <c r="BS653" s="595"/>
      <c r="BT653" s="595"/>
      <c r="BU653" s="595"/>
      <c r="BV653" s="595"/>
      <c r="BW653" s="595"/>
      <c r="BX653" s="595"/>
      <c r="BY653" s="595"/>
      <c r="BZ653" s="595"/>
      <c r="CA653" s="595"/>
      <c r="CB653" s="595"/>
      <c r="CC653" s="595"/>
      <c r="CD653" s="595"/>
      <c r="CE653" s="595"/>
      <c r="CF653" s="595"/>
      <c r="CG653" s="595"/>
      <c r="CH653" s="595"/>
      <c r="CI653" s="595"/>
      <c r="CJ653" s="595"/>
      <c r="CK653" s="595"/>
      <c r="CL653" s="595"/>
      <c r="CM653" s="595"/>
      <c r="CN653" s="595"/>
      <c r="CO653" s="595"/>
      <c r="CP653" s="595"/>
      <c r="CQ653" s="595"/>
      <c r="CR653" s="595"/>
      <c r="CS653" s="595"/>
      <c r="CT653" s="595"/>
      <c r="CU653" s="595"/>
      <c r="CV653" s="595"/>
      <c r="CW653" s="595"/>
      <c r="CX653" s="595"/>
      <c r="CY653" s="595"/>
      <c r="CZ653" s="595"/>
      <c r="DA653" s="230" t="s">
        <v>917</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475" t="s">
        <v>49</v>
      </c>
      <c r="B655" s="476"/>
      <c r="C655" s="476"/>
      <c r="D655" s="476"/>
      <c r="E655" s="476"/>
      <c r="F655" s="476"/>
      <c r="G655" s="477"/>
      <c r="H655" s="475" t="s">
        <v>0</v>
      </c>
      <c r="I655" s="476"/>
      <c r="J655" s="476"/>
      <c r="K655" s="476"/>
      <c r="L655" s="476"/>
      <c r="M655" s="476"/>
      <c r="N655" s="476"/>
      <c r="O655" s="476"/>
      <c r="P655" s="476"/>
      <c r="Q655" s="476"/>
      <c r="R655" s="476"/>
      <c r="S655" s="476"/>
      <c r="T655" s="476"/>
      <c r="U655" s="476"/>
      <c r="V655" s="476"/>
      <c r="W655" s="476"/>
      <c r="X655" s="476"/>
      <c r="Y655" s="476"/>
      <c r="Z655" s="476"/>
      <c r="AA655" s="476"/>
      <c r="AB655" s="476"/>
      <c r="AC655" s="476"/>
      <c r="AD655" s="476"/>
      <c r="AE655" s="476"/>
      <c r="AF655" s="476"/>
      <c r="AG655" s="476"/>
      <c r="AH655" s="476"/>
      <c r="AI655" s="476"/>
      <c r="AJ655" s="476"/>
      <c r="AK655" s="476"/>
      <c r="AL655" s="476"/>
      <c r="AM655" s="476"/>
      <c r="AN655" s="476"/>
      <c r="AO655" s="476"/>
      <c r="AP655" s="476"/>
      <c r="AQ655" s="476"/>
      <c r="AR655" s="476"/>
      <c r="AS655" s="476"/>
      <c r="AT655" s="477"/>
      <c r="AU655" s="475" t="s">
        <v>196</v>
      </c>
      <c r="AV655" s="476"/>
      <c r="AW655" s="476"/>
      <c r="AX655" s="476"/>
      <c r="AY655" s="476"/>
      <c r="AZ655" s="476"/>
      <c r="BA655" s="476"/>
      <c r="BB655" s="477"/>
      <c r="BC655" s="475" t="s">
        <v>91</v>
      </c>
      <c r="BD655" s="476"/>
      <c r="BE655" s="476"/>
      <c r="BF655" s="476"/>
      <c r="BG655" s="476"/>
      <c r="BH655" s="476"/>
      <c r="BI655" s="476"/>
      <c r="BJ655" s="476"/>
      <c r="BK655" s="476"/>
      <c r="BL655" s="476"/>
      <c r="BM655" s="476"/>
      <c r="BN655" s="476"/>
      <c r="BO655" s="476"/>
      <c r="BP655" s="476"/>
      <c r="BQ655" s="476"/>
      <c r="BR655" s="477"/>
      <c r="BS655" s="475" t="s">
        <v>96</v>
      </c>
      <c r="BT655" s="476"/>
      <c r="BU655" s="476"/>
      <c r="BV655" s="476"/>
      <c r="BW655" s="476"/>
      <c r="BX655" s="476"/>
      <c r="BY655" s="476"/>
      <c r="BZ655" s="476"/>
      <c r="CA655" s="476"/>
      <c r="CB655" s="476"/>
      <c r="CC655" s="476"/>
      <c r="CD655" s="476"/>
      <c r="CE655" s="476"/>
      <c r="CF655" s="476"/>
      <c r="CG655" s="476"/>
      <c r="CH655" s="477"/>
      <c r="CI655" s="475" t="s">
        <v>97</v>
      </c>
      <c r="CJ655" s="476"/>
      <c r="CK655" s="476"/>
      <c r="CL655" s="476"/>
      <c r="CM655" s="476"/>
      <c r="CN655" s="476"/>
      <c r="CO655" s="476"/>
      <c r="CP655" s="476"/>
      <c r="CQ655" s="476"/>
      <c r="CR655" s="476"/>
      <c r="CS655" s="476"/>
      <c r="CT655" s="476"/>
      <c r="CU655" s="476"/>
      <c r="CV655" s="476"/>
      <c r="CW655" s="476"/>
      <c r="CX655" s="476"/>
      <c r="CY655" s="476"/>
      <c r="CZ655" s="477"/>
      <c r="DA655" s="218"/>
    </row>
    <row r="656" spans="1:105" s="15" customFormat="1" ht="12.75" customHeight="1" x14ac:dyDescent="0.3">
      <c r="A656" s="661">
        <v>1</v>
      </c>
      <c r="B656" s="662"/>
      <c r="C656" s="662"/>
      <c r="D656" s="662"/>
      <c r="E656" s="662"/>
      <c r="F656" s="662"/>
      <c r="G656" s="663"/>
      <c r="H656" s="661">
        <v>2</v>
      </c>
      <c r="I656" s="662"/>
      <c r="J656" s="662"/>
      <c r="K656" s="662"/>
      <c r="L656" s="662"/>
      <c r="M656" s="662"/>
      <c r="N656" s="662"/>
      <c r="O656" s="662"/>
      <c r="P656" s="662"/>
      <c r="Q656" s="662"/>
      <c r="R656" s="662"/>
      <c r="S656" s="662"/>
      <c r="T656" s="662"/>
      <c r="U656" s="662"/>
      <c r="V656" s="662"/>
      <c r="W656" s="662"/>
      <c r="X656" s="662"/>
      <c r="Y656" s="662"/>
      <c r="Z656" s="662"/>
      <c r="AA656" s="662"/>
      <c r="AB656" s="662"/>
      <c r="AC656" s="662"/>
      <c r="AD656" s="662"/>
      <c r="AE656" s="662"/>
      <c r="AF656" s="662"/>
      <c r="AG656" s="662"/>
      <c r="AH656" s="662"/>
      <c r="AI656" s="662"/>
      <c r="AJ656" s="662"/>
      <c r="AK656" s="662"/>
      <c r="AL656" s="662"/>
      <c r="AM656" s="662"/>
      <c r="AN656" s="662"/>
      <c r="AO656" s="662"/>
      <c r="AP656" s="662"/>
      <c r="AQ656" s="662"/>
      <c r="AR656" s="662"/>
      <c r="AS656" s="662"/>
      <c r="AT656" s="663"/>
      <c r="AU656" s="661">
        <v>3</v>
      </c>
      <c r="AV656" s="662"/>
      <c r="AW656" s="662"/>
      <c r="AX656" s="662"/>
      <c r="AY656" s="662"/>
      <c r="AZ656" s="662"/>
      <c r="BA656" s="662"/>
      <c r="BB656" s="663"/>
      <c r="BC656" s="661">
        <v>4</v>
      </c>
      <c r="BD656" s="662"/>
      <c r="BE656" s="662"/>
      <c r="BF656" s="662"/>
      <c r="BG656" s="662"/>
      <c r="BH656" s="662"/>
      <c r="BI656" s="662"/>
      <c r="BJ656" s="662"/>
      <c r="BK656" s="662"/>
      <c r="BL656" s="662"/>
      <c r="BM656" s="662"/>
      <c r="BN656" s="662"/>
      <c r="BO656" s="662"/>
      <c r="BP656" s="662"/>
      <c r="BQ656" s="662"/>
      <c r="BR656" s="663"/>
      <c r="BS656" s="661">
        <v>5</v>
      </c>
      <c r="BT656" s="662"/>
      <c r="BU656" s="662"/>
      <c r="BV656" s="662"/>
      <c r="BW656" s="662"/>
      <c r="BX656" s="662"/>
      <c r="BY656" s="662"/>
      <c r="BZ656" s="662"/>
      <c r="CA656" s="662"/>
      <c r="CB656" s="662"/>
      <c r="CC656" s="662"/>
      <c r="CD656" s="662"/>
      <c r="CE656" s="662"/>
      <c r="CF656" s="662"/>
      <c r="CG656" s="662"/>
      <c r="CH656" s="663"/>
      <c r="CI656" s="661">
        <v>6</v>
      </c>
      <c r="CJ656" s="662"/>
      <c r="CK656" s="662"/>
      <c r="CL656" s="662"/>
      <c r="CM656" s="662"/>
      <c r="CN656" s="662"/>
      <c r="CO656" s="662"/>
      <c r="CP656" s="662"/>
      <c r="CQ656" s="662"/>
      <c r="CR656" s="662"/>
      <c r="CS656" s="662"/>
      <c r="CT656" s="662"/>
      <c r="CU656" s="662"/>
      <c r="CV656" s="662"/>
      <c r="CW656" s="662"/>
      <c r="CX656" s="662"/>
      <c r="CY656" s="662"/>
      <c r="CZ656" s="663"/>
      <c r="DA656" s="219"/>
    </row>
    <row r="657" spans="1:105" s="16" customFormat="1" ht="15" customHeight="1" x14ac:dyDescent="0.3">
      <c r="A657" s="648" t="s">
        <v>569</v>
      </c>
      <c r="B657" s="649"/>
      <c r="C657" s="649"/>
      <c r="D657" s="649"/>
      <c r="E657" s="649"/>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9"/>
      <c r="AL657" s="649"/>
      <c r="AM657" s="649"/>
      <c r="AN657" s="649"/>
      <c r="AO657" s="649"/>
      <c r="AP657" s="649"/>
      <c r="AQ657" s="649"/>
      <c r="AR657" s="649"/>
      <c r="AS657" s="649"/>
      <c r="AT657" s="649"/>
      <c r="AU657" s="649"/>
      <c r="AV657" s="649"/>
      <c r="AW657" s="649"/>
      <c r="AX657" s="649"/>
      <c r="AY657" s="649"/>
      <c r="AZ657" s="649"/>
      <c r="BA657" s="649"/>
      <c r="BB657" s="649"/>
      <c r="BC657" s="649"/>
      <c r="BD657" s="649"/>
      <c r="BE657" s="649"/>
      <c r="BF657" s="649"/>
      <c r="BG657" s="649"/>
      <c r="BH657" s="649"/>
      <c r="BI657" s="649"/>
      <c r="BJ657" s="649"/>
      <c r="BK657" s="649"/>
      <c r="BL657" s="649"/>
      <c r="BM657" s="649"/>
      <c r="BN657" s="649"/>
      <c r="BO657" s="649"/>
      <c r="BP657" s="649"/>
      <c r="BQ657" s="649"/>
      <c r="BR657" s="649"/>
      <c r="BS657" s="649"/>
      <c r="BT657" s="649"/>
      <c r="BU657" s="649"/>
      <c r="BV657" s="649"/>
      <c r="BW657" s="649"/>
      <c r="BX657" s="649"/>
      <c r="BY657" s="649"/>
      <c r="BZ657" s="649"/>
      <c r="CA657" s="649"/>
      <c r="CB657" s="649"/>
      <c r="CC657" s="649"/>
      <c r="CD657" s="649"/>
      <c r="CE657" s="649"/>
      <c r="CF657" s="649"/>
      <c r="CG657" s="649"/>
      <c r="CH657" s="649"/>
      <c r="CI657" s="649"/>
      <c r="CJ657" s="649"/>
      <c r="CK657" s="649"/>
      <c r="CL657" s="649"/>
      <c r="CM657" s="649"/>
      <c r="CN657" s="649"/>
      <c r="CO657" s="649"/>
      <c r="CP657" s="649"/>
      <c r="CQ657" s="649"/>
      <c r="CR657" s="649"/>
      <c r="CS657" s="649"/>
      <c r="CT657" s="649"/>
      <c r="CU657" s="649"/>
      <c r="CV657" s="649"/>
      <c r="CW657" s="649"/>
      <c r="CX657" s="649"/>
      <c r="CY657" s="649"/>
      <c r="CZ657" s="650"/>
      <c r="DA657" s="214"/>
    </row>
    <row r="658" spans="1:105" s="16" customFormat="1" ht="15" hidden="1" customHeight="1" x14ac:dyDescent="0.3">
      <c r="A658" s="630"/>
      <c r="B658" s="631"/>
      <c r="C658" s="631"/>
      <c r="D658" s="631"/>
      <c r="E658" s="631"/>
      <c r="F658" s="631"/>
      <c r="G658" s="632"/>
      <c r="H658" s="651"/>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52"/>
      <c r="AL658" s="652"/>
      <c r="AM658" s="652"/>
      <c r="AN658" s="652"/>
      <c r="AO658" s="652"/>
      <c r="AP658" s="652"/>
      <c r="AQ658" s="652"/>
      <c r="AR658" s="652"/>
      <c r="AS658" s="652"/>
      <c r="AT658" s="653"/>
      <c r="AU658" s="475"/>
      <c r="AV658" s="476"/>
      <c r="AW658" s="476"/>
      <c r="AX658" s="476"/>
      <c r="AY658" s="476"/>
      <c r="AZ658" s="476"/>
      <c r="BA658" s="476"/>
      <c r="BB658" s="477"/>
      <c r="BC658" s="544"/>
      <c r="BD658" s="545"/>
      <c r="BE658" s="545"/>
      <c r="BF658" s="545"/>
      <c r="BG658" s="545"/>
      <c r="BH658" s="545"/>
      <c r="BI658" s="545"/>
      <c r="BJ658" s="545"/>
      <c r="BK658" s="545"/>
      <c r="BL658" s="545"/>
      <c r="BM658" s="545"/>
      <c r="BN658" s="545"/>
      <c r="BO658" s="545"/>
      <c r="BP658" s="545"/>
      <c r="BQ658" s="545"/>
      <c r="BR658" s="546"/>
      <c r="BS658" s="639"/>
      <c r="BT658" s="640"/>
      <c r="BU658" s="640"/>
      <c r="BV658" s="640"/>
      <c r="BW658" s="640"/>
      <c r="BX658" s="640"/>
      <c r="BY658" s="640"/>
      <c r="BZ658" s="640"/>
      <c r="CA658" s="640"/>
      <c r="CB658" s="640"/>
      <c r="CC658" s="640"/>
      <c r="CD658" s="640"/>
      <c r="CE658" s="640"/>
      <c r="CF658" s="640"/>
      <c r="CG658" s="640"/>
      <c r="CH658" s="641"/>
      <c r="CI658" s="627"/>
      <c r="CJ658" s="628"/>
      <c r="CK658" s="628"/>
      <c r="CL658" s="628"/>
      <c r="CM658" s="628"/>
      <c r="CN658" s="628"/>
      <c r="CO658" s="628"/>
      <c r="CP658" s="628"/>
      <c r="CQ658" s="628"/>
      <c r="CR658" s="628"/>
      <c r="CS658" s="628"/>
      <c r="CT658" s="628"/>
      <c r="CU658" s="628"/>
      <c r="CV658" s="628"/>
      <c r="CW658" s="628"/>
      <c r="CX658" s="628"/>
      <c r="CY658" s="628"/>
      <c r="CZ658" s="629"/>
      <c r="DA658" s="214"/>
    </row>
    <row r="659" spans="1:105" s="16" customFormat="1" ht="15" hidden="1" customHeight="1" x14ac:dyDescent="0.3">
      <c r="A659" s="630"/>
      <c r="B659" s="631"/>
      <c r="C659" s="631"/>
      <c r="D659" s="631"/>
      <c r="E659" s="631"/>
      <c r="F659" s="631"/>
      <c r="G659" s="632"/>
      <c r="H659" s="651" t="s">
        <v>689</v>
      </c>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c r="AI659" s="652"/>
      <c r="AJ659" s="652"/>
      <c r="AK659" s="652"/>
      <c r="AL659" s="652"/>
      <c r="AM659" s="652"/>
      <c r="AN659" s="652"/>
      <c r="AO659" s="652"/>
      <c r="AP659" s="652"/>
      <c r="AQ659" s="652"/>
      <c r="AR659" s="652"/>
      <c r="AS659" s="652"/>
      <c r="AT659" s="653"/>
      <c r="AU659" s="541" t="s">
        <v>690</v>
      </c>
      <c r="AV659" s="542"/>
      <c r="AW659" s="542"/>
      <c r="AX659" s="542"/>
      <c r="AY659" s="542"/>
      <c r="AZ659" s="542"/>
      <c r="BA659" s="542"/>
      <c r="BB659" s="543"/>
      <c r="BC659" s="647">
        <v>0</v>
      </c>
      <c r="BD659" s="637"/>
      <c r="BE659" s="637"/>
      <c r="BF659" s="637"/>
      <c r="BG659" s="637"/>
      <c r="BH659" s="637"/>
      <c r="BI659" s="637"/>
      <c r="BJ659" s="637"/>
      <c r="BK659" s="637"/>
      <c r="BL659" s="637"/>
      <c r="BM659" s="637"/>
      <c r="BN659" s="637"/>
      <c r="BO659" s="637"/>
      <c r="BP659" s="637"/>
      <c r="BQ659" s="637"/>
      <c r="BR659" s="638"/>
      <c r="BS659" s="644">
        <v>0</v>
      </c>
      <c r="BT659" s="645"/>
      <c r="BU659" s="645"/>
      <c r="BV659" s="645"/>
      <c r="BW659" s="645"/>
      <c r="BX659" s="645"/>
      <c r="BY659" s="645"/>
      <c r="BZ659" s="645"/>
      <c r="CA659" s="645"/>
      <c r="CB659" s="645"/>
      <c r="CC659" s="645"/>
      <c r="CD659" s="645"/>
      <c r="CE659" s="645"/>
      <c r="CF659" s="645"/>
      <c r="CG659" s="645"/>
      <c r="CH659" s="646"/>
      <c r="CI659" s="636">
        <f>BC659*BS659</f>
        <v>0</v>
      </c>
      <c r="CJ659" s="654"/>
      <c r="CK659" s="654"/>
      <c r="CL659" s="654"/>
      <c r="CM659" s="654"/>
      <c r="CN659" s="654"/>
      <c r="CO659" s="654"/>
      <c r="CP659" s="654"/>
      <c r="CQ659" s="654"/>
      <c r="CR659" s="654"/>
      <c r="CS659" s="654"/>
      <c r="CT659" s="654"/>
      <c r="CU659" s="654"/>
      <c r="CV659" s="654"/>
      <c r="CW659" s="654"/>
      <c r="CX659" s="654"/>
      <c r="CY659" s="654"/>
      <c r="CZ659" s="655"/>
      <c r="DA659" s="214"/>
    </row>
    <row r="660" spans="1:105" s="16" customFormat="1" ht="15" hidden="1" customHeight="1" x14ac:dyDescent="0.3">
      <c r="A660" s="630"/>
      <c r="B660" s="631"/>
      <c r="C660" s="631"/>
      <c r="D660" s="631"/>
      <c r="E660" s="631"/>
      <c r="F660" s="631"/>
      <c r="G660" s="632"/>
      <c r="H660" s="651"/>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52"/>
      <c r="AL660" s="652"/>
      <c r="AM660" s="652"/>
      <c r="AN660" s="652"/>
      <c r="AO660" s="652"/>
      <c r="AP660" s="652"/>
      <c r="AQ660" s="652"/>
      <c r="AR660" s="652"/>
      <c r="AS660" s="652"/>
      <c r="AT660" s="653"/>
      <c r="AU660" s="475"/>
      <c r="AV660" s="476"/>
      <c r="AW660" s="476"/>
      <c r="AX660" s="476"/>
      <c r="AY660" s="476"/>
      <c r="AZ660" s="476"/>
      <c r="BA660" s="476"/>
      <c r="BB660" s="477"/>
      <c r="BC660" s="544"/>
      <c r="BD660" s="545"/>
      <c r="BE660" s="545"/>
      <c r="BF660" s="545"/>
      <c r="BG660" s="545"/>
      <c r="BH660" s="545"/>
      <c r="BI660" s="545"/>
      <c r="BJ660" s="545"/>
      <c r="BK660" s="545"/>
      <c r="BL660" s="545"/>
      <c r="BM660" s="545"/>
      <c r="BN660" s="545"/>
      <c r="BO660" s="545"/>
      <c r="BP660" s="545"/>
      <c r="BQ660" s="545"/>
      <c r="BR660" s="546"/>
      <c r="BS660" s="639"/>
      <c r="BT660" s="640"/>
      <c r="BU660" s="640"/>
      <c r="BV660" s="640"/>
      <c r="BW660" s="640"/>
      <c r="BX660" s="640"/>
      <c r="BY660" s="640"/>
      <c r="BZ660" s="640"/>
      <c r="CA660" s="640"/>
      <c r="CB660" s="640"/>
      <c r="CC660" s="640"/>
      <c r="CD660" s="640"/>
      <c r="CE660" s="640"/>
      <c r="CF660" s="640"/>
      <c r="CG660" s="640"/>
      <c r="CH660" s="641"/>
      <c r="CI660" s="627"/>
      <c r="CJ660" s="628"/>
      <c r="CK660" s="628"/>
      <c r="CL660" s="628"/>
      <c r="CM660" s="628"/>
      <c r="CN660" s="628"/>
      <c r="CO660" s="628"/>
      <c r="CP660" s="628"/>
      <c r="CQ660" s="628"/>
      <c r="CR660" s="628"/>
      <c r="CS660" s="628"/>
      <c r="CT660" s="628"/>
      <c r="CU660" s="628"/>
      <c r="CV660" s="628"/>
      <c r="CW660" s="628"/>
      <c r="CX660" s="628"/>
      <c r="CY660" s="628"/>
      <c r="CZ660" s="629"/>
      <c r="DA660" s="214"/>
    </row>
    <row r="661" spans="1:105" s="16" customFormat="1" ht="15" hidden="1" customHeight="1" x14ac:dyDescent="0.3">
      <c r="A661" s="630"/>
      <c r="B661" s="631"/>
      <c r="C661" s="631"/>
      <c r="D661" s="631"/>
      <c r="E661" s="631"/>
      <c r="F661" s="631"/>
      <c r="G661" s="632"/>
      <c r="H661" s="651" t="s">
        <v>691</v>
      </c>
      <c r="I661" s="652"/>
      <c r="J661" s="652"/>
      <c r="K661" s="652"/>
      <c r="L661" s="652"/>
      <c r="M661" s="652"/>
      <c r="N661" s="652"/>
      <c r="O661" s="652"/>
      <c r="P661" s="652"/>
      <c r="Q661" s="652"/>
      <c r="R661" s="652"/>
      <c r="S661" s="652"/>
      <c r="T661" s="652"/>
      <c r="U661" s="652"/>
      <c r="V661" s="652"/>
      <c r="W661" s="652"/>
      <c r="X661" s="652"/>
      <c r="Y661" s="652"/>
      <c r="Z661" s="652"/>
      <c r="AA661" s="652"/>
      <c r="AB661" s="652"/>
      <c r="AC661" s="652"/>
      <c r="AD661" s="652"/>
      <c r="AE661" s="652"/>
      <c r="AF661" s="652"/>
      <c r="AG661" s="652"/>
      <c r="AH661" s="652"/>
      <c r="AI661" s="652"/>
      <c r="AJ661" s="652"/>
      <c r="AK661" s="652"/>
      <c r="AL661" s="652"/>
      <c r="AM661" s="652"/>
      <c r="AN661" s="652"/>
      <c r="AO661" s="652"/>
      <c r="AP661" s="652"/>
      <c r="AQ661" s="652"/>
      <c r="AR661" s="652"/>
      <c r="AS661" s="652"/>
      <c r="AT661" s="653"/>
      <c r="AU661" s="475"/>
      <c r="AV661" s="476"/>
      <c r="AW661" s="476"/>
      <c r="AX661" s="476"/>
      <c r="AY661" s="476"/>
      <c r="AZ661" s="476"/>
      <c r="BA661" s="476"/>
      <c r="BB661" s="477"/>
      <c r="BC661" s="647">
        <f>BC662+BC663+BC664+BC665+BC666+BC667+BC668+BC669+BC670+BC671+BC672+BC673+BC674+BC675+BC676+BC677+BC678</f>
        <v>0</v>
      </c>
      <c r="BD661" s="637"/>
      <c r="BE661" s="637"/>
      <c r="BF661" s="637"/>
      <c r="BG661" s="637"/>
      <c r="BH661" s="637"/>
      <c r="BI661" s="637"/>
      <c r="BJ661" s="637"/>
      <c r="BK661" s="637"/>
      <c r="BL661" s="637"/>
      <c r="BM661" s="637"/>
      <c r="BN661" s="637"/>
      <c r="BO661" s="637"/>
      <c r="BP661" s="637"/>
      <c r="BQ661" s="637"/>
      <c r="BR661" s="638"/>
      <c r="BS661" s="644">
        <v>0</v>
      </c>
      <c r="BT661" s="645"/>
      <c r="BU661" s="645"/>
      <c r="BV661" s="645"/>
      <c r="BW661" s="645"/>
      <c r="BX661" s="645"/>
      <c r="BY661" s="645"/>
      <c r="BZ661" s="645"/>
      <c r="CA661" s="645"/>
      <c r="CB661" s="645"/>
      <c r="CC661" s="645"/>
      <c r="CD661" s="645"/>
      <c r="CE661" s="645"/>
      <c r="CF661" s="645"/>
      <c r="CG661" s="645"/>
      <c r="CH661" s="646"/>
      <c r="CI661" s="636">
        <f>CI662+CI663+CI664+CI665+CI666+CI667+CI668+CI669+CI670+CI671+CI672+CI673+CI674+CI675+CI676+CI677+CI678</f>
        <v>0</v>
      </c>
      <c r="CJ661" s="654"/>
      <c r="CK661" s="654"/>
      <c r="CL661" s="654"/>
      <c r="CM661" s="654"/>
      <c r="CN661" s="654"/>
      <c r="CO661" s="654"/>
      <c r="CP661" s="654"/>
      <c r="CQ661" s="654"/>
      <c r="CR661" s="654"/>
      <c r="CS661" s="654"/>
      <c r="CT661" s="654"/>
      <c r="CU661" s="654"/>
      <c r="CV661" s="654"/>
      <c r="CW661" s="654"/>
      <c r="CX661" s="654"/>
      <c r="CY661" s="654"/>
      <c r="CZ661" s="655"/>
      <c r="DA661" s="214"/>
    </row>
    <row r="662" spans="1:105" s="16" customFormat="1" ht="15" hidden="1" customHeight="1" x14ac:dyDescent="0.3">
      <c r="A662" s="630" t="s">
        <v>441</v>
      </c>
      <c r="B662" s="631"/>
      <c r="C662" s="631"/>
      <c r="D662" s="631"/>
      <c r="E662" s="631"/>
      <c r="F662" s="631"/>
      <c r="G662" s="632"/>
      <c r="H662" s="584" t="s">
        <v>692</v>
      </c>
      <c r="I662" s="585"/>
      <c r="J662" s="585"/>
      <c r="K662" s="585"/>
      <c r="L662" s="585"/>
      <c r="M662" s="585"/>
      <c r="N662" s="585"/>
      <c r="O662" s="585"/>
      <c r="P662" s="585"/>
      <c r="Q662" s="585"/>
      <c r="R662" s="585"/>
      <c r="S662" s="585"/>
      <c r="T662" s="585"/>
      <c r="U662" s="585"/>
      <c r="V662" s="585"/>
      <c r="W662" s="585"/>
      <c r="X662" s="585"/>
      <c r="Y662" s="585"/>
      <c r="Z662" s="585"/>
      <c r="AA662" s="585"/>
      <c r="AB662" s="585"/>
      <c r="AC662" s="585"/>
      <c r="AD662" s="585"/>
      <c r="AE662" s="585"/>
      <c r="AF662" s="585"/>
      <c r="AG662" s="585"/>
      <c r="AH662" s="585"/>
      <c r="AI662" s="585"/>
      <c r="AJ662" s="585"/>
      <c r="AK662" s="585"/>
      <c r="AL662" s="585"/>
      <c r="AM662" s="585"/>
      <c r="AN662" s="585"/>
      <c r="AO662" s="585"/>
      <c r="AP662" s="585"/>
      <c r="AQ662" s="585"/>
      <c r="AR662" s="585"/>
      <c r="AS662" s="585"/>
      <c r="AT662" s="586"/>
      <c r="AU662" s="475" t="s">
        <v>459</v>
      </c>
      <c r="AV662" s="476"/>
      <c r="AW662" s="476"/>
      <c r="AX662" s="476"/>
      <c r="AY662" s="476"/>
      <c r="AZ662" s="476"/>
      <c r="BA662" s="476"/>
      <c r="BB662" s="477"/>
      <c r="BC662" s="544"/>
      <c r="BD662" s="545"/>
      <c r="BE662" s="545"/>
      <c r="BF662" s="545"/>
      <c r="BG662" s="545"/>
      <c r="BH662" s="545"/>
      <c r="BI662" s="545"/>
      <c r="BJ662" s="545"/>
      <c r="BK662" s="545"/>
      <c r="BL662" s="545"/>
      <c r="BM662" s="545"/>
      <c r="BN662" s="545"/>
      <c r="BO662" s="545"/>
      <c r="BP662" s="545"/>
      <c r="BQ662" s="545"/>
      <c r="BR662" s="546"/>
      <c r="BS662" s="639"/>
      <c r="BT662" s="640"/>
      <c r="BU662" s="640"/>
      <c r="BV662" s="640"/>
      <c r="BW662" s="640"/>
      <c r="BX662" s="640"/>
      <c r="BY662" s="640"/>
      <c r="BZ662" s="640"/>
      <c r="CA662" s="640"/>
      <c r="CB662" s="640"/>
      <c r="CC662" s="640"/>
      <c r="CD662" s="640"/>
      <c r="CE662" s="640"/>
      <c r="CF662" s="640"/>
      <c r="CG662" s="640"/>
      <c r="CH662" s="641"/>
      <c r="CI662" s="627"/>
      <c r="CJ662" s="628"/>
      <c r="CK662" s="628"/>
      <c r="CL662" s="628"/>
      <c r="CM662" s="628"/>
      <c r="CN662" s="628"/>
      <c r="CO662" s="628"/>
      <c r="CP662" s="628"/>
      <c r="CQ662" s="628"/>
      <c r="CR662" s="628"/>
      <c r="CS662" s="628"/>
      <c r="CT662" s="628"/>
      <c r="CU662" s="628"/>
      <c r="CV662" s="628"/>
      <c r="CW662" s="628"/>
      <c r="CX662" s="628"/>
      <c r="CY662" s="628"/>
      <c r="CZ662" s="629"/>
      <c r="DA662" s="214"/>
    </row>
    <row r="663" spans="1:105" s="16" customFormat="1" ht="15" hidden="1" customHeight="1" x14ac:dyDescent="0.3">
      <c r="A663" s="630" t="s">
        <v>444</v>
      </c>
      <c r="B663" s="631"/>
      <c r="C663" s="631"/>
      <c r="D663" s="631"/>
      <c r="E663" s="631"/>
      <c r="F663" s="631"/>
      <c r="G663" s="632"/>
      <c r="H663" s="584" t="s">
        <v>693</v>
      </c>
      <c r="I663" s="585"/>
      <c r="J663" s="585"/>
      <c r="K663" s="585"/>
      <c r="L663" s="585"/>
      <c r="M663" s="585"/>
      <c r="N663" s="585"/>
      <c r="O663" s="585"/>
      <c r="P663" s="585"/>
      <c r="Q663" s="585"/>
      <c r="R663" s="585"/>
      <c r="S663" s="585"/>
      <c r="T663" s="585"/>
      <c r="U663" s="585"/>
      <c r="V663" s="585"/>
      <c r="W663" s="585"/>
      <c r="X663" s="585"/>
      <c r="Y663" s="585"/>
      <c r="Z663" s="585"/>
      <c r="AA663" s="585"/>
      <c r="AB663" s="585"/>
      <c r="AC663" s="585"/>
      <c r="AD663" s="585"/>
      <c r="AE663" s="585"/>
      <c r="AF663" s="585"/>
      <c r="AG663" s="585"/>
      <c r="AH663" s="585"/>
      <c r="AI663" s="585"/>
      <c r="AJ663" s="585"/>
      <c r="AK663" s="585"/>
      <c r="AL663" s="585"/>
      <c r="AM663" s="585"/>
      <c r="AN663" s="585"/>
      <c r="AO663" s="585"/>
      <c r="AP663" s="585"/>
      <c r="AQ663" s="585"/>
      <c r="AR663" s="585"/>
      <c r="AS663" s="585"/>
      <c r="AT663" s="586"/>
      <c r="AU663" s="475" t="s">
        <v>459</v>
      </c>
      <c r="AV663" s="476"/>
      <c r="AW663" s="476"/>
      <c r="AX663" s="476"/>
      <c r="AY663" s="476"/>
      <c r="AZ663" s="476"/>
      <c r="BA663" s="476"/>
      <c r="BB663" s="477"/>
      <c r="BC663" s="544"/>
      <c r="BD663" s="545"/>
      <c r="BE663" s="545"/>
      <c r="BF663" s="545"/>
      <c r="BG663" s="545"/>
      <c r="BH663" s="545"/>
      <c r="BI663" s="545"/>
      <c r="BJ663" s="545"/>
      <c r="BK663" s="545"/>
      <c r="BL663" s="545"/>
      <c r="BM663" s="545"/>
      <c r="BN663" s="545"/>
      <c r="BO663" s="545"/>
      <c r="BP663" s="545"/>
      <c r="BQ663" s="545"/>
      <c r="BR663" s="546"/>
      <c r="BS663" s="639"/>
      <c r="BT663" s="640"/>
      <c r="BU663" s="640"/>
      <c r="BV663" s="640"/>
      <c r="BW663" s="640"/>
      <c r="BX663" s="640"/>
      <c r="BY663" s="640"/>
      <c r="BZ663" s="640"/>
      <c r="CA663" s="640"/>
      <c r="CB663" s="640"/>
      <c r="CC663" s="640"/>
      <c r="CD663" s="640"/>
      <c r="CE663" s="640"/>
      <c r="CF663" s="640"/>
      <c r="CG663" s="640"/>
      <c r="CH663" s="641"/>
      <c r="CI663" s="627"/>
      <c r="CJ663" s="628"/>
      <c r="CK663" s="628"/>
      <c r="CL663" s="628"/>
      <c r="CM663" s="628"/>
      <c r="CN663" s="628"/>
      <c r="CO663" s="628"/>
      <c r="CP663" s="628"/>
      <c r="CQ663" s="628"/>
      <c r="CR663" s="628"/>
      <c r="CS663" s="628"/>
      <c r="CT663" s="628"/>
      <c r="CU663" s="628"/>
      <c r="CV663" s="628"/>
      <c r="CW663" s="628"/>
      <c r="CX663" s="628"/>
      <c r="CY663" s="628"/>
      <c r="CZ663" s="629"/>
      <c r="DA663" s="214"/>
    </row>
    <row r="664" spans="1:105" s="16" customFormat="1" ht="15" hidden="1" customHeight="1" x14ac:dyDescent="0.3">
      <c r="A664" s="630" t="s">
        <v>446</v>
      </c>
      <c r="B664" s="631"/>
      <c r="C664" s="631"/>
      <c r="D664" s="631"/>
      <c r="E664" s="631"/>
      <c r="F664" s="631"/>
      <c r="G664" s="632"/>
      <c r="H664" s="584" t="s">
        <v>694</v>
      </c>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5"/>
      <c r="AL664" s="585"/>
      <c r="AM664" s="585"/>
      <c r="AN664" s="585"/>
      <c r="AO664" s="585"/>
      <c r="AP664" s="585"/>
      <c r="AQ664" s="585"/>
      <c r="AR664" s="585"/>
      <c r="AS664" s="585"/>
      <c r="AT664" s="586"/>
      <c r="AU664" s="475" t="s">
        <v>459</v>
      </c>
      <c r="AV664" s="476"/>
      <c r="AW664" s="476"/>
      <c r="AX664" s="476"/>
      <c r="AY664" s="476"/>
      <c r="AZ664" s="476"/>
      <c r="BA664" s="476"/>
      <c r="BB664" s="477"/>
      <c r="BC664" s="544"/>
      <c r="BD664" s="545"/>
      <c r="BE664" s="545"/>
      <c r="BF664" s="545"/>
      <c r="BG664" s="545"/>
      <c r="BH664" s="545"/>
      <c r="BI664" s="545"/>
      <c r="BJ664" s="545"/>
      <c r="BK664" s="545"/>
      <c r="BL664" s="545"/>
      <c r="BM664" s="545"/>
      <c r="BN664" s="545"/>
      <c r="BO664" s="545"/>
      <c r="BP664" s="545"/>
      <c r="BQ664" s="545"/>
      <c r="BR664" s="546"/>
      <c r="BS664" s="639"/>
      <c r="BT664" s="640"/>
      <c r="BU664" s="640"/>
      <c r="BV664" s="640"/>
      <c r="BW664" s="640"/>
      <c r="BX664" s="640"/>
      <c r="BY664" s="640"/>
      <c r="BZ664" s="640"/>
      <c r="CA664" s="640"/>
      <c r="CB664" s="640"/>
      <c r="CC664" s="640"/>
      <c r="CD664" s="640"/>
      <c r="CE664" s="640"/>
      <c r="CF664" s="640"/>
      <c r="CG664" s="640"/>
      <c r="CH664" s="641"/>
      <c r="CI664" s="627"/>
      <c r="CJ664" s="628"/>
      <c r="CK664" s="628"/>
      <c r="CL664" s="628"/>
      <c r="CM664" s="628"/>
      <c r="CN664" s="628"/>
      <c r="CO664" s="628"/>
      <c r="CP664" s="628"/>
      <c r="CQ664" s="628"/>
      <c r="CR664" s="628"/>
      <c r="CS664" s="628"/>
      <c r="CT664" s="628"/>
      <c r="CU664" s="628"/>
      <c r="CV664" s="628"/>
      <c r="CW664" s="628"/>
      <c r="CX664" s="628"/>
      <c r="CY664" s="628"/>
      <c r="CZ664" s="629"/>
      <c r="DA664" s="214"/>
    </row>
    <row r="665" spans="1:105" s="16" customFormat="1" ht="15" hidden="1" customHeight="1" x14ac:dyDescent="0.3">
      <c r="A665" s="630" t="s">
        <v>551</v>
      </c>
      <c r="B665" s="631"/>
      <c r="C665" s="631"/>
      <c r="D665" s="631"/>
      <c r="E665" s="631"/>
      <c r="F665" s="631"/>
      <c r="G665" s="632"/>
      <c r="H665" s="584" t="s">
        <v>695</v>
      </c>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5"/>
      <c r="AL665" s="585"/>
      <c r="AM665" s="585"/>
      <c r="AN665" s="585"/>
      <c r="AO665" s="585"/>
      <c r="AP665" s="585"/>
      <c r="AQ665" s="585"/>
      <c r="AR665" s="585"/>
      <c r="AS665" s="585"/>
      <c r="AT665" s="586"/>
      <c r="AU665" s="475" t="s">
        <v>459</v>
      </c>
      <c r="AV665" s="476"/>
      <c r="AW665" s="476"/>
      <c r="AX665" s="476"/>
      <c r="AY665" s="476"/>
      <c r="AZ665" s="476"/>
      <c r="BA665" s="476"/>
      <c r="BB665" s="477"/>
      <c r="BC665" s="544"/>
      <c r="BD665" s="545"/>
      <c r="BE665" s="545"/>
      <c r="BF665" s="545"/>
      <c r="BG665" s="545"/>
      <c r="BH665" s="545"/>
      <c r="BI665" s="545"/>
      <c r="BJ665" s="545"/>
      <c r="BK665" s="545"/>
      <c r="BL665" s="545"/>
      <c r="BM665" s="545"/>
      <c r="BN665" s="545"/>
      <c r="BO665" s="545"/>
      <c r="BP665" s="545"/>
      <c r="BQ665" s="545"/>
      <c r="BR665" s="546"/>
      <c r="BS665" s="639"/>
      <c r="BT665" s="640"/>
      <c r="BU665" s="640"/>
      <c r="BV665" s="640"/>
      <c r="BW665" s="640"/>
      <c r="BX665" s="640"/>
      <c r="BY665" s="640"/>
      <c r="BZ665" s="640"/>
      <c r="CA665" s="640"/>
      <c r="CB665" s="640"/>
      <c r="CC665" s="640"/>
      <c r="CD665" s="640"/>
      <c r="CE665" s="640"/>
      <c r="CF665" s="640"/>
      <c r="CG665" s="640"/>
      <c r="CH665" s="641"/>
      <c r="CI665" s="627"/>
      <c r="CJ665" s="628"/>
      <c r="CK665" s="628"/>
      <c r="CL665" s="628"/>
      <c r="CM665" s="628"/>
      <c r="CN665" s="628"/>
      <c r="CO665" s="628"/>
      <c r="CP665" s="628"/>
      <c r="CQ665" s="628"/>
      <c r="CR665" s="628"/>
      <c r="CS665" s="628"/>
      <c r="CT665" s="628"/>
      <c r="CU665" s="628"/>
      <c r="CV665" s="628"/>
      <c r="CW665" s="628"/>
      <c r="CX665" s="628"/>
      <c r="CY665" s="628"/>
      <c r="CZ665" s="629"/>
      <c r="DA665" s="214"/>
    </row>
    <row r="666" spans="1:105" s="16" customFormat="1" ht="15" hidden="1" customHeight="1" x14ac:dyDescent="0.3">
      <c r="A666" s="630" t="s">
        <v>599</v>
      </c>
      <c r="B666" s="631"/>
      <c r="C666" s="631"/>
      <c r="D666" s="631"/>
      <c r="E666" s="631"/>
      <c r="F666" s="631"/>
      <c r="G666" s="632"/>
      <c r="H666" s="584" t="s">
        <v>696</v>
      </c>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5"/>
      <c r="AL666" s="585"/>
      <c r="AM666" s="585"/>
      <c r="AN666" s="585"/>
      <c r="AO666" s="585"/>
      <c r="AP666" s="585"/>
      <c r="AQ666" s="585"/>
      <c r="AR666" s="585"/>
      <c r="AS666" s="585"/>
      <c r="AT666" s="586"/>
      <c r="AU666" s="475" t="s">
        <v>697</v>
      </c>
      <c r="AV666" s="476"/>
      <c r="AW666" s="476"/>
      <c r="AX666" s="476"/>
      <c r="AY666" s="476"/>
      <c r="AZ666" s="476"/>
      <c r="BA666" s="476"/>
      <c r="BB666" s="477"/>
      <c r="BC666" s="544"/>
      <c r="BD666" s="545"/>
      <c r="BE666" s="545"/>
      <c r="BF666" s="545"/>
      <c r="BG666" s="545"/>
      <c r="BH666" s="545"/>
      <c r="BI666" s="545"/>
      <c r="BJ666" s="545"/>
      <c r="BK666" s="545"/>
      <c r="BL666" s="545"/>
      <c r="BM666" s="545"/>
      <c r="BN666" s="545"/>
      <c r="BO666" s="545"/>
      <c r="BP666" s="545"/>
      <c r="BQ666" s="545"/>
      <c r="BR666" s="546"/>
      <c r="BS666" s="639"/>
      <c r="BT666" s="640"/>
      <c r="BU666" s="640"/>
      <c r="BV666" s="640"/>
      <c r="BW666" s="640"/>
      <c r="BX666" s="640"/>
      <c r="BY666" s="640"/>
      <c r="BZ666" s="640"/>
      <c r="CA666" s="640"/>
      <c r="CB666" s="640"/>
      <c r="CC666" s="640"/>
      <c r="CD666" s="640"/>
      <c r="CE666" s="640"/>
      <c r="CF666" s="640"/>
      <c r="CG666" s="640"/>
      <c r="CH666" s="641"/>
      <c r="CI666" s="627"/>
      <c r="CJ666" s="628"/>
      <c r="CK666" s="628"/>
      <c r="CL666" s="628"/>
      <c r="CM666" s="628"/>
      <c r="CN666" s="628"/>
      <c r="CO666" s="628"/>
      <c r="CP666" s="628"/>
      <c r="CQ666" s="628"/>
      <c r="CR666" s="628"/>
      <c r="CS666" s="628"/>
      <c r="CT666" s="628"/>
      <c r="CU666" s="628"/>
      <c r="CV666" s="628"/>
      <c r="CW666" s="628"/>
      <c r="CX666" s="628"/>
      <c r="CY666" s="628"/>
      <c r="CZ666" s="629"/>
      <c r="DA666" s="214"/>
    </row>
    <row r="667" spans="1:105" s="16" customFormat="1" ht="15" hidden="1" customHeight="1" x14ac:dyDescent="0.3">
      <c r="A667" s="630" t="s">
        <v>642</v>
      </c>
      <c r="B667" s="631"/>
      <c r="C667" s="631"/>
      <c r="D667" s="631"/>
      <c r="E667" s="631"/>
      <c r="F667" s="631"/>
      <c r="G667" s="632"/>
      <c r="H667" s="584" t="s">
        <v>698</v>
      </c>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5"/>
      <c r="AL667" s="585"/>
      <c r="AM667" s="585"/>
      <c r="AN667" s="585"/>
      <c r="AO667" s="585"/>
      <c r="AP667" s="585"/>
      <c r="AQ667" s="585"/>
      <c r="AR667" s="585"/>
      <c r="AS667" s="585"/>
      <c r="AT667" s="586"/>
      <c r="AU667" s="475" t="s">
        <v>459</v>
      </c>
      <c r="AV667" s="476"/>
      <c r="AW667" s="476"/>
      <c r="AX667" s="476"/>
      <c r="AY667" s="476"/>
      <c r="AZ667" s="476"/>
      <c r="BA667" s="476"/>
      <c r="BB667" s="477"/>
      <c r="BC667" s="544"/>
      <c r="BD667" s="545"/>
      <c r="BE667" s="545"/>
      <c r="BF667" s="545"/>
      <c r="BG667" s="545"/>
      <c r="BH667" s="545"/>
      <c r="BI667" s="545"/>
      <c r="BJ667" s="545"/>
      <c r="BK667" s="545"/>
      <c r="BL667" s="545"/>
      <c r="BM667" s="545"/>
      <c r="BN667" s="545"/>
      <c r="BO667" s="545"/>
      <c r="BP667" s="545"/>
      <c r="BQ667" s="545"/>
      <c r="BR667" s="546"/>
      <c r="BS667" s="639"/>
      <c r="BT667" s="640"/>
      <c r="BU667" s="640"/>
      <c r="BV667" s="640"/>
      <c r="BW667" s="640"/>
      <c r="BX667" s="640"/>
      <c r="BY667" s="640"/>
      <c r="BZ667" s="640"/>
      <c r="CA667" s="640"/>
      <c r="CB667" s="640"/>
      <c r="CC667" s="640"/>
      <c r="CD667" s="640"/>
      <c r="CE667" s="640"/>
      <c r="CF667" s="640"/>
      <c r="CG667" s="640"/>
      <c r="CH667" s="641"/>
      <c r="CI667" s="627"/>
      <c r="CJ667" s="628"/>
      <c r="CK667" s="628"/>
      <c r="CL667" s="628"/>
      <c r="CM667" s="628"/>
      <c r="CN667" s="628"/>
      <c r="CO667" s="628"/>
      <c r="CP667" s="628"/>
      <c r="CQ667" s="628"/>
      <c r="CR667" s="628"/>
      <c r="CS667" s="628"/>
      <c r="CT667" s="628"/>
      <c r="CU667" s="628"/>
      <c r="CV667" s="628"/>
      <c r="CW667" s="628"/>
      <c r="CX667" s="628"/>
      <c r="CY667" s="628"/>
      <c r="CZ667" s="629"/>
      <c r="DA667" s="214"/>
    </row>
    <row r="668" spans="1:105" s="16" customFormat="1" ht="15" hidden="1" customHeight="1" x14ac:dyDescent="0.3">
      <c r="A668" s="630" t="s">
        <v>648</v>
      </c>
      <c r="B668" s="631"/>
      <c r="C668" s="631"/>
      <c r="D668" s="631"/>
      <c r="E668" s="631"/>
      <c r="F668" s="631"/>
      <c r="G668" s="632"/>
      <c r="H668" s="584" t="s">
        <v>699</v>
      </c>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5"/>
      <c r="AL668" s="585"/>
      <c r="AM668" s="585"/>
      <c r="AN668" s="585"/>
      <c r="AO668" s="585"/>
      <c r="AP668" s="585"/>
      <c r="AQ668" s="585"/>
      <c r="AR668" s="585"/>
      <c r="AS668" s="585"/>
      <c r="AT668" s="586"/>
      <c r="AU668" s="475" t="s">
        <v>459</v>
      </c>
      <c r="AV668" s="476"/>
      <c r="AW668" s="476"/>
      <c r="AX668" s="476"/>
      <c r="AY668" s="476"/>
      <c r="AZ668" s="476"/>
      <c r="BA668" s="476"/>
      <c r="BB668" s="477"/>
      <c r="BC668" s="544"/>
      <c r="BD668" s="545"/>
      <c r="BE668" s="545"/>
      <c r="BF668" s="545"/>
      <c r="BG668" s="545"/>
      <c r="BH668" s="545"/>
      <c r="BI668" s="545"/>
      <c r="BJ668" s="545"/>
      <c r="BK668" s="545"/>
      <c r="BL668" s="545"/>
      <c r="BM668" s="545"/>
      <c r="BN668" s="545"/>
      <c r="BO668" s="545"/>
      <c r="BP668" s="545"/>
      <c r="BQ668" s="545"/>
      <c r="BR668" s="546"/>
      <c r="BS668" s="639"/>
      <c r="BT668" s="640"/>
      <c r="BU668" s="640"/>
      <c r="BV668" s="640"/>
      <c r="BW668" s="640"/>
      <c r="BX668" s="640"/>
      <c r="BY668" s="640"/>
      <c r="BZ668" s="640"/>
      <c r="CA668" s="640"/>
      <c r="CB668" s="640"/>
      <c r="CC668" s="640"/>
      <c r="CD668" s="640"/>
      <c r="CE668" s="640"/>
      <c r="CF668" s="640"/>
      <c r="CG668" s="640"/>
      <c r="CH668" s="641"/>
      <c r="CI668" s="627"/>
      <c r="CJ668" s="628"/>
      <c r="CK668" s="628"/>
      <c r="CL668" s="628"/>
      <c r="CM668" s="628"/>
      <c r="CN668" s="628"/>
      <c r="CO668" s="628"/>
      <c r="CP668" s="628"/>
      <c r="CQ668" s="628"/>
      <c r="CR668" s="628"/>
      <c r="CS668" s="628"/>
      <c r="CT668" s="628"/>
      <c r="CU668" s="628"/>
      <c r="CV668" s="628"/>
      <c r="CW668" s="628"/>
      <c r="CX668" s="628"/>
      <c r="CY668" s="628"/>
      <c r="CZ668" s="629"/>
      <c r="DA668" s="214"/>
    </row>
    <row r="669" spans="1:105" s="16" customFormat="1" ht="15" hidden="1" customHeight="1" x14ac:dyDescent="0.3">
      <c r="A669" s="630" t="s">
        <v>650</v>
      </c>
      <c r="B669" s="631"/>
      <c r="C669" s="631"/>
      <c r="D669" s="631"/>
      <c r="E669" s="631"/>
      <c r="F669" s="631"/>
      <c r="G669" s="632"/>
      <c r="H669" s="584" t="s">
        <v>700</v>
      </c>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5"/>
      <c r="AL669" s="585"/>
      <c r="AM669" s="585"/>
      <c r="AN669" s="585"/>
      <c r="AO669" s="585"/>
      <c r="AP669" s="585"/>
      <c r="AQ669" s="585"/>
      <c r="AR669" s="585"/>
      <c r="AS669" s="585"/>
      <c r="AT669" s="586"/>
      <c r="AU669" s="475" t="s">
        <v>459</v>
      </c>
      <c r="AV669" s="476"/>
      <c r="AW669" s="476"/>
      <c r="AX669" s="476"/>
      <c r="AY669" s="476"/>
      <c r="AZ669" s="476"/>
      <c r="BA669" s="476"/>
      <c r="BB669" s="477"/>
      <c r="BC669" s="544"/>
      <c r="BD669" s="545"/>
      <c r="BE669" s="545"/>
      <c r="BF669" s="545"/>
      <c r="BG669" s="545"/>
      <c r="BH669" s="545"/>
      <c r="BI669" s="545"/>
      <c r="BJ669" s="545"/>
      <c r="BK669" s="545"/>
      <c r="BL669" s="545"/>
      <c r="BM669" s="545"/>
      <c r="BN669" s="545"/>
      <c r="BO669" s="545"/>
      <c r="BP669" s="545"/>
      <c r="BQ669" s="545"/>
      <c r="BR669" s="546"/>
      <c r="BS669" s="639"/>
      <c r="BT669" s="640"/>
      <c r="BU669" s="640"/>
      <c r="BV669" s="640"/>
      <c r="BW669" s="640"/>
      <c r="BX669" s="640"/>
      <c r="BY669" s="640"/>
      <c r="BZ669" s="640"/>
      <c r="CA669" s="640"/>
      <c r="CB669" s="640"/>
      <c r="CC669" s="640"/>
      <c r="CD669" s="640"/>
      <c r="CE669" s="640"/>
      <c r="CF669" s="640"/>
      <c r="CG669" s="640"/>
      <c r="CH669" s="641"/>
      <c r="CI669" s="627"/>
      <c r="CJ669" s="628"/>
      <c r="CK669" s="628"/>
      <c r="CL669" s="628"/>
      <c r="CM669" s="628"/>
      <c r="CN669" s="628"/>
      <c r="CO669" s="628"/>
      <c r="CP669" s="628"/>
      <c r="CQ669" s="628"/>
      <c r="CR669" s="628"/>
      <c r="CS669" s="628"/>
      <c r="CT669" s="628"/>
      <c r="CU669" s="628"/>
      <c r="CV669" s="628"/>
      <c r="CW669" s="628"/>
      <c r="CX669" s="628"/>
      <c r="CY669" s="628"/>
      <c r="CZ669" s="629"/>
      <c r="DA669" s="214"/>
    </row>
    <row r="670" spans="1:105" s="16" customFormat="1" ht="15" hidden="1" customHeight="1" x14ac:dyDescent="0.3">
      <c r="A670" s="630" t="s">
        <v>651</v>
      </c>
      <c r="B670" s="631"/>
      <c r="C670" s="631"/>
      <c r="D670" s="631"/>
      <c r="E670" s="631"/>
      <c r="F670" s="631"/>
      <c r="G670" s="632"/>
      <c r="H670" s="584" t="s">
        <v>701</v>
      </c>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5"/>
      <c r="AL670" s="585"/>
      <c r="AM670" s="585"/>
      <c r="AN670" s="585"/>
      <c r="AO670" s="585"/>
      <c r="AP670" s="585"/>
      <c r="AQ670" s="585"/>
      <c r="AR670" s="585"/>
      <c r="AS670" s="585"/>
      <c r="AT670" s="586"/>
      <c r="AU670" s="475" t="s">
        <v>459</v>
      </c>
      <c r="AV670" s="476"/>
      <c r="AW670" s="476"/>
      <c r="AX670" s="476"/>
      <c r="AY670" s="476"/>
      <c r="AZ670" s="476"/>
      <c r="BA670" s="476"/>
      <c r="BB670" s="477"/>
      <c r="BC670" s="544"/>
      <c r="BD670" s="545"/>
      <c r="BE670" s="545"/>
      <c r="BF670" s="545"/>
      <c r="BG670" s="545"/>
      <c r="BH670" s="545"/>
      <c r="BI670" s="545"/>
      <c r="BJ670" s="545"/>
      <c r="BK670" s="545"/>
      <c r="BL670" s="545"/>
      <c r="BM670" s="545"/>
      <c r="BN670" s="545"/>
      <c r="BO670" s="545"/>
      <c r="BP670" s="545"/>
      <c r="BQ670" s="545"/>
      <c r="BR670" s="546"/>
      <c r="BS670" s="639"/>
      <c r="BT670" s="640"/>
      <c r="BU670" s="640"/>
      <c r="BV670" s="640"/>
      <c r="BW670" s="640"/>
      <c r="BX670" s="640"/>
      <c r="BY670" s="640"/>
      <c r="BZ670" s="640"/>
      <c r="CA670" s="640"/>
      <c r="CB670" s="640"/>
      <c r="CC670" s="640"/>
      <c r="CD670" s="640"/>
      <c r="CE670" s="640"/>
      <c r="CF670" s="640"/>
      <c r="CG670" s="640"/>
      <c r="CH670" s="641"/>
      <c r="CI670" s="627"/>
      <c r="CJ670" s="628"/>
      <c r="CK670" s="628"/>
      <c r="CL670" s="628"/>
      <c r="CM670" s="628"/>
      <c r="CN670" s="628"/>
      <c r="CO670" s="628"/>
      <c r="CP670" s="628"/>
      <c r="CQ670" s="628"/>
      <c r="CR670" s="628"/>
      <c r="CS670" s="628"/>
      <c r="CT670" s="628"/>
      <c r="CU670" s="628"/>
      <c r="CV670" s="628"/>
      <c r="CW670" s="628"/>
      <c r="CX670" s="628"/>
      <c r="CY670" s="628"/>
      <c r="CZ670" s="629"/>
      <c r="DA670" s="214"/>
    </row>
    <row r="671" spans="1:105" s="16" customFormat="1" ht="15" hidden="1" customHeight="1" x14ac:dyDescent="0.3">
      <c r="A671" s="630" t="s">
        <v>653</v>
      </c>
      <c r="B671" s="631"/>
      <c r="C671" s="631"/>
      <c r="D671" s="631"/>
      <c r="E671" s="631"/>
      <c r="F671" s="631"/>
      <c r="G671" s="632"/>
      <c r="H671" s="584" t="s">
        <v>702</v>
      </c>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5"/>
      <c r="AL671" s="585"/>
      <c r="AM671" s="585"/>
      <c r="AN671" s="585"/>
      <c r="AO671" s="585"/>
      <c r="AP671" s="585"/>
      <c r="AQ671" s="585"/>
      <c r="AR671" s="585"/>
      <c r="AS671" s="585"/>
      <c r="AT671" s="586"/>
      <c r="AU671" s="475" t="s">
        <v>459</v>
      </c>
      <c r="AV671" s="476"/>
      <c r="AW671" s="476"/>
      <c r="AX671" s="476"/>
      <c r="AY671" s="476"/>
      <c r="AZ671" s="476"/>
      <c r="BA671" s="476"/>
      <c r="BB671" s="477"/>
      <c r="BC671" s="544"/>
      <c r="BD671" s="545"/>
      <c r="BE671" s="545"/>
      <c r="BF671" s="545"/>
      <c r="BG671" s="545"/>
      <c r="BH671" s="545"/>
      <c r="BI671" s="545"/>
      <c r="BJ671" s="545"/>
      <c r="BK671" s="545"/>
      <c r="BL671" s="545"/>
      <c r="BM671" s="545"/>
      <c r="BN671" s="545"/>
      <c r="BO671" s="545"/>
      <c r="BP671" s="545"/>
      <c r="BQ671" s="545"/>
      <c r="BR671" s="546"/>
      <c r="BS671" s="639"/>
      <c r="BT671" s="640"/>
      <c r="BU671" s="640"/>
      <c r="BV671" s="640"/>
      <c r="BW671" s="640"/>
      <c r="BX671" s="640"/>
      <c r="BY671" s="640"/>
      <c r="BZ671" s="640"/>
      <c r="CA671" s="640"/>
      <c r="CB671" s="640"/>
      <c r="CC671" s="640"/>
      <c r="CD671" s="640"/>
      <c r="CE671" s="640"/>
      <c r="CF671" s="640"/>
      <c r="CG671" s="640"/>
      <c r="CH671" s="641"/>
      <c r="CI671" s="627"/>
      <c r="CJ671" s="628"/>
      <c r="CK671" s="628"/>
      <c r="CL671" s="628"/>
      <c r="CM671" s="628"/>
      <c r="CN671" s="628"/>
      <c r="CO671" s="628"/>
      <c r="CP671" s="628"/>
      <c r="CQ671" s="628"/>
      <c r="CR671" s="628"/>
      <c r="CS671" s="628"/>
      <c r="CT671" s="628"/>
      <c r="CU671" s="628"/>
      <c r="CV671" s="628"/>
      <c r="CW671" s="628"/>
      <c r="CX671" s="628"/>
      <c r="CY671" s="628"/>
      <c r="CZ671" s="629"/>
      <c r="DA671" s="214"/>
    </row>
    <row r="672" spans="1:105" s="16" customFormat="1" ht="15" hidden="1" customHeight="1" x14ac:dyDescent="0.3">
      <c r="A672" s="630" t="s">
        <v>654</v>
      </c>
      <c r="B672" s="631"/>
      <c r="C672" s="631"/>
      <c r="D672" s="631"/>
      <c r="E672" s="631"/>
      <c r="F672" s="631"/>
      <c r="G672" s="632"/>
      <c r="H672" s="584" t="s">
        <v>703</v>
      </c>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5"/>
      <c r="AL672" s="585"/>
      <c r="AM672" s="585"/>
      <c r="AN672" s="585"/>
      <c r="AO672" s="585"/>
      <c r="AP672" s="585"/>
      <c r="AQ672" s="585"/>
      <c r="AR672" s="585"/>
      <c r="AS672" s="585"/>
      <c r="AT672" s="586"/>
      <c r="AU672" s="475" t="s">
        <v>697</v>
      </c>
      <c r="AV672" s="476"/>
      <c r="AW672" s="476"/>
      <c r="AX672" s="476"/>
      <c r="AY672" s="476"/>
      <c r="AZ672" s="476"/>
      <c r="BA672" s="476"/>
      <c r="BB672" s="477"/>
      <c r="BC672" s="544"/>
      <c r="BD672" s="545"/>
      <c r="BE672" s="545"/>
      <c r="BF672" s="545"/>
      <c r="BG672" s="545"/>
      <c r="BH672" s="545"/>
      <c r="BI672" s="545"/>
      <c r="BJ672" s="545"/>
      <c r="BK672" s="545"/>
      <c r="BL672" s="545"/>
      <c r="BM672" s="545"/>
      <c r="BN672" s="545"/>
      <c r="BO672" s="545"/>
      <c r="BP672" s="545"/>
      <c r="BQ672" s="545"/>
      <c r="BR672" s="546"/>
      <c r="BS672" s="639"/>
      <c r="BT672" s="640"/>
      <c r="BU672" s="640"/>
      <c r="BV672" s="640"/>
      <c r="BW672" s="640"/>
      <c r="BX672" s="640"/>
      <c r="BY672" s="640"/>
      <c r="BZ672" s="640"/>
      <c r="CA672" s="640"/>
      <c r="CB672" s="640"/>
      <c r="CC672" s="640"/>
      <c r="CD672" s="640"/>
      <c r="CE672" s="640"/>
      <c r="CF672" s="640"/>
      <c r="CG672" s="640"/>
      <c r="CH672" s="641"/>
      <c r="CI672" s="627"/>
      <c r="CJ672" s="628"/>
      <c r="CK672" s="628"/>
      <c r="CL672" s="628"/>
      <c r="CM672" s="628"/>
      <c r="CN672" s="628"/>
      <c r="CO672" s="628"/>
      <c r="CP672" s="628"/>
      <c r="CQ672" s="628"/>
      <c r="CR672" s="628"/>
      <c r="CS672" s="628"/>
      <c r="CT672" s="628"/>
      <c r="CU672" s="628"/>
      <c r="CV672" s="628"/>
      <c r="CW672" s="628"/>
      <c r="CX672" s="628"/>
      <c r="CY672" s="628"/>
      <c r="CZ672" s="629"/>
      <c r="DA672" s="214"/>
    </row>
    <row r="673" spans="1:105" s="16" customFormat="1" ht="15" hidden="1" customHeight="1" x14ac:dyDescent="0.3">
      <c r="A673" s="630" t="s">
        <v>655</v>
      </c>
      <c r="B673" s="631"/>
      <c r="C673" s="631"/>
      <c r="D673" s="631"/>
      <c r="E673" s="631"/>
      <c r="F673" s="631"/>
      <c r="G673" s="632"/>
      <c r="H673" s="584" t="s">
        <v>704</v>
      </c>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5"/>
      <c r="AL673" s="585"/>
      <c r="AM673" s="585"/>
      <c r="AN673" s="585"/>
      <c r="AO673" s="585"/>
      <c r="AP673" s="585"/>
      <c r="AQ673" s="585"/>
      <c r="AR673" s="585"/>
      <c r="AS673" s="585"/>
      <c r="AT673" s="586"/>
      <c r="AU673" s="475" t="s">
        <v>459</v>
      </c>
      <c r="AV673" s="476"/>
      <c r="AW673" s="476"/>
      <c r="AX673" s="476"/>
      <c r="AY673" s="476"/>
      <c r="AZ673" s="476"/>
      <c r="BA673" s="476"/>
      <c r="BB673" s="477"/>
      <c r="BC673" s="544"/>
      <c r="BD673" s="545"/>
      <c r="BE673" s="545"/>
      <c r="BF673" s="545"/>
      <c r="BG673" s="545"/>
      <c r="BH673" s="545"/>
      <c r="BI673" s="545"/>
      <c r="BJ673" s="545"/>
      <c r="BK673" s="545"/>
      <c r="BL673" s="545"/>
      <c r="BM673" s="545"/>
      <c r="BN673" s="545"/>
      <c r="BO673" s="545"/>
      <c r="BP673" s="545"/>
      <c r="BQ673" s="545"/>
      <c r="BR673" s="546"/>
      <c r="BS673" s="681"/>
      <c r="BT673" s="681"/>
      <c r="BU673" s="681"/>
      <c r="BV673" s="681"/>
      <c r="BW673" s="681"/>
      <c r="BX673" s="681"/>
      <c r="BY673" s="681"/>
      <c r="BZ673" s="681"/>
      <c r="CA673" s="681"/>
      <c r="CB673" s="681"/>
      <c r="CC673" s="681"/>
      <c r="CD673" s="681"/>
      <c r="CE673" s="681"/>
      <c r="CF673" s="681"/>
      <c r="CG673" s="681"/>
      <c r="CH673" s="681"/>
      <c r="CI673" s="627"/>
      <c r="CJ673" s="628"/>
      <c r="CK673" s="628"/>
      <c r="CL673" s="628"/>
      <c r="CM673" s="628"/>
      <c r="CN673" s="628"/>
      <c r="CO673" s="628"/>
      <c r="CP673" s="628"/>
      <c r="CQ673" s="628"/>
      <c r="CR673" s="628"/>
      <c r="CS673" s="628"/>
      <c r="CT673" s="628"/>
      <c r="CU673" s="628"/>
      <c r="CV673" s="628"/>
      <c r="CW673" s="628"/>
      <c r="CX673" s="628"/>
      <c r="CY673" s="628"/>
      <c r="CZ673" s="629"/>
      <c r="DA673" s="214"/>
    </row>
    <row r="674" spans="1:105" s="16" customFormat="1" ht="15" hidden="1" customHeight="1" x14ac:dyDescent="0.3">
      <c r="A674" s="630" t="s">
        <v>656</v>
      </c>
      <c r="B674" s="631"/>
      <c r="C674" s="631"/>
      <c r="D674" s="631"/>
      <c r="E674" s="631"/>
      <c r="F674" s="631"/>
      <c r="G674" s="632"/>
      <c r="H674" s="584" t="s">
        <v>705</v>
      </c>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5"/>
      <c r="AL674" s="585"/>
      <c r="AM674" s="585"/>
      <c r="AN674" s="585"/>
      <c r="AO674" s="585"/>
      <c r="AP674" s="585"/>
      <c r="AQ674" s="585"/>
      <c r="AR674" s="585"/>
      <c r="AS674" s="585"/>
      <c r="AT674" s="586"/>
      <c r="AU674" s="475" t="s">
        <v>459</v>
      </c>
      <c r="AV674" s="476"/>
      <c r="AW674" s="476"/>
      <c r="AX674" s="476"/>
      <c r="AY674" s="476"/>
      <c r="AZ674" s="476"/>
      <c r="BA674" s="476"/>
      <c r="BB674" s="477"/>
      <c r="BC674" s="544"/>
      <c r="BD674" s="545"/>
      <c r="BE674" s="545"/>
      <c r="BF674" s="545"/>
      <c r="BG674" s="545"/>
      <c r="BH674" s="545"/>
      <c r="BI674" s="545"/>
      <c r="BJ674" s="545"/>
      <c r="BK674" s="545"/>
      <c r="BL674" s="545"/>
      <c r="BM674" s="545"/>
      <c r="BN674" s="545"/>
      <c r="BO674" s="545"/>
      <c r="BP674" s="545"/>
      <c r="BQ674" s="545"/>
      <c r="BR674" s="546"/>
      <c r="BS674" s="681"/>
      <c r="BT674" s="681"/>
      <c r="BU674" s="681"/>
      <c r="BV674" s="681"/>
      <c r="BW674" s="681"/>
      <c r="BX674" s="681"/>
      <c r="BY674" s="681"/>
      <c r="BZ674" s="681"/>
      <c r="CA674" s="681"/>
      <c r="CB674" s="681"/>
      <c r="CC674" s="681"/>
      <c r="CD674" s="681"/>
      <c r="CE674" s="681"/>
      <c r="CF674" s="681"/>
      <c r="CG674" s="681"/>
      <c r="CH674" s="681"/>
      <c r="CI674" s="627"/>
      <c r="CJ674" s="628"/>
      <c r="CK674" s="628"/>
      <c r="CL674" s="628"/>
      <c r="CM674" s="628"/>
      <c r="CN674" s="628"/>
      <c r="CO674" s="628"/>
      <c r="CP674" s="628"/>
      <c r="CQ674" s="628"/>
      <c r="CR674" s="628"/>
      <c r="CS674" s="628"/>
      <c r="CT674" s="628"/>
      <c r="CU674" s="628"/>
      <c r="CV674" s="628"/>
      <c r="CW674" s="628"/>
      <c r="CX674" s="628"/>
      <c r="CY674" s="628"/>
      <c r="CZ674" s="629"/>
      <c r="DA674" s="214"/>
    </row>
    <row r="675" spans="1:105" s="16" customFormat="1" ht="22.5" hidden="1" customHeight="1" x14ac:dyDescent="0.3">
      <c r="A675" s="630" t="s">
        <v>657</v>
      </c>
      <c r="B675" s="631"/>
      <c r="C675" s="631"/>
      <c r="D675" s="631"/>
      <c r="E675" s="631"/>
      <c r="F675" s="631"/>
      <c r="G675" s="632"/>
      <c r="H675" s="584" t="s">
        <v>706</v>
      </c>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5"/>
      <c r="AL675" s="585"/>
      <c r="AM675" s="585"/>
      <c r="AN675" s="585"/>
      <c r="AO675" s="585"/>
      <c r="AP675" s="585"/>
      <c r="AQ675" s="585"/>
      <c r="AR675" s="585"/>
      <c r="AS675" s="585"/>
      <c r="AT675" s="586"/>
      <c r="AU675" s="475" t="s">
        <v>459</v>
      </c>
      <c r="AV675" s="476"/>
      <c r="AW675" s="476"/>
      <c r="AX675" s="476"/>
      <c r="AY675" s="476"/>
      <c r="AZ675" s="476"/>
      <c r="BA675" s="476"/>
      <c r="BB675" s="477"/>
      <c r="BC675" s="544"/>
      <c r="BD675" s="545"/>
      <c r="BE675" s="545"/>
      <c r="BF675" s="545"/>
      <c r="BG675" s="545"/>
      <c r="BH675" s="545"/>
      <c r="BI675" s="545"/>
      <c r="BJ675" s="545"/>
      <c r="BK675" s="545"/>
      <c r="BL675" s="545"/>
      <c r="BM675" s="545"/>
      <c r="BN675" s="545"/>
      <c r="BO675" s="545"/>
      <c r="BP675" s="545"/>
      <c r="BQ675" s="545"/>
      <c r="BR675" s="546"/>
      <c r="BS675" s="681"/>
      <c r="BT675" s="681"/>
      <c r="BU675" s="681"/>
      <c r="BV675" s="681"/>
      <c r="BW675" s="681"/>
      <c r="BX675" s="681"/>
      <c r="BY675" s="681"/>
      <c r="BZ675" s="681"/>
      <c r="CA675" s="681"/>
      <c r="CB675" s="681"/>
      <c r="CC675" s="681"/>
      <c r="CD675" s="681"/>
      <c r="CE675" s="681"/>
      <c r="CF675" s="681"/>
      <c r="CG675" s="681"/>
      <c r="CH675" s="681"/>
      <c r="CI675" s="627"/>
      <c r="CJ675" s="628"/>
      <c r="CK675" s="628"/>
      <c r="CL675" s="628"/>
      <c r="CM675" s="628"/>
      <c r="CN675" s="628"/>
      <c r="CO675" s="628"/>
      <c r="CP675" s="628"/>
      <c r="CQ675" s="628"/>
      <c r="CR675" s="628"/>
      <c r="CS675" s="628"/>
      <c r="CT675" s="628"/>
      <c r="CU675" s="628"/>
      <c r="CV675" s="628"/>
      <c r="CW675" s="628"/>
      <c r="CX675" s="628"/>
      <c r="CY675" s="628"/>
      <c r="CZ675" s="629"/>
      <c r="DA675" s="214"/>
    </row>
    <row r="676" spans="1:105" s="16" customFormat="1" ht="15" hidden="1" customHeight="1" x14ac:dyDescent="0.3">
      <c r="A676" s="630" t="s">
        <v>659</v>
      </c>
      <c r="B676" s="631"/>
      <c r="C676" s="631"/>
      <c r="D676" s="631"/>
      <c r="E676" s="631"/>
      <c r="F676" s="631"/>
      <c r="G676" s="632"/>
      <c r="H676" s="584" t="s">
        <v>707</v>
      </c>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5"/>
      <c r="AL676" s="585"/>
      <c r="AM676" s="585"/>
      <c r="AN676" s="585"/>
      <c r="AO676" s="585"/>
      <c r="AP676" s="585"/>
      <c r="AQ676" s="585"/>
      <c r="AR676" s="585"/>
      <c r="AS676" s="585"/>
      <c r="AT676" s="586"/>
      <c r="AU676" s="475" t="s">
        <v>690</v>
      </c>
      <c r="AV676" s="476"/>
      <c r="AW676" s="476"/>
      <c r="AX676" s="476"/>
      <c r="AY676" s="476"/>
      <c r="AZ676" s="476"/>
      <c r="BA676" s="476"/>
      <c r="BB676" s="477"/>
      <c r="BC676" s="544"/>
      <c r="BD676" s="545"/>
      <c r="BE676" s="545"/>
      <c r="BF676" s="545"/>
      <c r="BG676" s="545"/>
      <c r="BH676" s="545"/>
      <c r="BI676" s="545"/>
      <c r="BJ676" s="545"/>
      <c r="BK676" s="545"/>
      <c r="BL676" s="545"/>
      <c r="BM676" s="545"/>
      <c r="BN676" s="545"/>
      <c r="BO676" s="545"/>
      <c r="BP676" s="545"/>
      <c r="BQ676" s="545"/>
      <c r="BR676" s="546"/>
      <c r="BS676" s="681"/>
      <c r="BT676" s="681"/>
      <c r="BU676" s="681"/>
      <c r="BV676" s="681"/>
      <c r="BW676" s="681"/>
      <c r="BX676" s="681"/>
      <c r="BY676" s="681"/>
      <c r="BZ676" s="681"/>
      <c r="CA676" s="681"/>
      <c r="CB676" s="681"/>
      <c r="CC676" s="681"/>
      <c r="CD676" s="681"/>
      <c r="CE676" s="681"/>
      <c r="CF676" s="681"/>
      <c r="CG676" s="681"/>
      <c r="CH676" s="681"/>
      <c r="CI676" s="627"/>
      <c r="CJ676" s="628"/>
      <c r="CK676" s="628"/>
      <c r="CL676" s="628"/>
      <c r="CM676" s="628"/>
      <c r="CN676" s="628"/>
      <c r="CO676" s="628"/>
      <c r="CP676" s="628"/>
      <c r="CQ676" s="628"/>
      <c r="CR676" s="628"/>
      <c r="CS676" s="628"/>
      <c r="CT676" s="628"/>
      <c r="CU676" s="628"/>
      <c r="CV676" s="628"/>
      <c r="CW676" s="628"/>
      <c r="CX676" s="628"/>
      <c r="CY676" s="628"/>
      <c r="CZ676" s="629"/>
      <c r="DA676" s="214"/>
    </row>
    <row r="677" spans="1:105" s="16" customFormat="1" ht="15" hidden="1" customHeight="1" x14ac:dyDescent="0.3">
      <c r="A677" s="630" t="s">
        <v>664</v>
      </c>
      <c r="B677" s="631"/>
      <c r="C677" s="631"/>
      <c r="D677" s="631"/>
      <c r="E677" s="631"/>
      <c r="F677" s="631"/>
      <c r="G677" s="632"/>
      <c r="H677" s="584" t="s">
        <v>708</v>
      </c>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5"/>
      <c r="AL677" s="585"/>
      <c r="AM677" s="585"/>
      <c r="AN677" s="585"/>
      <c r="AO677" s="585"/>
      <c r="AP677" s="585"/>
      <c r="AQ677" s="585"/>
      <c r="AR677" s="585"/>
      <c r="AS677" s="585"/>
      <c r="AT677" s="586"/>
      <c r="AU677" s="475" t="s">
        <v>459</v>
      </c>
      <c r="AV677" s="476"/>
      <c r="AW677" s="476"/>
      <c r="AX677" s="476"/>
      <c r="AY677" s="476"/>
      <c r="AZ677" s="476"/>
      <c r="BA677" s="476"/>
      <c r="BB677" s="477"/>
      <c r="BC677" s="544"/>
      <c r="BD677" s="545"/>
      <c r="BE677" s="545"/>
      <c r="BF677" s="545"/>
      <c r="BG677" s="545"/>
      <c r="BH677" s="545"/>
      <c r="BI677" s="545"/>
      <c r="BJ677" s="545"/>
      <c r="BK677" s="545"/>
      <c r="BL677" s="545"/>
      <c r="BM677" s="545"/>
      <c r="BN677" s="545"/>
      <c r="BO677" s="545"/>
      <c r="BP677" s="545"/>
      <c r="BQ677" s="545"/>
      <c r="BR677" s="546"/>
      <c r="BS677" s="681"/>
      <c r="BT677" s="681"/>
      <c r="BU677" s="681"/>
      <c r="BV677" s="681"/>
      <c r="BW677" s="681"/>
      <c r="BX677" s="681"/>
      <c r="BY677" s="681"/>
      <c r="BZ677" s="681"/>
      <c r="CA677" s="681"/>
      <c r="CB677" s="681"/>
      <c r="CC677" s="681"/>
      <c r="CD677" s="681"/>
      <c r="CE677" s="681"/>
      <c r="CF677" s="681"/>
      <c r="CG677" s="681"/>
      <c r="CH677" s="681"/>
      <c r="CI677" s="627"/>
      <c r="CJ677" s="628"/>
      <c r="CK677" s="628"/>
      <c r="CL677" s="628"/>
      <c r="CM677" s="628"/>
      <c r="CN677" s="628"/>
      <c r="CO677" s="628"/>
      <c r="CP677" s="628"/>
      <c r="CQ677" s="628"/>
      <c r="CR677" s="628"/>
      <c r="CS677" s="628"/>
      <c r="CT677" s="628"/>
      <c r="CU677" s="628"/>
      <c r="CV677" s="628"/>
      <c r="CW677" s="628"/>
      <c r="CX677" s="628"/>
      <c r="CY677" s="628"/>
      <c r="CZ677" s="629"/>
      <c r="DA677" s="214"/>
    </row>
    <row r="678" spans="1:105" s="16" customFormat="1" ht="15" hidden="1" customHeight="1" x14ac:dyDescent="0.3">
      <c r="A678" s="630" t="s">
        <v>662</v>
      </c>
      <c r="B678" s="631"/>
      <c r="C678" s="631"/>
      <c r="D678" s="631"/>
      <c r="E678" s="631"/>
      <c r="F678" s="631"/>
      <c r="G678" s="632"/>
      <c r="H678" s="584" t="s">
        <v>709</v>
      </c>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5"/>
      <c r="AL678" s="585"/>
      <c r="AM678" s="585"/>
      <c r="AN678" s="585"/>
      <c r="AO678" s="585"/>
      <c r="AP678" s="585"/>
      <c r="AQ678" s="585"/>
      <c r="AR678" s="585"/>
      <c r="AS678" s="585"/>
      <c r="AT678" s="586"/>
      <c r="AU678" s="475" t="s">
        <v>690</v>
      </c>
      <c r="AV678" s="476"/>
      <c r="AW678" s="476"/>
      <c r="AX678" s="476"/>
      <c r="AY678" s="476"/>
      <c r="AZ678" s="476"/>
      <c r="BA678" s="476"/>
      <c r="BB678" s="477"/>
      <c r="BC678" s="544"/>
      <c r="BD678" s="545"/>
      <c r="BE678" s="545"/>
      <c r="BF678" s="545"/>
      <c r="BG678" s="545"/>
      <c r="BH678" s="545"/>
      <c r="BI678" s="545"/>
      <c r="BJ678" s="545"/>
      <c r="BK678" s="545"/>
      <c r="BL678" s="545"/>
      <c r="BM678" s="545"/>
      <c r="BN678" s="545"/>
      <c r="BO678" s="545"/>
      <c r="BP678" s="545"/>
      <c r="BQ678" s="545"/>
      <c r="BR678" s="546"/>
      <c r="BS678" s="681"/>
      <c r="BT678" s="681"/>
      <c r="BU678" s="681"/>
      <c r="BV678" s="681"/>
      <c r="BW678" s="681"/>
      <c r="BX678" s="681"/>
      <c r="BY678" s="681"/>
      <c r="BZ678" s="681"/>
      <c r="CA678" s="681"/>
      <c r="CB678" s="681"/>
      <c r="CC678" s="681"/>
      <c r="CD678" s="681"/>
      <c r="CE678" s="681"/>
      <c r="CF678" s="681"/>
      <c r="CG678" s="681"/>
      <c r="CH678" s="681"/>
      <c r="CI678" s="627"/>
      <c r="CJ678" s="628"/>
      <c r="CK678" s="628"/>
      <c r="CL678" s="628"/>
      <c r="CM678" s="628"/>
      <c r="CN678" s="628"/>
      <c r="CO678" s="628"/>
      <c r="CP678" s="628"/>
      <c r="CQ678" s="628"/>
      <c r="CR678" s="628"/>
      <c r="CS678" s="628"/>
      <c r="CT678" s="628"/>
      <c r="CU678" s="628"/>
      <c r="CV678" s="628"/>
      <c r="CW678" s="628"/>
      <c r="CX678" s="628"/>
      <c r="CY678" s="628"/>
      <c r="CZ678" s="629"/>
      <c r="DA678" s="214"/>
    </row>
    <row r="679" spans="1:105" s="16" customFormat="1" ht="15" hidden="1" customHeight="1" x14ac:dyDescent="0.3">
      <c r="A679" s="630"/>
      <c r="B679" s="631"/>
      <c r="C679" s="631"/>
      <c r="D679" s="631"/>
      <c r="E679" s="631"/>
      <c r="F679" s="631"/>
      <c r="G679" s="632"/>
      <c r="H679" s="584"/>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5"/>
      <c r="AL679" s="585"/>
      <c r="AM679" s="585"/>
      <c r="AN679" s="585"/>
      <c r="AO679" s="585"/>
      <c r="AP679" s="585"/>
      <c r="AQ679" s="585"/>
      <c r="AR679" s="585"/>
      <c r="AS679" s="585"/>
      <c r="AT679" s="586"/>
      <c r="AU679" s="475"/>
      <c r="AV679" s="476"/>
      <c r="AW679" s="476"/>
      <c r="AX679" s="476"/>
      <c r="AY679" s="476"/>
      <c r="AZ679" s="476"/>
      <c r="BA679" s="476"/>
      <c r="BB679" s="477"/>
      <c r="BC679" s="544"/>
      <c r="BD679" s="545"/>
      <c r="BE679" s="545"/>
      <c r="BF679" s="545"/>
      <c r="BG679" s="545"/>
      <c r="BH679" s="545"/>
      <c r="BI679" s="545"/>
      <c r="BJ679" s="545"/>
      <c r="BK679" s="545"/>
      <c r="BL679" s="545"/>
      <c r="BM679" s="545"/>
      <c r="BN679" s="545"/>
      <c r="BO679" s="545"/>
      <c r="BP679" s="545"/>
      <c r="BQ679" s="545"/>
      <c r="BR679" s="546"/>
      <c r="BS679" s="639"/>
      <c r="BT679" s="640"/>
      <c r="BU679" s="640"/>
      <c r="BV679" s="640"/>
      <c r="BW679" s="640"/>
      <c r="BX679" s="640"/>
      <c r="BY679" s="640"/>
      <c r="BZ679" s="640"/>
      <c r="CA679" s="640"/>
      <c r="CB679" s="640"/>
      <c r="CC679" s="640"/>
      <c r="CD679" s="640"/>
      <c r="CE679" s="640"/>
      <c r="CF679" s="640"/>
      <c r="CG679" s="640"/>
      <c r="CH679" s="641"/>
      <c r="CI679" s="627"/>
      <c r="CJ679" s="628"/>
      <c r="CK679" s="628"/>
      <c r="CL679" s="628"/>
      <c r="CM679" s="628"/>
      <c r="CN679" s="628"/>
      <c r="CO679" s="628"/>
      <c r="CP679" s="628"/>
      <c r="CQ679" s="628"/>
      <c r="CR679" s="628"/>
      <c r="CS679" s="628"/>
      <c r="CT679" s="628"/>
      <c r="CU679" s="628"/>
      <c r="CV679" s="628"/>
      <c r="CW679" s="628"/>
      <c r="CX679" s="628"/>
      <c r="CY679" s="628"/>
      <c r="CZ679" s="629"/>
      <c r="DA679" s="214"/>
    </row>
    <row r="680" spans="1:105" s="16" customFormat="1" ht="15" customHeight="1" x14ac:dyDescent="0.3">
      <c r="A680" s="630"/>
      <c r="B680" s="631"/>
      <c r="C680" s="631"/>
      <c r="D680" s="631"/>
      <c r="E680" s="631"/>
      <c r="F680" s="631"/>
      <c r="G680" s="632"/>
      <c r="H680" s="651" t="s">
        <v>710</v>
      </c>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52"/>
      <c r="AL680" s="652"/>
      <c r="AM680" s="652"/>
      <c r="AN680" s="652"/>
      <c r="AO680" s="652"/>
      <c r="AP680" s="652"/>
      <c r="AQ680" s="652"/>
      <c r="AR680" s="652"/>
      <c r="AS680" s="652"/>
      <c r="AT680" s="653"/>
      <c r="AU680" s="541" t="s">
        <v>697</v>
      </c>
      <c r="AV680" s="542"/>
      <c r="AW680" s="542"/>
      <c r="AX680" s="542"/>
      <c r="AY680" s="542"/>
      <c r="AZ680" s="542"/>
      <c r="BA680" s="542"/>
      <c r="BB680" s="543"/>
      <c r="BC680" s="644">
        <v>1000</v>
      </c>
      <c r="BD680" s="645"/>
      <c r="BE680" s="645"/>
      <c r="BF680" s="645"/>
      <c r="BG680" s="645"/>
      <c r="BH680" s="645"/>
      <c r="BI680" s="645"/>
      <c r="BJ680" s="645"/>
      <c r="BK680" s="645"/>
      <c r="BL680" s="645"/>
      <c r="BM680" s="645"/>
      <c r="BN680" s="645"/>
      <c r="BO680" s="645"/>
      <c r="BP680" s="645"/>
      <c r="BQ680" s="645"/>
      <c r="BR680" s="646"/>
      <c r="BS680" s="644">
        <f>CI680/BC680</f>
        <v>50</v>
      </c>
      <c r="BT680" s="645"/>
      <c r="BU680" s="645"/>
      <c r="BV680" s="645"/>
      <c r="BW680" s="645"/>
      <c r="BX680" s="645"/>
      <c r="BY680" s="645"/>
      <c r="BZ680" s="645"/>
      <c r="CA680" s="645"/>
      <c r="CB680" s="645"/>
      <c r="CC680" s="645"/>
      <c r="CD680" s="645"/>
      <c r="CE680" s="645"/>
      <c r="CF680" s="645"/>
      <c r="CG680" s="645"/>
      <c r="CH680" s="646"/>
      <c r="CI680" s="636">
        <v>50000</v>
      </c>
      <c r="CJ680" s="654"/>
      <c r="CK680" s="654"/>
      <c r="CL680" s="654"/>
      <c r="CM680" s="654"/>
      <c r="CN680" s="654"/>
      <c r="CO680" s="654"/>
      <c r="CP680" s="654"/>
      <c r="CQ680" s="654"/>
      <c r="CR680" s="654"/>
      <c r="CS680" s="654"/>
      <c r="CT680" s="654"/>
      <c r="CU680" s="654"/>
      <c r="CV680" s="654"/>
      <c r="CW680" s="654"/>
      <c r="CX680" s="654"/>
      <c r="CY680" s="654"/>
      <c r="CZ680" s="655"/>
      <c r="DA680" s="214"/>
    </row>
    <row r="681" spans="1:105" s="16" customFormat="1" ht="15" customHeight="1" x14ac:dyDescent="0.3">
      <c r="A681" s="630"/>
      <c r="B681" s="631"/>
      <c r="C681" s="631"/>
      <c r="D681" s="631"/>
      <c r="E681" s="631"/>
      <c r="F681" s="631"/>
      <c r="G681" s="632"/>
      <c r="H681" s="584"/>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5"/>
      <c r="AL681" s="585"/>
      <c r="AM681" s="585"/>
      <c r="AN681" s="585"/>
      <c r="AO681" s="585"/>
      <c r="AP681" s="585"/>
      <c r="AQ681" s="585"/>
      <c r="AR681" s="585"/>
      <c r="AS681" s="585"/>
      <c r="AT681" s="586"/>
      <c r="AU681" s="475"/>
      <c r="AV681" s="476"/>
      <c r="AW681" s="476"/>
      <c r="AX681" s="476"/>
      <c r="AY681" s="476"/>
      <c r="AZ681" s="476"/>
      <c r="BA681" s="476"/>
      <c r="BB681" s="477"/>
      <c r="BC681" s="544"/>
      <c r="BD681" s="545"/>
      <c r="BE681" s="545"/>
      <c r="BF681" s="545"/>
      <c r="BG681" s="545"/>
      <c r="BH681" s="545"/>
      <c r="BI681" s="545"/>
      <c r="BJ681" s="545"/>
      <c r="BK681" s="545"/>
      <c r="BL681" s="545"/>
      <c r="BM681" s="545"/>
      <c r="BN681" s="545"/>
      <c r="BO681" s="545"/>
      <c r="BP681" s="545"/>
      <c r="BQ681" s="545"/>
      <c r="BR681" s="546"/>
      <c r="BS681" s="639"/>
      <c r="BT681" s="640"/>
      <c r="BU681" s="640"/>
      <c r="BV681" s="640"/>
      <c r="BW681" s="640"/>
      <c r="BX681" s="640"/>
      <c r="BY681" s="640"/>
      <c r="BZ681" s="640"/>
      <c r="CA681" s="640"/>
      <c r="CB681" s="640"/>
      <c r="CC681" s="640"/>
      <c r="CD681" s="640"/>
      <c r="CE681" s="640"/>
      <c r="CF681" s="640"/>
      <c r="CG681" s="640"/>
      <c r="CH681" s="641"/>
      <c r="CI681" s="627"/>
      <c r="CJ681" s="628"/>
      <c r="CK681" s="628"/>
      <c r="CL681" s="628"/>
      <c r="CM681" s="628"/>
      <c r="CN681" s="628"/>
      <c r="CO681" s="628"/>
      <c r="CP681" s="628"/>
      <c r="CQ681" s="628"/>
      <c r="CR681" s="628"/>
      <c r="CS681" s="628"/>
      <c r="CT681" s="628"/>
      <c r="CU681" s="628"/>
      <c r="CV681" s="628"/>
      <c r="CW681" s="628"/>
      <c r="CX681" s="628"/>
      <c r="CY681" s="628"/>
      <c r="CZ681" s="629"/>
      <c r="DA681" s="214"/>
    </row>
    <row r="682" spans="1:105" s="16" customFormat="1" ht="13.2" x14ac:dyDescent="0.3">
      <c r="A682" s="630"/>
      <c r="B682" s="631"/>
      <c r="C682" s="631"/>
      <c r="D682" s="631"/>
      <c r="E682" s="631"/>
      <c r="F682" s="631"/>
      <c r="G682" s="632"/>
      <c r="H682" s="651" t="s">
        <v>711</v>
      </c>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52"/>
      <c r="AL682" s="652"/>
      <c r="AM682" s="652"/>
      <c r="AN682" s="652"/>
      <c r="AO682" s="652"/>
      <c r="AP682" s="652"/>
      <c r="AQ682" s="652"/>
      <c r="AR682" s="652"/>
      <c r="AS682" s="652"/>
      <c r="AT682" s="653"/>
      <c r="AU682" s="475"/>
      <c r="AV682" s="476"/>
      <c r="AW682" s="476"/>
      <c r="AX682" s="476"/>
      <c r="AY682" s="476"/>
      <c r="AZ682" s="476"/>
      <c r="BA682" s="476"/>
      <c r="BB682" s="477"/>
      <c r="BC682" s="647">
        <f>SUM(BC683:BR695)</f>
        <v>232</v>
      </c>
      <c r="BD682" s="637"/>
      <c r="BE682" s="637"/>
      <c r="BF682" s="637"/>
      <c r="BG682" s="637"/>
      <c r="BH682" s="637"/>
      <c r="BI682" s="637"/>
      <c r="BJ682" s="637"/>
      <c r="BK682" s="637"/>
      <c r="BL682" s="637"/>
      <c r="BM682" s="637"/>
      <c r="BN682" s="637"/>
      <c r="BO682" s="637"/>
      <c r="BP682" s="637"/>
      <c r="BQ682" s="637"/>
      <c r="BR682" s="638"/>
      <c r="BS682" s="644">
        <f>CI682/BC682</f>
        <v>146.55172413793105</v>
      </c>
      <c r="BT682" s="645"/>
      <c r="BU682" s="645"/>
      <c r="BV682" s="645"/>
      <c r="BW682" s="645"/>
      <c r="BX682" s="645"/>
      <c r="BY682" s="645"/>
      <c r="BZ682" s="645"/>
      <c r="CA682" s="645"/>
      <c r="CB682" s="645"/>
      <c r="CC682" s="645"/>
      <c r="CD682" s="645"/>
      <c r="CE682" s="645"/>
      <c r="CF682" s="645"/>
      <c r="CG682" s="645"/>
      <c r="CH682" s="646"/>
      <c r="CI682" s="636">
        <f>SUM(CI683:CZ695)</f>
        <v>34000</v>
      </c>
      <c r="CJ682" s="637"/>
      <c r="CK682" s="637"/>
      <c r="CL682" s="637"/>
      <c r="CM682" s="637"/>
      <c r="CN682" s="637"/>
      <c r="CO682" s="637"/>
      <c r="CP682" s="637"/>
      <c r="CQ682" s="637"/>
      <c r="CR682" s="637"/>
      <c r="CS682" s="637"/>
      <c r="CT682" s="637"/>
      <c r="CU682" s="637"/>
      <c r="CV682" s="637"/>
      <c r="CW682" s="637"/>
      <c r="CX682" s="637"/>
      <c r="CY682" s="637"/>
      <c r="CZ682" s="638"/>
      <c r="DA682" s="214"/>
    </row>
    <row r="683" spans="1:105" s="16" customFormat="1" ht="13.2" x14ac:dyDescent="0.3">
      <c r="A683" s="630" t="s">
        <v>441</v>
      </c>
      <c r="B683" s="631"/>
      <c r="C683" s="631"/>
      <c r="D683" s="631"/>
      <c r="E683" s="631"/>
      <c r="F683" s="631"/>
      <c r="G683" s="632"/>
      <c r="H683" s="584" t="s">
        <v>712</v>
      </c>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5"/>
      <c r="AL683" s="585"/>
      <c r="AM683" s="585"/>
      <c r="AN683" s="585"/>
      <c r="AO683" s="585"/>
      <c r="AP683" s="585"/>
      <c r="AQ683" s="585"/>
      <c r="AR683" s="585"/>
      <c r="AS683" s="585"/>
      <c r="AT683" s="586"/>
      <c r="AU683" s="475" t="s">
        <v>690</v>
      </c>
      <c r="AV683" s="476"/>
      <c r="AW683" s="476"/>
      <c r="AX683" s="476"/>
      <c r="AY683" s="476"/>
      <c r="AZ683" s="476"/>
      <c r="BA683" s="476"/>
      <c r="BB683" s="477"/>
      <c r="BC683" s="544">
        <v>2</v>
      </c>
      <c r="BD683" s="545"/>
      <c r="BE683" s="545"/>
      <c r="BF683" s="545"/>
      <c r="BG683" s="545"/>
      <c r="BH683" s="545"/>
      <c r="BI683" s="545"/>
      <c r="BJ683" s="545"/>
      <c r="BK683" s="545"/>
      <c r="BL683" s="545"/>
      <c r="BM683" s="545"/>
      <c r="BN683" s="545"/>
      <c r="BO683" s="545"/>
      <c r="BP683" s="545"/>
      <c r="BQ683" s="545"/>
      <c r="BR683" s="546"/>
      <c r="BS683" s="639">
        <f>CI683/BC683</f>
        <v>250</v>
      </c>
      <c r="BT683" s="640"/>
      <c r="BU683" s="640"/>
      <c r="BV683" s="640"/>
      <c r="BW683" s="640"/>
      <c r="BX683" s="640"/>
      <c r="BY683" s="640"/>
      <c r="BZ683" s="640"/>
      <c r="CA683" s="640"/>
      <c r="CB683" s="640"/>
      <c r="CC683" s="640"/>
      <c r="CD683" s="640"/>
      <c r="CE683" s="640"/>
      <c r="CF683" s="640"/>
      <c r="CG683" s="640"/>
      <c r="CH683" s="641"/>
      <c r="CI683" s="627">
        <v>500</v>
      </c>
      <c r="CJ683" s="628"/>
      <c r="CK683" s="628"/>
      <c r="CL683" s="628"/>
      <c r="CM683" s="628"/>
      <c r="CN683" s="628"/>
      <c r="CO683" s="628"/>
      <c r="CP683" s="628"/>
      <c r="CQ683" s="628"/>
      <c r="CR683" s="628"/>
      <c r="CS683" s="628"/>
      <c r="CT683" s="628"/>
      <c r="CU683" s="628"/>
      <c r="CV683" s="628"/>
      <c r="CW683" s="628"/>
      <c r="CX683" s="628"/>
      <c r="CY683" s="628"/>
      <c r="CZ683" s="629"/>
      <c r="DA683" s="214"/>
    </row>
    <row r="684" spans="1:105" s="16" customFormat="1" ht="13.2" x14ac:dyDescent="0.3">
      <c r="A684" s="630" t="s">
        <v>444</v>
      </c>
      <c r="B684" s="631"/>
      <c r="C684" s="631"/>
      <c r="D684" s="631"/>
      <c r="E684" s="631"/>
      <c r="F684" s="631"/>
      <c r="G684" s="632"/>
      <c r="H684" s="584" t="s">
        <v>973</v>
      </c>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5"/>
      <c r="AL684" s="585"/>
      <c r="AM684" s="585"/>
      <c r="AN684" s="585"/>
      <c r="AO684" s="585"/>
      <c r="AP684" s="585"/>
      <c r="AQ684" s="585"/>
      <c r="AR684" s="585"/>
      <c r="AS684" s="585"/>
      <c r="AT684" s="586"/>
      <c r="AU684" s="475" t="s">
        <v>690</v>
      </c>
      <c r="AV684" s="476"/>
      <c r="AW684" s="476"/>
      <c r="AX684" s="476"/>
      <c r="AY684" s="476"/>
      <c r="AZ684" s="476"/>
      <c r="BA684" s="476"/>
      <c r="BB684" s="477"/>
      <c r="BC684" s="544">
        <v>5</v>
      </c>
      <c r="BD684" s="545"/>
      <c r="BE684" s="545"/>
      <c r="BF684" s="545"/>
      <c r="BG684" s="545"/>
      <c r="BH684" s="545"/>
      <c r="BI684" s="545"/>
      <c r="BJ684" s="545"/>
      <c r="BK684" s="545"/>
      <c r="BL684" s="545"/>
      <c r="BM684" s="545"/>
      <c r="BN684" s="545"/>
      <c r="BO684" s="545"/>
      <c r="BP684" s="545"/>
      <c r="BQ684" s="545"/>
      <c r="BR684" s="546"/>
      <c r="BS684" s="639">
        <f t="shared" ref="BS684:BS695" si="10">CI684/BC684</f>
        <v>300</v>
      </c>
      <c r="BT684" s="640"/>
      <c r="BU684" s="640"/>
      <c r="BV684" s="640"/>
      <c r="BW684" s="640"/>
      <c r="BX684" s="640"/>
      <c r="BY684" s="640"/>
      <c r="BZ684" s="640"/>
      <c r="CA684" s="640"/>
      <c r="CB684" s="640"/>
      <c r="CC684" s="640"/>
      <c r="CD684" s="640"/>
      <c r="CE684" s="640"/>
      <c r="CF684" s="640"/>
      <c r="CG684" s="640"/>
      <c r="CH684" s="641"/>
      <c r="CI684" s="627">
        <v>1500</v>
      </c>
      <c r="CJ684" s="628"/>
      <c r="CK684" s="628"/>
      <c r="CL684" s="628"/>
      <c r="CM684" s="628"/>
      <c r="CN684" s="628"/>
      <c r="CO684" s="628"/>
      <c r="CP684" s="628"/>
      <c r="CQ684" s="628"/>
      <c r="CR684" s="628"/>
      <c r="CS684" s="628"/>
      <c r="CT684" s="628"/>
      <c r="CU684" s="628"/>
      <c r="CV684" s="628"/>
      <c r="CW684" s="628"/>
      <c r="CX684" s="628"/>
      <c r="CY684" s="628"/>
      <c r="CZ684" s="629"/>
      <c r="DA684" s="214"/>
    </row>
    <row r="685" spans="1:105" s="16" customFormat="1" ht="13.2" x14ac:dyDescent="0.3">
      <c r="A685" s="630" t="s">
        <v>446</v>
      </c>
      <c r="B685" s="631"/>
      <c r="C685" s="631"/>
      <c r="D685" s="631"/>
      <c r="E685" s="631"/>
      <c r="F685" s="631"/>
      <c r="G685" s="632"/>
      <c r="H685" s="584" t="s">
        <v>918</v>
      </c>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5"/>
      <c r="AL685" s="585"/>
      <c r="AM685" s="585"/>
      <c r="AN685" s="585"/>
      <c r="AO685" s="585"/>
      <c r="AP685" s="585"/>
      <c r="AQ685" s="585"/>
      <c r="AR685" s="585"/>
      <c r="AS685" s="585"/>
      <c r="AT685" s="586"/>
      <c r="AU685" s="475" t="s">
        <v>690</v>
      </c>
      <c r="AV685" s="476"/>
      <c r="AW685" s="476"/>
      <c r="AX685" s="476"/>
      <c r="AY685" s="476"/>
      <c r="AZ685" s="476"/>
      <c r="BA685" s="476"/>
      <c r="BB685" s="477"/>
      <c r="BC685" s="544">
        <v>45</v>
      </c>
      <c r="BD685" s="545"/>
      <c r="BE685" s="545"/>
      <c r="BF685" s="545"/>
      <c r="BG685" s="545"/>
      <c r="BH685" s="545"/>
      <c r="BI685" s="545"/>
      <c r="BJ685" s="545"/>
      <c r="BK685" s="545"/>
      <c r="BL685" s="545"/>
      <c r="BM685" s="545"/>
      <c r="BN685" s="545"/>
      <c r="BO685" s="545"/>
      <c r="BP685" s="545"/>
      <c r="BQ685" s="545"/>
      <c r="BR685" s="546"/>
      <c r="BS685" s="639">
        <f t="shared" si="10"/>
        <v>111.11111111111111</v>
      </c>
      <c r="BT685" s="640"/>
      <c r="BU685" s="640"/>
      <c r="BV685" s="640"/>
      <c r="BW685" s="640"/>
      <c r="BX685" s="640"/>
      <c r="BY685" s="640"/>
      <c r="BZ685" s="640"/>
      <c r="CA685" s="640"/>
      <c r="CB685" s="640"/>
      <c r="CC685" s="640"/>
      <c r="CD685" s="640"/>
      <c r="CE685" s="640"/>
      <c r="CF685" s="640"/>
      <c r="CG685" s="640"/>
      <c r="CH685" s="641"/>
      <c r="CI685" s="627">
        <v>5000</v>
      </c>
      <c r="CJ685" s="628"/>
      <c r="CK685" s="628"/>
      <c r="CL685" s="628"/>
      <c r="CM685" s="628"/>
      <c r="CN685" s="628"/>
      <c r="CO685" s="628"/>
      <c r="CP685" s="628"/>
      <c r="CQ685" s="628"/>
      <c r="CR685" s="628"/>
      <c r="CS685" s="628"/>
      <c r="CT685" s="628"/>
      <c r="CU685" s="628"/>
      <c r="CV685" s="628"/>
      <c r="CW685" s="628"/>
      <c r="CX685" s="628"/>
      <c r="CY685" s="628"/>
      <c r="CZ685" s="629"/>
      <c r="DA685" s="214"/>
    </row>
    <row r="686" spans="1:105" s="16" customFormat="1" ht="13.2" x14ac:dyDescent="0.3">
      <c r="A686" s="630" t="s">
        <v>551</v>
      </c>
      <c r="B686" s="631"/>
      <c r="C686" s="631"/>
      <c r="D686" s="631"/>
      <c r="E686" s="631"/>
      <c r="F686" s="631"/>
      <c r="G686" s="632"/>
      <c r="H686" s="584" t="s">
        <v>974</v>
      </c>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5"/>
      <c r="AL686" s="585"/>
      <c r="AM686" s="585"/>
      <c r="AN686" s="585"/>
      <c r="AO686" s="585"/>
      <c r="AP686" s="585"/>
      <c r="AQ686" s="585"/>
      <c r="AR686" s="585"/>
      <c r="AS686" s="585"/>
      <c r="AT686" s="586"/>
      <c r="AU686" s="475" t="s">
        <v>690</v>
      </c>
      <c r="AV686" s="476"/>
      <c r="AW686" s="476"/>
      <c r="AX686" s="476"/>
      <c r="AY686" s="476"/>
      <c r="AZ686" s="476"/>
      <c r="BA686" s="476"/>
      <c r="BB686" s="477"/>
      <c r="BC686" s="544">
        <v>35</v>
      </c>
      <c r="BD686" s="545"/>
      <c r="BE686" s="545"/>
      <c r="BF686" s="545"/>
      <c r="BG686" s="545"/>
      <c r="BH686" s="545"/>
      <c r="BI686" s="545"/>
      <c r="BJ686" s="545"/>
      <c r="BK686" s="545"/>
      <c r="BL686" s="545"/>
      <c r="BM686" s="545"/>
      <c r="BN686" s="545"/>
      <c r="BO686" s="545"/>
      <c r="BP686" s="545"/>
      <c r="BQ686" s="545"/>
      <c r="BR686" s="546"/>
      <c r="BS686" s="639">
        <f t="shared" si="10"/>
        <v>57.142857142857146</v>
      </c>
      <c r="BT686" s="640"/>
      <c r="BU686" s="640"/>
      <c r="BV686" s="640"/>
      <c r="BW686" s="640"/>
      <c r="BX686" s="640"/>
      <c r="BY686" s="640"/>
      <c r="BZ686" s="640"/>
      <c r="CA686" s="640"/>
      <c r="CB686" s="640"/>
      <c r="CC686" s="640"/>
      <c r="CD686" s="640"/>
      <c r="CE686" s="640"/>
      <c r="CF686" s="640"/>
      <c r="CG686" s="640"/>
      <c r="CH686" s="641"/>
      <c r="CI686" s="627">
        <v>2000</v>
      </c>
      <c r="CJ686" s="628"/>
      <c r="CK686" s="628"/>
      <c r="CL686" s="628"/>
      <c r="CM686" s="628"/>
      <c r="CN686" s="628"/>
      <c r="CO686" s="628"/>
      <c r="CP686" s="628"/>
      <c r="CQ686" s="628"/>
      <c r="CR686" s="628"/>
      <c r="CS686" s="628"/>
      <c r="CT686" s="628"/>
      <c r="CU686" s="628"/>
      <c r="CV686" s="628"/>
      <c r="CW686" s="628"/>
      <c r="CX686" s="628"/>
      <c r="CY686" s="628"/>
      <c r="CZ686" s="629"/>
      <c r="DA686" s="214"/>
    </row>
    <row r="687" spans="1:105" s="16" customFormat="1" ht="13.2" x14ac:dyDescent="0.3">
      <c r="A687" s="630" t="s">
        <v>599</v>
      </c>
      <c r="B687" s="631"/>
      <c r="C687" s="631"/>
      <c r="D687" s="631"/>
      <c r="E687" s="631"/>
      <c r="F687" s="631"/>
      <c r="G687" s="632"/>
      <c r="H687" s="584" t="s">
        <v>975</v>
      </c>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5"/>
      <c r="AL687" s="585"/>
      <c r="AM687" s="585"/>
      <c r="AN687" s="585"/>
      <c r="AO687" s="585"/>
      <c r="AP687" s="585"/>
      <c r="AQ687" s="585"/>
      <c r="AR687" s="585"/>
      <c r="AS687" s="585"/>
      <c r="AT687" s="586"/>
      <c r="AU687" s="475" t="s">
        <v>690</v>
      </c>
      <c r="AV687" s="476"/>
      <c r="AW687" s="476"/>
      <c r="AX687" s="476"/>
      <c r="AY687" s="476"/>
      <c r="AZ687" s="476"/>
      <c r="BA687" s="476"/>
      <c r="BB687" s="477"/>
      <c r="BC687" s="544">
        <v>30</v>
      </c>
      <c r="BD687" s="545"/>
      <c r="BE687" s="545"/>
      <c r="BF687" s="545"/>
      <c r="BG687" s="545"/>
      <c r="BH687" s="545"/>
      <c r="BI687" s="545"/>
      <c r="BJ687" s="545"/>
      <c r="BK687" s="545"/>
      <c r="BL687" s="545"/>
      <c r="BM687" s="545"/>
      <c r="BN687" s="545"/>
      <c r="BO687" s="545"/>
      <c r="BP687" s="545"/>
      <c r="BQ687" s="545"/>
      <c r="BR687" s="546"/>
      <c r="BS687" s="639">
        <f t="shared" si="10"/>
        <v>166.66666666666666</v>
      </c>
      <c r="BT687" s="640"/>
      <c r="BU687" s="640"/>
      <c r="BV687" s="640"/>
      <c r="BW687" s="640"/>
      <c r="BX687" s="640"/>
      <c r="BY687" s="640"/>
      <c r="BZ687" s="640"/>
      <c r="CA687" s="640"/>
      <c r="CB687" s="640"/>
      <c r="CC687" s="640"/>
      <c r="CD687" s="640"/>
      <c r="CE687" s="640"/>
      <c r="CF687" s="640"/>
      <c r="CG687" s="640"/>
      <c r="CH687" s="641"/>
      <c r="CI687" s="627">
        <v>5000</v>
      </c>
      <c r="CJ687" s="628"/>
      <c r="CK687" s="628"/>
      <c r="CL687" s="628"/>
      <c r="CM687" s="628"/>
      <c r="CN687" s="628"/>
      <c r="CO687" s="628"/>
      <c r="CP687" s="628"/>
      <c r="CQ687" s="628"/>
      <c r="CR687" s="628"/>
      <c r="CS687" s="628"/>
      <c r="CT687" s="628"/>
      <c r="CU687" s="628"/>
      <c r="CV687" s="628"/>
      <c r="CW687" s="628"/>
      <c r="CX687" s="628"/>
      <c r="CY687" s="628"/>
      <c r="CZ687" s="629"/>
      <c r="DA687" s="214"/>
    </row>
    <row r="688" spans="1:105" s="16" customFormat="1" ht="13.2" x14ac:dyDescent="0.3">
      <c r="A688" s="630" t="s">
        <v>642</v>
      </c>
      <c r="B688" s="631"/>
      <c r="C688" s="631"/>
      <c r="D688" s="631"/>
      <c r="E688" s="631"/>
      <c r="F688" s="631"/>
      <c r="G688" s="632"/>
      <c r="H688" s="584" t="s">
        <v>922</v>
      </c>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5"/>
      <c r="AL688" s="585"/>
      <c r="AM688" s="585"/>
      <c r="AN688" s="585"/>
      <c r="AO688" s="585"/>
      <c r="AP688" s="585"/>
      <c r="AQ688" s="585"/>
      <c r="AR688" s="585"/>
      <c r="AS688" s="585"/>
      <c r="AT688" s="586"/>
      <c r="AU688" s="475" t="s">
        <v>690</v>
      </c>
      <c r="AV688" s="476"/>
      <c r="AW688" s="476"/>
      <c r="AX688" s="476"/>
      <c r="AY688" s="476"/>
      <c r="AZ688" s="476"/>
      <c r="BA688" s="476"/>
      <c r="BB688" s="477"/>
      <c r="BC688" s="544">
        <v>85</v>
      </c>
      <c r="BD688" s="545"/>
      <c r="BE688" s="545"/>
      <c r="BF688" s="545"/>
      <c r="BG688" s="545"/>
      <c r="BH688" s="545"/>
      <c r="BI688" s="545"/>
      <c r="BJ688" s="545"/>
      <c r="BK688" s="545"/>
      <c r="BL688" s="545"/>
      <c r="BM688" s="545"/>
      <c r="BN688" s="545"/>
      <c r="BO688" s="545"/>
      <c r="BP688" s="545"/>
      <c r="BQ688" s="545"/>
      <c r="BR688" s="546"/>
      <c r="BS688" s="639">
        <f t="shared" si="10"/>
        <v>117.64705882352941</v>
      </c>
      <c r="BT688" s="640"/>
      <c r="BU688" s="640"/>
      <c r="BV688" s="640"/>
      <c r="BW688" s="640"/>
      <c r="BX688" s="640"/>
      <c r="BY688" s="640"/>
      <c r="BZ688" s="640"/>
      <c r="CA688" s="640"/>
      <c r="CB688" s="640"/>
      <c r="CC688" s="640"/>
      <c r="CD688" s="640"/>
      <c r="CE688" s="640"/>
      <c r="CF688" s="640"/>
      <c r="CG688" s="640"/>
      <c r="CH688" s="641"/>
      <c r="CI688" s="627">
        <v>10000</v>
      </c>
      <c r="CJ688" s="628"/>
      <c r="CK688" s="628"/>
      <c r="CL688" s="628"/>
      <c r="CM688" s="628"/>
      <c r="CN688" s="628"/>
      <c r="CO688" s="628"/>
      <c r="CP688" s="628"/>
      <c r="CQ688" s="628"/>
      <c r="CR688" s="628"/>
      <c r="CS688" s="628"/>
      <c r="CT688" s="628"/>
      <c r="CU688" s="628"/>
      <c r="CV688" s="628"/>
      <c r="CW688" s="628"/>
      <c r="CX688" s="628"/>
      <c r="CY688" s="628"/>
      <c r="CZ688" s="629"/>
      <c r="DA688" s="214"/>
    </row>
    <row r="689" spans="1:105" s="16" customFormat="1" ht="13.2" x14ac:dyDescent="0.3">
      <c r="A689" s="630" t="s">
        <v>648</v>
      </c>
      <c r="B689" s="631"/>
      <c r="C689" s="631"/>
      <c r="D689" s="631"/>
      <c r="E689" s="631"/>
      <c r="F689" s="631"/>
      <c r="G689" s="632"/>
      <c r="H689" s="584" t="s">
        <v>980</v>
      </c>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5"/>
      <c r="AL689" s="585"/>
      <c r="AM689" s="585"/>
      <c r="AN689" s="585"/>
      <c r="AO689" s="585"/>
      <c r="AP689" s="585"/>
      <c r="AQ689" s="585"/>
      <c r="AR689" s="585"/>
      <c r="AS689" s="585"/>
      <c r="AT689" s="586"/>
      <c r="AU689" s="475" t="s">
        <v>690</v>
      </c>
      <c r="AV689" s="476"/>
      <c r="AW689" s="476"/>
      <c r="AX689" s="476"/>
      <c r="AY689" s="476"/>
      <c r="AZ689" s="476"/>
      <c r="BA689" s="476"/>
      <c r="BB689" s="477"/>
      <c r="BC689" s="544">
        <v>30</v>
      </c>
      <c r="BD689" s="545"/>
      <c r="BE689" s="545"/>
      <c r="BF689" s="545"/>
      <c r="BG689" s="545"/>
      <c r="BH689" s="545"/>
      <c r="BI689" s="545"/>
      <c r="BJ689" s="545"/>
      <c r="BK689" s="545"/>
      <c r="BL689" s="545"/>
      <c r="BM689" s="545"/>
      <c r="BN689" s="545"/>
      <c r="BO689" s="545"/>
      <c r="BP689" s="545"/>
      <c r="BQ689" s="545"/>
      <c r="BR689" s="546"/>
      <c r="BS689" s="639">
        <f t="shared" si="10"/>
        <v>333.33333333333331</v>
      </c>
      <c r="BT689" s="640"/>
      <c r="BU689" s="640"/>
      <c r="BV689" s="640"/>
      <c r="BW689" s="640"/>
      <c r="BX689" s="640"/>
      <c r="BY689" s="640"/>
      <c r="BZ689" s="640"/>
      <c r="CA689" s="640"/>
      <c r="CB689" s="640"/>
      <c r="CC689" s="640"/>
      <c r="CD689" s="640"/>
      <c r="CE689" s="640"/>
      <c r="CF689" s="640"/>
      <c r="CG689" s="640"/>
      <c r="CH689" s="641"/>
      <c r="CI689" s="627">
        <v>10000</v>
      </c>
      <c r="CJ689" s="628"/>
      <c r="CK689" s="628"/>
      <c r="CL689" s="628"/>
      <c r="CM689" s="628"/>
      <c r="CN689" s="628"/>
      <c r="CO689" s="628"/>
      <c r="CP689" s="628"/>
      <c r="CQ689" s="628"/>
      <c r="CR689" s="628"/>
      <c r="CS689" s="628"/>
      <c r="CT689" s="628"/>
      <c r="CU689" s="628"/>
      <c r="CV689" s="628"/>
      <c r="CW689" s="628"/>
      <c r="CX689" s="628"/>
      <c r="CY689" s="628"/>
      <c r="CZ689" s="629"/>
      <c r="DA689" s="214"/>
    </row>
    <row r="690" spans="1:105" s="16" customFormat="1" ht="13.2" hidden="1" x14ac:dyDescent="0.3">
      <c r="A690" s="630" t="s">
        <v>650</v>
      </c>
      <c r="B690" s="631"/>
      <c r="C690" s="631"/>
      <c r="D690" s="631"/>
      <c r="E690" s="631"/>
      <c r="F690" s="631"/>
      <c r="G690" s="632"/>
      <c r="H690" s="584" t="s">
        <v>981</v>
      </c>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5"/>
      <c r="AL690" s="585"/>
      <c r="AM690" s="585"/>
      <c r="AN690" s="585"/>
      <c r="AO690" s="585"/>
      <c r="AP690" s="585"/>
      <c r="AQ690" s="585"/>
      <c r="AR690" s="585"/>
      <c r="AS690" s="585"/>
      <c r="AT690" s="586"/>
      <c r="AU690" s="475" t="s">
        <v>690</v>
      </c>
      <c r="AV690" s="476"/>
      <c r="AW690" s="476"/>
      <c r="AX690" s="476"/>
      <c r="AY690" s="476"/>
      <c r="AZ690" s="476"/>
      <c r="BA690" s="476"/>
      <c r="BB690" s="477"/>
      <c r="BC690" s="544"/>
      <c r="BD690" s="545"/>
      <c r="BE690" s="545"/>
      <c r="BF690" s="545"/>
      <c r="BG690" s="545"/>
      <c r="BH690" s="545"/>
      <c r="BI690" s="545"/>
      <c r="BJ690" s="545"/>
      <c r="BK690" s="545"/>
      <c r="BL690" s="545"/>
      <c r="BM690" s="545"/>
      <c r="BN690" s="545"/>
      <c r="BO690" s="545"/>
      <c r="BP690" s="545"/>
      <c r="BQ690" s="545"/>
      <c r="BR690" s="546"/>
      <c r="BS690" s="639" t="e">
        <f t="shared" si="10"/>
        <v>#DIV/0!</v>
      </c>
      <c r="BT690" s="640"/>
      <c r="BU690" s="640"/>
      <c r="BV690" s="640"/>
      <c r="BW690" s="640"/>
      <c r="BX690" s="640"/>
      <c r="BY690" s="640"/>
      <c r="BZ690" s="640"/>
      <c r="CA690" s="640"/>
      <c r="CB690" s="640"/>
      <c r="CC690" s="640"/>
      <c r="CD690" s="640"/>
      <c r="CE690" s="640"/>
      <c r="CF690" s="640"/>
      <c r="CG690" s="640"/>
      <c r="CH690" s="641"/>
      <c r="CI690" s="627"/>
      <c r="CJ690" s="628"/>
      <c r="CK690" s="628"/>
      <c r="CL690" s="628"/>
      <c r="CM690" s="628"/>
      <c r="CN690" s="628"/>
      <c r="CO690" s="628"/>
      <c r="CP690" s="628"/>
      <c r="CQ690" s="628"/>
      <c r="CR690" s="628"/>
      <c r="CS690" s="628"/>
      <c r="CT690" s="628"/>
      <c r="CU690" s="628"/>
      <c r="CV690" s="628"/>
      <c r="CW690" s="628"/>
      <c r="CX690" s="628"/>
      <c r="CY690" s="628"/>
      <c r="CZ690" s="629"/>
      <c r="DA690" s="214"/>
    </row>
    <row r="691" spans="1:105" s="16" customFormat="1" ht="13.2" hidden="1" x14ac:dyDescent="0.3">
      <c r="A691" s="630" t="s">
        <v>650</v>
      </c>
      <c r="B691" s="631"/>
      <c r="C691" s="631"/>
      <c r="D691" s="631"/>
      <c r="E691" s="631"/>
      <c r="F691" s="631"/>
      <c r="G691" s="632"/>
      <c r="H691" s="584" t="s">
        <v>976</v>
      </c>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5"/>
      <c r="AL691" s="585"/>
      <c r="AM691" s="585"/>
      <c r="AN691" s="585"/>
      <c r="AO691" s="585"/>
      <c r="AP691" s="585"/>
      <c r="AQ691" s="585"/>
      <c r="AR691" s="585"/>
      <c r="AS691" s="585"/>
      <c r="AT691" s="586"/>
      <c r="AU691" s="475" t="s">
        <v>690</v>
      </c>
      <c r="AV691" s="476"/>
      <c r="AW691" s="476"/>
      <c r="AX691" s="476"/>
      <c r="AY691" s="476"/>
      <c r="AZ691" s="476"/>
      <c r="BA691" s="476"/>
      <c r="BB691" s="477"/>
      <c r="BC691" s="544"/>
      <c r="BD691" s="545"/>
      <c r="BE691" s="545"/>
      <c r="BF691" s="545"/>
      <c r="BG691" s="545"/>
      <c r="BH691" s="545"/>
      <c r="BI691" s="545"/>
      <c r="BJ691" s="545"/>
      <c r="BK691" s="545"/>
      <c r="BL691" s="545"/>
      <c r="BM691" s="545"/>
      <c r="BN691" s="545"/>
      <c r="BO691" s="545"/>
      <c r="BP691" s="545"/>
      <c r="BQ691" s="545"/>
      <c r="BR691" s="546"/>
      <c r="BS691" s="639" t="e">
        <f t="shared" si="10"/>
        <v>#DIV/0!</v>
      </c>
      <c r="BT691" s="640"/>
      <c r="BU691" s="640"/>
      <c r="BV691" s="640"/>
      <c r="BW691" s="640"/>
      <c r="BX691" s="640"/>
      <c r="BY691" s="640"/>
      <c r="BZ691" s="640"/>
      <c r="CA691" s="640"/>
      <c r="CB691" s="640"/>
      <c r="CC691" s="640"/>
      <c r="CD691" s="640"/>
      <c r="CE691" s="640"/>
      <c r="CF691" s="640"/>
      <c r="CG691" s="640"/>
      <c r="CH691" s="641"/>
      <c r="CI691" s="627"/>
      <c r="CJ691" s="628"/>
      <c r="CK691" s="628"/>
      <c r="CL691" s="628"/>
      <c r="CM691" s="628"/>
      <c r="CN691" s="628"/>
      <c r="CO691" s="628"/>
      <c r="CP691" s="628"/>
      <c r="CQ691" s="628"/>
      <c r="CR691" s="628"/>
      <c r="CS691" s="628"/>
      <c r="CT691" s="628"/>
      <c r="CU691" s="628"/>
      <c r="CV691" s="628"/>
      <c r="CW691" s="628"/>
      <c r="CX691" s="628"/>
      <c r="CY691" s="628"/>
      <c r="CZ691" s="629"/>
      <c r="DA691" s="214"/>
    </row>
    <row r="692" spans="1:105" s="16" customFormat="1" ht="13.2" hidden="1" x14ac:dyDescent="0.3">
      <c r="A692" s="630" t="s">
        <v>651</v>
      </c>
      <c r="B692" s="631"/>
      <c r="C692" s="631"/>
      <c r="D692" s="631"/>
      <c r="E692" s="631"/>
      <c r="F692" s="631"/>
      <c r="G692" s="632"/>
      <c r="H692" s="584" t="s">
        <v>977</v>
      </c>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5"/>
      <c r="AL692" s="585"/>
      <c r="AM692" s="585"/>
      <c r="AN692" s="585"/>
      <c r="AO692" s="585"/>
      <c r="AP692" s="585"/>
      <c r="AQ692" s="585"/>
      <c r="AR692" s="585"/>
      <c r="AS692" s="585"/>
      <c r="AT692" s="586"/>
      <c r="AU692" s="475" t="s">
        <v>690</v>
      </c>
      <c r="AV692" s="476"/>
      <c r="AW692" s="476"/>
      <c r="AX692" s="476"/>
      <c r="AY692" s="476"/>
      <c r="AZ692" s="476"/>
      <c r="BA692" s="476"/>
      <c r="BB692" s="477"/>
      <c r="BC692" s="544"/>
      <c r="BD692" s="545"/>
      <c r="BE692" s="545"/>
      <c r="BF692" s="545"/>
      <c r="BG692" s="545"/>
      <c r="BH692" s="545"/>
      <c r="BI692" s="545"/>
      <c r="BJ692" s="545"/>
      <c r="BK692" s="545"/>
      <c r="BL692" s="545"/>
      <c r="BM692" s="545"/>
      <c r="BN692" s="545"/>
      <c r="BO692" s="545"/>
      <c r="BP692" s="545"/>
      <c r="BQ692" s="545"/>
      <c r="BR692" s="546"/>
      <c r="BS692" s="639" t="e">
        <f t="shared" si="10"/>
        <v>#DIV/0!</v>
      </c>
      <c r="BT692" s="640"/>
      <c r="BU692" s="640"/>
      <c r="BV692" s="640"/>
      <c r="BW692" s="640"/>
      <c r="BX692" s="640"/>
      <c r="BY692" s="640"/>
      <c r="BZ692" s="640"/>
      <c r="CA692" s="640"/>
      <c r="CB692" s="640"/>
      <c r="CC692" s="640"/>
      <c r="CD692" s="640"/>
      <c r="CE692" s="640"/>
      <c r="CF692" s="640"/>
      <c r="CG692" s="640"/>
      <c r="CH692" s="641"/>
      <c r="CI692" s="627"/>
      <c r="CJ692" s="628"/>
      <c r="CK692" s="628"/>
      <c r="CL692" s="628"/>
      <c r="CM692" s="628"/>
      <c r="CN692" s="628"/>
      <c r="CO692" s="628"/>
      <c r="CP692" s="628"/>
      <c r="CQ692" s="628"/>
      <c r="CR692" s="628"/>
      <c r="CS692" s="628"/>
      <c r="CT692" s="628"/>
      <c r="CU692" s="628"/>
      <c r="CV692" s="628"/>
      <c r="CW692" s="628"/>
      <c r="CX692" s="628"/>
      <c r="CY692" s="628"/>
      <c r="CZ692" s="629"/>
      <c r="DA692" s="214"/>
    </row>
    <row r="693" spans="1:105" s="16" customFormat="1" ht="13.2" hidden="1" x14ac:dyDescent="0.3">
      <c r="A693" s="630" t="s">
        <v>651</v>
      </c>
      <c r="B693" s="631"/>
      <c r="C693" s="631"/>
      <c r="D693" s="631"/>
      <c r="E693" s="631"/>
      <c r="F693" s="631"/>
      <c r="G693" s="632"/>
      <c r="H693" s="584" t="s">
        <v>972</v>
      </c>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5"/>
      <c r="AL693" s="585"/>
      <c r="AM693" s="585"/>
      <c r="AN693" s="585"/>
      <c r="AO693" s="585"/>
      <c r="AP693" s="585"/>
      <c r="AQ693" s="585"/>
      <c r="AR693" s="585"/>
      <c r="AS693" s="585"/>
      <c r="AT693" s="586"/>
      <c r="AU693" s="475" t="s">
        <v>690</v>
      </c>
      <c r="AV693" s="476"/>
      <c r="AW693" s="476"/>
      <c r="AX693" s="476"/>
      <c r="AY693" s="476"/>
      <c r="AZ693" s="476"/>
      <c r="BA693" s="476"/>
      <c r="BB693" s="477"/>
      <c r="BC693" s="544"/>
      <c r="BD693" s="545"/>
      <c r="BE693" s="545"/>
      <c r="BF693" s="545"/>
      <c r="BG693" s="545"/>
      <c r="BH693" s="545"/>
      <c r="BI693" s="545"/>
      <c r="BJ693" s="545"/>
      <c r="BK693" s="545"/>
      <c r="BL693" s="545"/>
      <c r="BM693" s="545"/>
      <c r="BN693" s="545"/>
      <c r="BO693" s="545"/>
      <c r="BP693" s="545"/>
      <c r="BQ693" s="545"/>
      <c r="BR693" s="546"/>
      <c r="BS693" s="639" t="e">
        <f t="shared" si="10"/>
        <v>#DIV/0!</v>
      </c>
      <c r="BT693" s="640"/>
      <c r="BU693" s="640"/>
      <c r="BV693" s="640"/>
      <c r="BW693" s="640"/>
      <c r="BX693" s="640"/>
      <c r="BY693" s="640"/>
      <c r="BZ693" s="640"/>
      <c r="CA693" s="640"/>
      <c r="CB693" s="640"/>
      <c r="CC693" s="640"/>
      <c r="CD693" s="640"/>
      <c r="CE693" s="640"/>
      <c r="CF693" s="640"/>
      <c r="CG693" s="640"/>
      <c r="CH693" s="641"/>
      <c r="CI693" s="627"/>
      <c r="CJ693" s="628"/>
      <c r="CK693" s="628"/>
      <c r="CL693" s="628"/>
      <c r="CM693" s="628"/>
      <c r="CN693" s="628"/>
      <c r="CO693" s="628"/>
      <c r="CP693" s="628"/>
      <c r="CQ693" s="628"/>
      <c r="CR693" s="628"/>
      <c r="CS693" s="628"/>
      <c r="CT693" s="628"/>
      <c r="CU693" s="628"/>
      <c r="CV693" s="628"/>
      <c r="CW693" s="628"/>
      <c r="CX693" s="628"/>
      <c r="CY693" s="628"/>
      <c r="CZ693" s="629"/>
      <c r="DA693" s="214"/>
    </row>
    <row r="694" spans="1:105" s="16" customFormat="1" ht="13.2" hidden="1" x14ac:dyDescent="0.3">
      <c r="A694" s="630" t="s">
        <v>651</v>
      </c>
      <c r="B694" s="631"/>
      <c r="C694" s="631"/>
      <c r="D694" s="631"/>
      <c r="E694" s="631"/>
      <c r="F694" s="631"/>
      <c r="G694" s="632"/>
      <c r="H694" s="584" t="s">
        <v>978</v>
      </c>
      <c r="I694" s="585"/>
      <c r="J694" s="585"/>
      <c r="K694" s="585"/>
      <c r="L694" s="585"/>
      <c r="M694" s="585"/>
      <c r="N694" s="585"/>
      <c r="O694" s="585"/>
      <c r="P694" s="585"/>
      <c r="Q694" s="585"/>
      <c r="R694" s="585"/>
      <c r="S694" s="585"/>
      <c r="T694" s="585"/>
      <c r="U694" s="585"/>
      <c r="V694" s="585"/>
      <c r="W694" s="585"/>
      <c r="X694" s="585"/>
      <c r="Y694" s="585"/>
      <c r="Z694" s="585"/>
      <c r="AA694" s="585"/>
      <c r="AB694" s="585"/>
      <c r="AC694" s="585"/>
      <c r="AD694" s="585"/>
      <c r="AE694" s="585"/>
      <c r="AF694" s="585"/>
      <c r="AG694" s="585"/>
      <c r="AH694" s="585"/>
      <c r="AI694" s="585"/>
      <c r="AJ694" s="585"/>
      <c r="AK694" s="585"/>
      <c r="AL694" s="585"/>
      <c r="AM694" s="585"/>
      <c r="AN694" s="585"/>
      <c r="AO694" s="585"/>
      <c r="AP694" s="585"/>
      <c r="AQ694" s="585"/>
      <c r="AR694" s="585"/>
      <c r="AS694" s="585"/>
      <c r="AT694" s="586"/>
      <c r="AU694" s="475" t="s">
        <v>690</v>
      </c>
      <c r="AV694" s="476"/>
      <c r="AW694" s="476"/>
      <c r="AX694" s="476"/>
      <c r="AY694" s="476"/>
      <c r="AZ694" s="476"/>
      <c r="BA694" s="476"/>
      <c r="BB694" s="477"/>
      <c r="BC694" s="544"/>
      <c r="BD694" s="545"/>
      <c r="BE694" s="545"/>
      <c r="BF694" s="545"/>
      <c r="BG694" s="545"/>
      <c r="BH694" s="545"/>
      <c r="BI694" s="545"/>
      <c r="BJ694" s="545"/>
      <c r="BK694" s="545"/>
      <c r="BL694" s="545"/>
      <c r="BM694" s="545"/>
      <c r="BN694" s="545"/>
      <c r="BO694" s="545"/>
      <c r="BP694" s="545"/>
      <c r="BQ694" s="545"/>
      <c r="BR694" s="546"/>
      <c r="BS694" s="639" t="e">
        <f t="shared" si="10"/>
        <v>#DIV/0!</v>
      </c>
      <c r="BT694" s="640"/>
      <c r="BU694" s="640"/>
      <c r="BV694" s="640"/>
      <c r="BW694" s="640"/>
      <c r="BX694" s="640"/>
      <c r="BY694" s="640"/>
      <c r="BZ694" s="640"/>
      <c r="CA694" s="640"/>
      <c r="CB694" s="640"/>
      <c r="CC694" s="640"/>
      <c r="CD694" s="640"/>
      <c r="CE694" s="640"/>
      <c r="CF694" s="640"/>
      <c r="CG694" s="640"/>
      <c r="CH694" s="641"/>
      <c r="CI694" s="627"/>
      <c r="CJ694" s="628"/>
      <c r="CK694" s="628"/>
      <c r="CL694" s="628"/>
      <c r="CM694" s="628"/>
      <c r="CN694" s="628"/>
      <c r="CO694" s="628"/>
      <c r="CP694" s="628"/>
      <c r="CQ694" s="628"/>
      <c r="CR694" s="628"/>
      <c r="CS694" s="628"/>
      <c r="CT694" s="628"/>
      <c r="CU694" s="628"/>
      <c r="CV694" s="628"/>
      <c r="CW694" s="628"/>
      <c r="CX694" s="628"/>
      <c r="CY694" s="628"/>
      <c r="CZ694" s="629"/>
      <c r="DA694" s="214"/>
    </row>
    <row r="695" spans="1:105" s="16" customFormat="1" ht="13.2" hidden="1" x14ac:dyDescent="0.3">
      <c r="A695" s="630" t="s">
        <v>651</v>
      </c>
      <c r="B695" s="631"/>
      <c r="C695" s="631"/>
      <c r="D695" s="631"/>
      <c r="E695" s="631"/>
      <c r="F695" s="631"/>
      <c r="G695" s="632"/>
      <c r="H695" s="584" t="s">
        <v>979</v>
      </c>
      <c r="I695" s="585"/>
      <c r="J695" s="585"/>
      <c r="K695" s="585"/>
      <c r="L695" s="585"/>
      <c r="M695" s="585"/>
      <c r="N695" s="585"/>
      <c r="O695" s="585"/>
      <c r="P695" s="585"/>
      <c r="Q695" s="585"/>
      <c r="R695" s="585"/>
      <c r="S695" s="585"/>
      <c r="T695" s="585"/>
      <c r="U695" s="585"/>
      <c r="V695" s="585"/>
      <c r="W695" s="585"/>
      <c r="X695" s="585"/>
      <c r="Y695" s="585"/>
      <c r="Z695" s="585"/>
      <c r="AA695" s="585"/>
      <c r="AB695" s="585"/>
      <c r="AC695" s="585"/>
      <c r="AD695" s="585"/>
      <c r="AE695" s="585"/>
      <c r="AF695" s="585"/>
      <c r="AG695" s="585"/>
      <c r="AH695" s="585"/>
      <c r="AI695" s="585"/>
      <c r="AJ695" s="585"/>
      <c r="AK695" s="585"/>
      <c r="AL695" s="585"/>
      <c r="AM695" s="585"/>
      <c r="AN695" s="585"/>
      <c r="AO695" s="585"/>
      <c r="AP695" s="585"/>
      <c r="AQ695" s="585"/>
      <c r="AR695" s="585"/>
      <c r="AS695" s="585"/>
      <c r="AT695" s="586"/>
      <c r="AU695" s="475" t="s">
        <v>690</v>
      </c>
      <c r="AV695" s="476"/>
      <c r="AW695" s="476"/>
      <c r="AX695" s="476"/>
      <c r="AY695" s="476"/>
      <c r="AZ695" s="476"/>
      <c r="BA695" s="476"/>
      <c r="BB695" s="477"/>
      <c r="BC695" s="544"/>
      <c r="BD695" s="545"/>
      <c r="BE695" s="545"/>
      <c r="BF695" s="545"/>
      <c r="BG695" s="545"/>
      <c r="BH695" s="545"/>
      <c r="BI695" s="545"/>
      <c r="BJ695" s="545"/>
      <c r="BK695" s="545"/>
      <c r="BL695" s="545"/>
      <c r="BM695" s="545"/>
      <c r="BN695" s="545"/>
      <c r="BO695" s="545"/>
      <c r="BP695" s="545"/>
      <c r="BQ695" s="545"/>
      <c r="BR695" s="546"/>
      <c r="BS695" s="639" t="e">
        <f t="shared" si="10"/>
        <v>#DIV/0!</v>
      </c>
      <c r="BT695" s="640"/>
      <c r="BU695" s="640"/>
      <c r="BV695" s="640"/>
      <c r="BW695" s="640"/>
      <c r="BX695" s="640"/>
      <c r="BY695" s="640"/>
      <c r="BZ695" s="640"/>
      <c r="CA695" s="640"/>
      <c r="CB695" s="640"/>
      <c r="CC695" s="640"/>
      <c r="CD695" s="640"/>
      <c r="CE695" s="640"/>
      <c r="CF695" s="640"/>
      <c r="CG695" s="640"/>
      <c r="CH695" s="641"/>
      <c r="CI695" s="627"/>
      <c r="CJ695" s="628"/>
      <c r="CK695" s="628"/>
      <c r="CL695" s="628"/>
      <c r="CM695" s="628"/>
      <c r="CN695" s="628"/>
      <c r="CO695" s="628"/>
      <c r="CP695" s="628"/>
      <c r="CQ695" s="628"/>
      <c r="CR695" s="628"/>
      <c r="CS695" s="628"/>
      <c r="CT695" s="628"/>
      <c r="CU695" s="628"/>
      <c r="CV695" s="628"/>
      <c r="CW695" s="628"/>
      <c r="CX695" s="628"/>
      <c r="CY695" s="628"/>
      <c r="CZ695" s="629"/>
      <c r="DA695" s="214"/>
    </row>
    <row r="696" spans="1:105" s="16" customFormat="1" ht="31.5" customHeight="1" x14ac:dyDescent="0.3">
      <c r="A696" s="630"/>
      <c r="B696" s="631"/>
      <c r="C696" s="631"/>
      <c r="D696" s="631"/>
      <c r="E696" s="631"/>
      <c r="F696" s="631"/>
      <c r="G696" s="632"/>
      <c r="H696" s="584" t="s">
        <v>713</v>
      </c>
      <c r="I696" s="585"/>
      <c r="J696" s="585"/>
      <c r="K696" s="585"/>
      <c r="L696" s="585"/>
      <c r="M696" s="585"/>
      <c r="N696" s="585"/>
      <c r="O696" s="585"/>
      <c r="P696" s="585"/>
      <c r="Q696" s="585"/>
      <c r="R696" s="585"/>
      <c r="S696" s="585"/>
      <c r="T696" s="585"/>
      <c r="U696" s="585"/>
      <c r="V696" s="585"/>
      <c r="W696" s="585"/>
      <c r="X696" s="585"/>
      <c r="Y696" s="585"/>
      <c r="Z696" s="585"/>
      <c r="AA696" s="585"/>
      <c r="AB696" s="585"/>
      <c r="AC696" s="585"/>
      <c r="AD696" s="585"/>
      <c r="AE696" s="585"/>
      <c r="AF696" s="585"/>
      <c r="AG696" s="585"/>
      <c r="AH696" s="585"/>
      <c r="AI696" s="585"/>
      <c r="AJ696" s="585"/>
      <c r="AK696" s="585"/>
      <c r="AL696" s="585"/>
      <c r="AM696" s="585"/>
      <c r="AN696" s="585"/>
      <c r="AO696" s="585"/>
      <c r="AP696" s="585"/>
      <c r="AQ696" s="585"/>
      <c r="AR696" s="585"/>
      <c r="AS696" s="585"/>
      <c r="AT696" s="586"/>
      <c r="AU696" s="475"/>
      <c r="AV696" s="476"/>
      <c r="AW696" s="476"/>
      <c r="AX696" s="476"/>
      <c r="AY696" s="476"/>
      <c r="AZ696" s="476"/>
      <c r="BA696" s="476"/>
      <c r="BB696" s="477"/>
      <c r="BC696" s="647">
        <f>SUM(BC697:BR709)</f>
        <v>1039</v>
      </c>
      <c r="BD696" s="637"/>
      <c r="BE696" s="637"/>
      <c r="BF696" s="637"/>
      <c r="BG696" s="637"/>
      <c r="BH696" s="637"/>
      <c r="BI696" s="637"/>
      <c r="BJ696" s="637"/>
      <c r="BK696" s="637"/>
      <c r="BL696" s="637"/>
      <c r="BM696" s="637"/>
      <c r="BN696" s="637"/>
      <c r="BO696" s="637"/>
      <c r="BP696" s="637"/>
      <c r="BQ696" s="637"/>
      <c r="BR696" s="638"/>
      <c r="BS696" s="644">
        <f>BS707</f>
        <v>80</v>
      </c>
      <c r="BT696" s="645"/>
      <c r="BU696" s="645"/>
      <c r="BV696" s="645"/>
      <c r="BW696" s="645"/>
      <c r="BX696" s="645"/>
      <c r="BY696" s="645"/>
      <c r="BZ696" s="645"/>
      <c r="CA696" s="645"/>
      <c r="CB696" s="645"/>
      <c r="CC696" s="645"/>
      <c r="CD696" s="645"/>
      <c r="CE696" s="645"/>
      <c r="CF696" s="645"/>
      <c r="CG696" s="645"/>
      <c r="CH696" s="646"/>
      <c r="CI696" s="636">
        <f>SUM(CI697:CZ709)</f>
        <v>53000</v>
      </c>
      <c r="CJ696" s="654"/>
      <c r="CK696" s="654"/>
      <c r="CL696" s="654"/>
      <c r="CM696" s="654"/>
      <c r="CN696" s="654"/>
      <c r="CO696" s="654"/>
      <c r="CP696" s="654"/>
      <c r="CQ696" s="654"/>
      <c r="CR696" s="654"/>
      <c r="CS696" s="654"/>
      <c r="CT696" s="654"/>
      <c r="CU696" s="654"/>
      <c r="CV696" s="654"/>
      <c r="CW696" s="654"/>
      <c r="CX696" s="654"/>
      <c r="CY696" s="654"/>
      <c r="CZ696" s="655"/>
      <c r="DA696" s="214"/>
    </row>
    <row r="697" spans="1:105" s="16" customFormat="1" ht="13.2" x14ac:dyDescent="0.3">
      <c r="A697" s="630" t="s">
        <v>441</v>
      </c>
      <c r="B697" s="631"/>
      <c r="C697" s="631"/>
      <c r="D697" s="631"/>
      <c r="E697" s="631"/>
      <c r="F697" s="631"/>
      <c r="G697" s="632"/>
      <c r="H697" s="584" t="s">
        <v>920</v>
      </c>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5"/>
      <c r="AL697" s="585"/>
      <c r="AM697" s="585"/>
      <c r="AN697" s="585"/>
      <c r="AO697" s="585"/>
      <c r="AP697" s="585"/>
      <c r="AQ697" s="585"/>
      <c r="AR697" s="585"/>
      <c r="AS697" s="585"/>
      <c r="AT697" s="586"/>
      <c r="AU697" s="475" t="s">
        <v>690</v>
      </c>
      <c r="AV697" s="476"/>
      <c r="AW697" s="476"/>
      <c r="AX697" s="476"/>
      <c r="AY697" s="476"/>
      <c r="AZ697" s="476"/>
      <c r="BA697" s="476"/>
      <c r="BB697" s="477"/>
      <c r="BC697" s="544">
        <v>96</v>
      </c>
      <c r="BD697" s="545"/>
      <c r="BE697" s="545"/>
      <c r="BF697" s="545"/>
      <c r="BG697" s="545"/>
      <c r="BH697" s="545"/>
      <c r="BI697" s="545"/>
      <c r="BJ697" s="545"/>
      <c r="BK697" s="545"/>
      <c r="BL697" s="545"/>
      <c r="BM697" s="545"/>
      <c r="BN697" s="545"/>
      <c r="BO697" s="545"/>
      <c r="BP697" s="545"/>
      <c r="BQ697" s="545"/>
      <c r="BR697" s="546"/>
      <c r="BS697" s="639">
        <f>CI697/BC697</f>
        <v>104.16666666666667</v>
      </c>
      <c r="BT697" s="640"/>
      <c r="BU697" s="640"/>
      <c r="BV697" s="640"/>
      <c r="BW697" s="640"/>
      <c r="BX697" s="640"/>
      <c r="BY697" s="640"/>
      <c r="BZ697" s="640"/>
      <c r="CA697" s="640"/>
      <c r="CB697" s="640"/>
      <c r="CC697" s="640"/>
      <c r="CD697" s="640"/>
      <c r="CE697" s="640"/>
      <c r="CF697" s="640"/>
      <c r="CG697" s="640"/>
      <c r="CH697" s="641"/>
      <c r="CI697" s="627">
        <v>10000</v>
      </c>
      <c r="CJ697" s="628"/>
      <c r="CK697" s="628"/>
      <c r="CL697" s="628"/>
      <c r="CM697" s="628"/>
      <c r="CN697" s="628"/>
      <c r="CO697" s="628"/>
      <c r="CP697" s="628"/>
      <c r="CQ697" s="628"/>
      <c r="CR697" s="628"/>
      <c r="CS697" s="628"/>
      <c r="CT697" s="628"/>
      <c r="CU697" s="628"/>
      <c r="CV697" s="628"/>
      <c r="CW697" s="628"/>
      <c r="CX697" s="628"/>
      <c r="CY697" s="628"/>
      <c r="CZ697" s="629"/>
      <c r="DA697" s="214"/>
    </row>
    <row r="698" spans="1:105" s="16" customFormat="1" ht="13.2" x14ac:dyDescent="0.3">
      <c r="A698" s="630" t="s">
        <v>444</v>
      </c>
      <c r="B698" s="631"/>
      <c r="C698" s="631"/>
      <c r="D698" s="631"/>
      <c r="E698" s="631"/>
      <c r="F698" s="631"/>
      <c r="G698" s="632"/>
      <c r="H698" s="584" t="s">
        <v>921</v>
      </c>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5"/>
      <c r="AL698" s="585"/>
      <c r="AM698" s="585"/>
      <c r="AN698" s="585"/>
      <c r="AO698" s="585"/>
      <c r="AP698" s="585"/>
      <c r="AQ698" s="585"/>
      <c r="AR698" s="585"/>
      <c r="AS698" s="585"/>
      <c r="AT698" s="586"/>
      <c r="AU698" s="475" t="s">
        <v>690</v>
      </c>
      <c r="AV698" s="476"/>
      <c r="AW698" s="476"/>
      <c r="AX698" s="476"/>
      <c r="AY698" s="476"/>
      <c r="AZ698" s="476"/>
      <c r="BA698" s="476"/>
      <c r="BB698" s="477"/>
      <c r="BC698" s="544">
        <f>72+17</f>
        <v>89</v>
      </c>
      <c r="BD698" s="545"/>
      <c r="BE698" s="545"/>
      <c r="BF698" s="545"/>
      <c r="BG698" s="545"/>
      <c r="BH698" s="545"/>
      <c r="BI698" s="545"/>
      <c r="BJ698" s="545"/>
      <c r="BK698" s="545"/>
      <c r="BL698" s="545"/>
      <c r="BM698" s="545"/>
      <c r="BN698" s="545"/>
      <c r="BO698" s="545"/>
      <c r="BP698" s="545"/>
      <c r="BQ698" s="545"/>
      <c r="BR698" s="546"/>
      <c r="BS698" s="639">
        <f>CI698/BC698</f>
        <v>44.943820224719104</v>
      </c>
      <c r="BT698" s="640"/>
      <c r="BU698" s="640"/>
      <c r="BV698" s="640"/>
      <c r="BW698" s="640"/>
      <c r="BX698" s="640"/>
      <c r="BY698" s="640"/>
      <c r="BZ698" s="640"/>
      <c r="CA698" s="640"/>
      <c r="CB698" s="640"/>
      <c r="CC698" s="640"/>
      <c r="CD698" s="640"/>
      <c r="CE698" s="640"/>
      <c r="CF698" s="640"/>
      <c r="CG698" s="640"/>
      <c r="CH698" s="641"/>
      <c r="CI698" s="627">
        <v>4000</v>
      </c>
      <c r="CJ698" s="628"/>
      <c r="CK698" s="628"/>
      <c r="CL698" s="628"/>
      <c r="CM698" s="628"/>
      <c r="CN698" s="628"/>
      <c r="CO698" s="628"/>
      <c r="CP698" s="628"/>
      <c r="CQ698" s="628"/>
      <c r="CR698" s="628"/>
      <c r="CS698" s="628"/>
      <c r="CT698" s="628"/>
      <c r="CU698" s="628"/>
      <c r="CV698" s="628"/>
      <c r="CW698" s="628"/>
      <c r="CX698" s="628"/>
      <c r="CY698" s="628"/>
      <c r="CZ698" s="629"/>
      <c r="DA698" s="214"/>
    </row>
    <row r="699" spans="1:105" s="16" customFormat="1" ht="13.2" x14ac:dyDescent="0.3">
      <c r="A699" s="630" t="s">
        <v>446</v>
      </c>
      <c r="B699" s="631"/>
      <c r="C699" s="631"/>
      <c r="D699" s="631"/>
      <c r="E699" s="631"/>
      <c r="F699" s="631"/>
      <c r="G699" s="632"/>
      <c r="H699" s="584" t="s">
        <v>986</v>
      </c>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5"/>
      <c r="AL699" s="585"/>
      <c r="AM699" s="585"/>
      <c r="AN699" s="585"/>
      <c r="AO699" s="585"/>
      <c r="AP699" s="585"/>
      <c r="AQ699" s="585"/>
      <c r="AR699" s="585"/>
      <c r="AS699" s="585"/>
      <c r="AT699" s="586"/>
      <c r="AU699" s="475" t="s">
        <v>690</v>
      </c>
      <c r="AV699" s="476"/>
      <c r="AW699" s="476"/>
      <c r="AX699" s="476"/>
      <c r="AY699" s="476"/>
      <c r="AZ699" s="476"/>
      <c r="BA699" s="476"/>
      <c r="BB699" s="477"/>
      <c r="BC699" s="544">
        <v>210</v>
      </c>
      <c r="BD699" s="545"/>
      <c r="BE699" s="545"/>
      <c r="BF699" s="545"/>
      <c r="BG699" s="545"/>
      <c r="BH699" s="545"/>
      <c r="BI699" s="545"/>
      <c r="BJ699" s="545"/>
      <c r="BK699" s="545"/>
      <c r="BL699" s="545"/>
      <c r="BM699" s="545"/>
      <c r="BN699" s="545"/>
      <c r="BO699" s="545"/>
      <c r="BP699" s="545"/>
      <c r="BQ699" s="545"/>
      <c r="BR699" s="546"/>
      <c r="BS699" s="639">
        <f t="shared" ref="BS699:BS706" si="11">CI699/BC699</f>
        <v>23.80952380952381</v>
      </c>
      <c r="BT699" s="640"/>
      <c r="BU699" s="640"/>
      <c r="BV699" s="640"/>
      <c r="BW699" s="640"/>
      <c r="BX699" s="640"/>
      <c r="BY699" s="640"/>
      <c r="BZ699" s="640"/>
      <c r="CA699" s="640"/>
      <c r="CB699" s="640"/>
      <c r="CC699" s="640"/>
      <c r="CD699" s="640"/>
      <c r="CE699" s="640"/>
      <c r="CF699" s="640"/>
      <c r="CG699" s="640"/>
      <c r="CH699" s="641"/>
      <c r="CI699" s="627">
        <v>5000</v>
      </c>
      <c r="CJ699" s="628"/>
      <c r="CK699" s="628"/>
      <c r="CL699" s="628"/>
      <c r="CM699" s="628"/>
      <c r="CN699" s="628"/>
      <c r="CO699" s="628"/>
      <c r="CP699" s="628"/>
      <c r="CQ699" s="628"/>
      <c r="CR699" s="628"/>
      <c r="CS699" s="628"/>
      <c r="CT699" s="628"/>
      <c r="CU699" s="628"/>
      <c r="CV699" s="628"/>
      <c r="CW699" s="628"/>
      <c r="CX699" s="628"/>
      <c r="CY699" s="628"/>
      <c r="CZ699" s="629"/>
      <c r="DA699" s="214"/>
    </row>
    <row r="700" spans="1:105" s="16" customFormat="1" ht="13.2" x14ac:dyDescent="0.3">
      <c r="A700" s="630" t="s">
        <v>551</v>
      </c>
      <c r="B700" s="631"/>
      <c r="C700" s="631"/>
      <c r="D700" s="631"/>
      <c r="E700" s="631"/>
      <c r="F700" s="631"/>
      <c r="G700" s="632"/>
      <c r="H700" s="584" t="s">
        <v>994</v>
      </c>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5"/>
      <c r="AL700" s="585"/>
      <c r="AM700" s="585"/>
      <c r="AN700" s="585"/>
      <c r="AO700" s="585"/>
      <c r="AP700" s="585"/>
      <c r="AQ700" s="585"/>
      <c r="AR700" s="585"/>
      <c r="AS700" s="585"/>
      <c r="AT700" s="586"/>
      <c r="AU700" s="475" t="s">
        <v>690</v>
      </c>
      <c r="AV700" s="476"/>
      <c r="AW700" s="476"/>
      <c r="AX700" s="476"/>
      <c r="AY700" s="476"/>
      <c r="AZ700" s="476"/>
      <c r="BA700" s="476"/>
      <c r="BB700" s="477"/>
      <c r="BC700" s="544">
        <v>2</v>
      </c>
      <c r="BD700" s="545"/>
      <c r="BE700" s="545"/>
      <c r="BF700" s="545"/>
      <c r="BG700" s="545"/>
      <c r="BH700" s="545"/>
      <c r="BI700" s="545"/>
      <c r="BJ700" s="545"/>
      <c r="BK700" s="545"/>
      <c r="BL700" s="545"/>
      <c r="BM700" s="545"/>
      <c r="BN700" s="545"/>
      <c r="BO700" s="545"/>
      <c r="BP700" s="545"/>
      <c r="BQ700" s="545"/>
      <c r="BR700" s="546"/>
      <c r="BS700" s="639">
        <f t="shared" si="11"/>
        <v>250</v>
      </c>
      <c r="BT700" s="640"/>
      <c r="BU700" s="640"/>
      <c r="BV700" s="640"/>
      <c r="BW700" s="640"/>
      <c r="BX700" s="640"/>
      <c r="BY700" s="640"/>
      <c r="BZ700" s="640"/>
      <c r="CA700" s="640"/>
      <c r="CB700" s="640"/>
      <c r="CC700" s="640"/>
      <c r="CD700" s="640"/>
      <c r="CE700" s="640"/>
      <c r="CF700" s="640"/>
      <c r="CG700" s="640"/>
      <c r="CH700" s="641"/>
      <c r="CI700" s="627">
        <v>500</v>
      </c>
      <c r="CJ700" s="628"/>
      <c r="CK700" s="628"/>
      <c r="CL700" s="628"/>
      <c r="CM700" s="628"/>
      <c r="CN700" s="628"/>
      <c r="CO700" s="628"/>
      <c r="CP700" s="628"/>
      <c r="CQ700" s="628"/>
      <c r="CR700" s="628"/>
      <c r="CS700" s="628"/>
      <c r="CT700" s="628"/>
      <c r="CU700" s="628"/>
      <c r="CV700" s="628"/>
      <c r="CW700" s="628"/>
      <c r="CX700" s="628"/>
      <c r="CY700" s="628"/>
      <c r="CZ700" s="629"/>
      <c r="DA700" s="214"/>
    </row>
    <row r="701" spans="1:105" s="16" customFormat="1" ht="13.2" x14ac:dyDescent="0.3">
      <c r="A701" s="630" t="s">
        <v>599</v>
      </c>
      <c r="B701" s="631"/>
      <c r="C701" s="631"/>
      <c r="D701" s="631"/>
      <c r="E701" s="631"/>
      <c r="F701" s="631"/>
      <c r="G701" s="632"/>
      <c r="H701" s="584" t="s">
        <v>922</v>
      </c>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5"/>
      <c r="AL701" s="585"/>
      <c r="AM701" s="585"/>
      <c r="AN701" s="585"/>
      <c r="AO701" s="585"/>
      <c r="AP701" s="585"/>
      <c r="AQ701" s="585"/>
      <c r="AR701" s="585"/>
      <c r="AS701" s="585"/>
      <c r="AT701" s="586"/>
      <c r="AU701" s="475" t="s">
        <v>690</v>
      </c>
      <c r="AV701" s="476"/>
      <c r="AW701" s="476"/>
      <c r="AX701" s="476"/>
      <c r="AY701" s="476"/>
      <c r="AZ701" s="476"/>
      <c r="BA701" s="476"/>
      <c r="BB701" s="477"/>
      <c r="BC701" s="544">
        <v>255</v>
      </c>
      <c r="BD701" s="545"/>
      <c r="BE701" s="545"/>
      <c r="BF701" s="545"/>
      <c r="BG701" s="545"/>
      <c r="BH701" s="545"/>
      <c r="BI701" s="545"/>
      <c r="BJ701" s="545"/>
      <c r="BK701" s="545"/>
      <c r="BL701" s="545"/>
      <c r="BM701" s="545"/>
      <c r="BN701" s="545"/>
      <c r="BO701" s="545"/>
      <c r="BP701" s="545"/>
      <c r="BQ701" s="545"/>
      <c r="BR701" s="546"/>
      <c r="BS701" s="639">
        <f t="shared" si="11"/>
        <v>39.215686274509807</v>
      </c>
      <c r="BT701" s="640"/>
      <c r="BU701" s="640"/>
      <c r="BV701" s="640"/>
      <c r="BW701" s="640"/>
      <c r="BX701" s="640"/>
      <c r="BY701" s="640"/>
      <c r="BZ701" s="640"/>
      <c r="CA701" s="640"/>
      <c r="CB701" s="640"/>
      <c r="CC701" s="640"/>
      <c r="CD701" s="640"/>
      <c r="CE701" s="640"/>
      <c r="CF701" s="640"/>
      <c r="CG701" s="640"/>
      <c r="CH701" s="641"/>
      <c r="CI701" s="627">
        <v>10000</v>
      </c>
      <c r="CJ701" s="628"/>
      <c r="CK701" s="628"/>
      <c r="CL701" s="628"/>
      <c r="CM701" s="628"/>
      <c r="CN701" s="628"/>
      <c r="CO701" s="628"/>
      <c r="CP701" s="628"/>
      <c r="CQ701" s="628"/>
      <c r="CR701" s="628"/>
      <c r="CS701" s="628"/>
      <c r="CT701" s="628"/>
      <c r="CU701" s="628"/>
      <c r="CV701" s="628"/>
      <c r="CW701" s="628"/>
      <c r="CX701" s="628"/>
      <c r="CY701" s="628"/>
      <c r="CZ701" s="629"/>
      <c r="DA701" s="214"/>
    </row>
    <row r="702" spans="1:105" s="16" customFormat="1" ht="13.2" hidden="1" customHeight="1" x14ac:dyDescent="0.3">
      <c r="A702" s="630" t="s">
        <v>642</v>
      </c>
      <c r="B702" s="631"/>
      <c r="C702" s="631"/>
      <c r="D702" s="631"/>
      <c r="E702" s="631"/>
      <c r="F702" s="631"/>
      <c r="G702" s="632"/>
      <c r="H702" s="584" t="s">
        <v>714</v>
      </c>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5"/>
      <c r="AL702" s="585"/>
      <c r="AM702" s="585"/>
      <c r="AN702" s="585"/>
      <c r="AO702" s="585"/>
      <c r="AP702" s="585"/>
      <c r="AQ702" s="585"/>
      <c r="AR702" s="585"/>
      <c r="AS702" s="585"/>
      <c r="AT702" s="586"/>
      <c r="AU702" s="475" t="s">
        <v>715</v>
      </c>
      <c r="AV702" s="476"/>
      <c r="AW702" s="476"/>
      <c r="AX702" s="476"/>
      <c r="AY702" s="476"/>
      <c r="AZ702" s="476"/>
      <c r="BA702" s="476"/>
      <c r="BB702" s="477"/>
      <c r="BC702" s="544"/>
      <c r="BD702" s="545"/>
      <c r="BE702" s="545"/>
      <c r="BF702" s="545"/>
      <c r="BG702" s="545"/>
      <c r="BH702" s="545"/>
      <c r="BI702" s="545"/>
      <c r="BJ702" s="545"/>
      <c r="BK702" s="545"/>
      <c r="BL702" s="545"/>
      <c r="BM702" s="545"/>
      <c r="BN702" s="545"/>
      <c r="BO702" s="545"/>
      <c r="BP702" s="545"/>
      <c r="BQ702" s="545"/>
      <c r="BR702" s="546"/>
      <c r="BS702" s="639"/>
      <c r="BT702" s="640"/>
      <c r="BU702" s="640"/>
      <c r="BV702" s="640"/>
      <c r="BW702" s="640"/>
      <c r="BX702" s="640"/>
      <c r="BY702" s="640"/>
      <c r="BZ702" s="640"/>
      <c r="CA702" s="640"/>
      <c r="CB702" s="640"/>
      <c r="CC702" s="640"/>
      <c r="CD702" s="640"/>
      <c r="CE702" s="640"/>
      <c r="CF702" s="640"/>
      <c r="CG702" s="640"/>
      <c r="CH702" s="641"/>
      <c r="CI702" s="627"/>
      <c r="CJ702" s="628"/>
      <c r="CK702" s="628"/>
      <c r="CL702" s="628"/>
      <c r="CM702" s="628"/>
      <c r="CN702" s="628"/>
      <c r="CO702" s="628"/>
      <c r="CP702" s="628"/>
      <c r="CQ702" s="628"/>
      <c r="CR702" s="628"/>
      <c r="CS702" s="628"/>
      <c r="CT702" s="628"/>
      <c r="CU702" s="628"/>
      <c r="CV702" s="628"/>
      <c r="CW702" s="628"/>
      <c r="CX702" s="628"/>
      <c r="CY702" s="628"/>
      <c r="CZ702" s="629"/>
      <c r="DA702" s="214"/>
    </row>
    <row r="703" spans="1:105" s="16" customFormat="1" ht="13.2" x14ac:dyDescent="0.3">
      <c r="A703" s="630" t="s">
        <v>648</v>
      </c>
      <c r="B703" s="631"/>
      <c r="C703" s="631"/>
      <c r="D703" s="631"/>
      <c r="E703" s="631"/>
      <c r="F703" s="631"/>
      <c r="G703" s="632"/>
      <c r="H703" s="584" t="s">
        <v>923</v>
      </c>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5"/>
      <c r="AL703" s="585"/>
      <c r="AM703" s="585"/>
      <c r="AN703" s="585"/>
      <c r="AO703" s="585"/>
      <c r="AP703" s="585"/>
      <c r="AQ703" s="585"/>
      <c r="AR703" s="585"/>
      <c r="AS703" s="585"/>
      <c r="AT703" s="586"/>
      <c r="AU703" s="475" t="s">
        <v>690</v>
      </c>
      <c r="AV703" s="476"/>
      <c r="AW703" s="476"/>
      <c r="AX703" s="476"/>
      <c r="AY703" s="476"/>
      <c r="AZ703" s="476"/>
      <c r="BA703" s="476"/>
      <c r="BB703" s="477"/>
      <c r="BC703" s="544">
        <v>49</v>
      </c>
      <c r="BD703" s="545"/>
      <c r="BE703" s="545"/>
      <c r="BF703" s="545"/>
      <c r="BG703" s="545"/>
      <c r="BH703" s="545"/>
      <c r="BI703" s="545"/>
      <c r="BJ703" s="545"/>
      <c r="BK703" s="545"/>
      <c r="BL703" s="545"/>
      <c r="BM703" s="545"/>
      <c r="BN703" s="545"/>
      <c r="BO703" s="545"/>
      <c r="BP703" s="545"/>
      <c r="BQ703" s="545"/>
      <c r="BR703" s="546"/>
      <c r="BS703" s="639">
        <f t="shared" si="11"/>
        <v>81.632653061224488</v>
      </c>
      <c r="BT703" s="640"/>
      <c r="BU703" s="640"/>
      <c r="BV703" s="640"/>
      <c r="BW703" s="640"/>
      <c r="BX703" s="640"/>
      <c r="BY703" s="640"/>
      <c r="BZ703" s="640"/>
      <c r="CA703" s="640"/>
      <c r="CB703" s="640"/>
      <c r="CC703" s="640"/>
      <c r="CD703" s="640"/>
      <c r="CE703" s="640"/>
      <c r="CF703" s="640"/>
      <c r="CG703" s="640"/>
      <c r="CH703" s="641"/>
      <c r="CI703" s="627">
        <v>4000</v>
      </c>
      <c r="CJ703" s="628"/>
      <c r="CK703" s="628"/>
      <c r="CL703" s="628"/>
      <c r="CM703" s="628"/>
      <c r="CN703" s="628"/>
      <c r="CO703" s="628"/>
      <c r="CP703" s="628"/>
      <c r="CQ703" s="628"/>
      <c r="CR703" s="628"/>
      <c r="CS703" s="628"/>
      <c r="CT703" s="628"/>
      <c r="CU703" s="628"/>
      <c r="CV703" s="628"/>
      <c r="CW703" s="628"/>
      <c r="CX703" s="628"/>
      <c r="CY703" s="628"/>
      <c r="CZ703" s="629"/>
      <c r="DA703" s="214"/>
    </row>
    <row r="704" spans="1:105" s="16" customFormat="1" ht="13.2" hidden="1" customHeight="1" x14ac:dyDescent="0.3">
      <c r="A704" s="630" t="s">
        <v>650</v>
      </c>
      <c r="B704" s="631"/>
      <c r="C704" s="631"/>
      <c r="D704" s="631"/>
      <c r="E704" s="631"/>
      <c r="F704" s="631"/>
      <c r="G704" s="632"/>
      <c r="H704" s="584" t="s">
        <v>924</v>
      </c>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5"/>
      <c r="AL704" s="585"/>
      <c r="AM704" s="585"/>
      <c r="AN704" s="585"/>
      <c r="AO704" s="585"/>
      <c r="AP704" s="585"/>
      <c r="AQ704" s="585"/>
      <c r="AR704" s="585"/>
      <c r="AS704" s="585"/>
      <c r="AT704" s="586"/>
      <c r="AU704" s="475" t="s">
        <v>690</v>
      </c>
      <c r="AV704" s="476"/>
      <c r="AW704" s="476"/>
      <c r="AX704" s="476"/>
      <c r="AY704" s="476"/>
      <c r="AZ704" s="476"/>
      <c r="BA704" s="476"/>
      <c r="BB704" s="477"/>
      <c r="BC704" s="544"/>
      <c r="BD704" s="545"/>
      <c r="BE704" s="545"/>
      <c r="BF704" s="545"/>
      <c r="BG704" s="545"/>
      <c r="BH704" s="545"/>
      <c r="BI704" s="545"/>
      <c r="BJ704" s="545"/>
      <c r="BK704" s="545"/>
      <c r="BL704" s="545"/>
      <c r="BM704" s="545"/>
      <c r="BN704" s="545"/>
      <c r="BO704" s="545"/>
      <c r="BP704" s="545"/>
      <c r="BQ704" s="545"/>
      <c r="BR704" s="546"/>
      <c r="BS704" s="639"/>
      <c r="BT704" s="640"/>
      <c r="BU704" s="640"/>
      <c r="BV704" s="640"/>
      <c r="BW704" s="640"/>
      <c r="BX704" s="640"/>
      <c r="BY704" s="640"/>
      <c r="BZ704" s="640"/>
      <c r="CA704" s="640"/>
      <c r="CB704" s="640"/>
      <c r="CC704" s="640"/>
      <c r="CD704" s="640"/>
      <c r="CE704" s="640"/>
      <c r="CF704" s="640"/>
      <c r="CG704" s="640"/>
      <c r="CH704" s="641"/>
      <c r="CI704" s="627"/>
      <c r="CJ704" s="628"/>
      <c r="CK704" s="628"/>
      <c r="CL704" s="628"/>
      <c r="CM704" s="628"/>
      <c r="CN704" s="628"/>
      <c r="CO704" s="628"/>
      <c r="CP704" s="628"/>
      <c r="CQ704" s="628"/>
      <c r="CR704" s="628"/>
      <c r="CS704" s="628"/>
      <c r="CT704" s="628"/>
      <c r="CU704" s="628"/>
      <c r="CV704" s="628"/>
      <c r="CW704" s="628"/>
      <c r="CX704" s="628"/>
      <c r="CY704" s="628"/>
      <c r="CZ704" s="629"/>
      <c r="DA704" s="214"/>
    </row>
    <row r="705" spans="1:105" s="16" customFormat="1" ht="13.2" x14ac:dyDescent="0.3">
      <c r="A705" s="630" t="s">
        <v>651</v>
      </c>
      <c r="B705" s="631"/>
      <c r="C705" s="631"/>
      <c r="D705" s="631"/>
      <c r="E705" s="631"/>
      <c r="F705" s="631"/>
      <c r="G705" s="632"/>
      <c r="H705" s="584" t="s">
        <v>991</v>
      </c>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5"/>
      <c r="AL705" s="585"/>
      <c r="AM705" s="585"/>
      <c r="AN705" s="585"/>
      <c r="AO705" s="585"/>
      <c r="AP705" s="585"/>
      <c r="AQ705" s="585"/>
      <c r="AR705" s="585"/>
      <c r="AS705" s="585"/>
      <c r="AT705" s="586"/>
      <c r="AU705" s="475" t="s">
        <v>690</v>
      </c>
      <c r="AV705" s="476"/>
      <c r="AW705" s="476"/>
      <c r="AX705" s="476"/>
      <c r="AY705" s="476"/>
      <c r="AZ705" s="476"/>
      <c r="BA705" s="476"/>
      <c r="BB705" s="477"/>
      <c r="BC705" s="544">
        <v>45</v>
      </c>
      <c r="BD705" s="545"/>
      <c r="BE705" s="545"/>
      <c r="BF705" s="545"/>
      <c r="BG705" s="545"/>
      <c r="BH705" s="545"/>
      <c r="BI705" s="545"/>
      <c r="BJ705" s="545"/>
      <c r="BK705" s="545"/>
      <c r="BL705" s="545"/>
      <c r="BM705" s="545"/>
      <c r="BN705" s="545"/>
      <c r="BO705" s="545"/>
      <c r="BP705" s="545"/>
      <c r="BQ705" s="545"/>
      <c r="BR705" s="546"/>
      <c r="BS705" s="639">
        <f t="shared" si="11"/>
        <v>100</v>
      </c>
      <c r="BT705" s="640"/>
      <c r="BU705" s="640"/>
      <c r="BV705" s="640"/>
      <c r="BW705" s="640"/>
      <c r="BX705" s="640"/>
      <c r="BY705" s="640"/>
      <c r="BZ705" s="640"/>
      <c r="CA705" s="640"/>
      <c r="CB705" s="640"/>
      <c r="CC705" s="640"/>
      <c r="CD705" s="640"/>
      <c r="CE705" s="640"/>
      <c r="CF705" s="640"/>
      <c r="CG705" s="640"/>
      <c r="CH705" s="641"/>
      <c r="CI705" s="627">
        <v>4500</v>
      </c>
      <c r="CJ705" s="628"/>
      <c r="CK705" s="628"/>
      <c r="CL705" s="628"/>
      <c r="CM705" s="628"/>
      <c r="CN705" s="628"/>
      <c r="CO705" s="628"/>
      <c r="CP705" s="628"/>
      <c r="CQ705" s="628"/>
      <c r="CR705" s="628"/>
      <c r="CS705" s="628"/>
      <c r="CT705" s="628"/>
      <c r="CU705" s="628"/>
      <c r="CV705" s="628"/>
      <c r="CW705" s="628"/>
      <c r="CX705" s="628"/>
      <c r="CY705" s="628"/>
      <c r="CZ705" s="629"/>
      <c r="DA705" s="214"/>
    </row>
    <row r="706" spans="1:105" s="16" customFormat="1" ht="13.2" x14ac:dyDescent="0.3">
      <c r="A706" s="630" t="s">
        <v>653</v>
      </c>
      <c r="B706" s="631"/>
      <c r="C706" s="631"/>
      <c r="D706" s="631"/>
      <c r="E706" s="631"/>
      <c r="F706" s="631"/>
      <c r="G706" s="632"/>
      <c r="H706" s="584" t="s">
        <v>925</v>
      </c>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5"/>
      <c r="AL706" s="585"/>
      <c r="AM706" s="585"/>
      <c r="AN706" s="585"/>
      <c r="AO706" s="585"/>
      <c r="AP706" s="585"/>
      <c r="AQ706" s="585"/>
      <c r="AR706" s="585"/>
      <c r="AS706" s="585"/>
      <c r="AT706" s="586"/>
      <c r="AU706" s="475" t="s">
        <v>690</v>
      </c>
      <c r="AV706" s="476"/>
      <c r="AW706" s="476"/>
      <c r="AX706" s="476"/>
      <c r="AY706" s="476"/>
      <c r="AZ706" s="476"/>
      <c r="BA706" s="476"/>
      <c r="BB706" s="477"/>
      <c r="BC706" s="544">
        <v>157</v>
      </c>
      <c r="BD706" s="545"/>
      <c r="BE706" s="545"/>
      <c r="BF706" s="545"/>
      <c r="BG706" s="545"/>
      <c r="BH706" s="545"/>
      <c r="BI706" s="545"/>
      <c r="BJ706" s="545"/>
      <c r="BK706" s="545"/>
      <c r="BL706" s="545"/>
      <c r="BM706" s="545"/>
      <c r="BN706" s="545"/>
      <c r="BO706" s="545"/>
      <c r="BP706" s="545"/>
      <c r="BQ706" s="545"/>
      <c r="BR706" s="546"/>
      <c r="BS706" s="639">
        <f t="shared" si="11"/>
        <v>19.108280254777071</v>
      </c>
      <c r="BT706" s="640"/>
      <c r="BU706" s="640"/>
      <c r="BV706" s="640"/>
      <c r="BW706" s="640"/>
      <c r="BX706" s="640"/>
      <c r="BY706" s="640"/>
      <c r="BZ706" s="640"/>
      <c r="CA706" s="640"/>
      <c r="CB706" s="640"/>
      <c r="CC706" s="640"/>
      <c r="CD706" s="640"/>
      <c r="CE706" s="640"/>
      <c r="CF706" s="640"/>
      <c r="CG706" s="640"/>
      <c r="CH706" s="641"/>
      <c r="CI706" s="627">
        <v>3000</v>
      </c>
      <c r="CJ706" s="628"/>
      <c r="CK706" s="628"/>
      <c r="CL706" s="628"/>
      <c r="CM706" s="628"/>
      <c r="CN706" s="628"/>
      <c r="CO706" s="628"/>
      <c r="CP706" s="628"/>
      <c r="CQ706" s="628"/>
      <c r="CR706" s="628"/>
      <c r="CS706" s="628"/>
      <c r="CT706" s="628"/>
      <c r="CU706" s="628"/>
      <c r="CV706" s="628"/>
      <c r="CW706" s="628"/>
      <c r="CX706" s="628"/>
      <c r="CY706" s="628"/>
      <c r="CZ706" s="629"/>
      <c r="DA706" s="214"/>
    </row>
    <row r="707" spans="1:105" s="16" customFormat="1" ht="13.2" x14ac:dyDescent="0.3">
      <c r="A707" s="630" t="s">
        <v>654</v>
      </c>
      <c r="B707" s="631"/>
      <c r="C707" s="631"/>
      <c r="D707" s="631"/>
      <c r="E707" s="631"/>
      <c r="F707" s="631"/>
      <c r="G707" s="632"/>
      <c r="H707" s="584" t="s">
        <v>926</v>
      </c>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5"/>
      <c r="AL707" s="585"/>
      <c r="AM707" s="585"/>
      <c r="AN707" s="585"/>
      <c r="AO707" s="585"/>
      <c r="AP707" s="585"/>
      <c r="AQ707" s="585"/>
      <c r="AR707" s="585"/>
      <c r="AS707" s="585"/>
      <c r="AT707" s="586"/>
      <c r="AU707" s="475" t="s">
        <v>690</v>
      </c>
      <c r="AV707" s="476"/>
      <c r="AW707" s="476"/>
      <c r="AX707" s="476"/>
      <c r="AY707" s="476"/>
      <c r="AZ707" s="476"/>
      <c r="BA707" s="476"/>
      <c r="BB707" s="477"/>
      <c r="BC707" s="544">
        <v>25</v>
      </c>
      <c r="BD707" s="545"/>
      <c r="BE707" s="545"/>
      <c r="BF707" s="545"/>
      <c r="BG707" s="545"/>
      <c r="BH707" s="545"/>
      <c r="BI707" s="545"/>
      <c r="BJ707" s="545"/>
      <c r="BK707" s="545"/>
      <c r="BL707" s="545"/>
      <c r="BM707" s="545"/>
      <c r="BN707" s="545"/>
      <c r="BO707" s="545"/>
      <c r="BP707" s="545"/>
      <c r="BQ707" s="545"/>
      <c r="BR707" s="546"/>
      <c r="BS707" s="639">
        <f>CI707/BC707</f>
        <v>80</v>
      </c>
      <c r="BT707" s="640"/>
      <c r="BU707" s="640"/>
      <c r="BV707" s="640"/>
      <c r="BW707" s="640"/>
      <c r="BX707" s="640"/>
      <c r="BY707" s="640"/>
      <c r="BZ707" s="640"/>
      <c r="CA707" s="640"/>
      <c r="CB707" s="640"/>
      <c r="CC707" s="640"/>
      <c r="CD707" s="640"/>
      <c r="CE707" s="640"/>
      <c r="CF707" s="640"/>
      <c r="CG707" s="640"/>
      <c r="CH707" s="641"/>
      <c r="CI707" s="627">
        <v>2000</v>
      </c>
      <c r="CJ707" s="628"/>
      <c r="CK707" s="628"/>
      <c r="CL707" s="628"/>
      <c r="CM707" s="628"/>
      <c r="CN707" s="628"/>
      <c r="CO707" s="628"/>
      <c r="CP707" s="628"/>
      <c r="CQ707" s="628"/>
      <c r="CR707" s="628"/>
      <c r="CS707" s="628"/>
      <c r="CT707" s="628"/>
      <c r="CU707" s="628"/>
      <c r="CV707" s="628"/>
      <c r="CW707" s="628"/>
      <c r="CX707" s="628"/>
      <c r="CY707" s="628"/>
      <c r="CZ707" s="629"/>
      <c r="DA707" s="214"/>
    </row>
    <row r="708" spans="1:105" s="16" customFormat="1" ht="13.2" x14ac:dyDescent="0.3">
      <c r="A708" s="630" t="s">
        <v>655</v>
      </c>
      <c r="B708" s="631"/>
      <c r="C708" s="631"/>
      <c r="D708" s="631"/>
      <c r="E708" s="631"/>
      <c r="F708" s="631"/>
      <c r="G708" s="632"/>
      <c r="H708" s="584" t="s">
        <v>992</v>
      </c>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5"/>
      <c r="AL708" s="585"/>
      <c r="AM708" s="585"/>
      <c r="AN708" s="585"/>
      <c r="AO708" s="585"/>
      <c r="AP708" s="585"/>
      <c r="AQ708" s="585"/>
      <c r="AR708" s="585"/>
      <c r="AS708" s="585"/>
      <c r="AT708" s="586"/>
      <c r="AU708" s="475" t="s">
        <v>690</v>
      </c>
      <c r="AV708" s="476"/>
      <c r="AW708" s="476"/>
      <c r="AX708" s="476"/>
      <c r="AY708" s="476"/>
      <c r="AZ708" s="476"/>
      <c r="BA708" s="476"/>
      <c r="BB708" s="477"/>
      <c r="BC708" s="544">
        <v>75</v>
      </c>
      <c r="BD708" s="545"/>
      <c r="BE708" s="545"/>
      <c r="BF708" s="545"/>
      <c r="BG708" s="545"/>
      <c r="BH708" s="545"/>
      <c r="BI708" s="545"/>
      <c r="BJ708" s="545"/>
      <c r="BK708" s="545"/>
      <c r="BL708" s="545"/>
      <c r="BM708" s="545"/>
      <c r="BN708" s="545"/>
      <c r="BO708" s="545"/>
      <c r="BP708" s="545"/>
      <c r="BQ708" s="545"/>
      <c r="BR708" s="546"/>
      <c r="BS708" s="639">
        <f>CI708/BC708</f>
        <v>66.666666666666671</v>
      </c>
      <c r="BT708" s="640"/>
      <c r="BU708" s="640"/>
      <c r="BV708" s="640"/>
      <c r="BW708" s="640"/>
      <c r="BX708" s="640"/>
      <c r="BY708" s="640"/>
      <c r="BZ708" s="640"/>
      <c r="CA708" s="640"/>
      <c r="CB708" s="640"/>
      <c r="CC708" s="640"/>
      <c r="CD708" s="640"/>
      <c r="CE708" s="640"/>
      <c r="CF708" s="640"/>
      <c r="CG708" s="640"/>
      <c r="CH708" s="641"/>
      <c r="CI708" s="627">
        <v>5000</v>
      </c>
      <c r="CJ708" s="628"/>
      <c r="CK708" s="628"/>
      <c r="CL708" s="628"/>
      <c r="CM708" s="628"/>
      <c r="CN708" s="628"/>
      <c r="CO708" s="628"/>
      <c r="CP708" s="628"/>
      <c r="CQ708" s="628"/>
      <c r="CR708" s="628"/>
      <c r="CS708" s="628"/>
      <c r="CT708" s="628"/>
      <c r="CU708" s="628"/>
      <c r="CV708" s="628"/>
      <c r="CW708" s="628"/>
      <c r="CX708" s="628"/>
      <c r="CY708" s="628"/>
      <c r="CZ708" s="629"/>
      <c r="DA708" s="214"/>
    </row>
    <row r="709" spans="1:105" s="16" customFormat="1" ht="13.2" x14ac:dyDescent="0.3">
      <c r="A709" s="630" t="s">
        <v>655</v>
      </c>
      <c r="B709" s="631"/>
      <c r="C709" s="631"/>
      <c r="D709" s="631"/>
      <c r="E709" s="631"/>
      <c r="F709" s="631"/>
      <c r="G709" s="632"/>
      <c r="H709" s="584" t="s">
        <v>993</v>
      </c>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5"/>
      <c r="AL709" s="585"/>
      <c r="AM709" s="585"/>
      <c r="AN709" s="585"/>
      <c r="AO709" s="585"/>
      <c r="AP709" s="585"/>
      <c r="AQ709" s="585"/>
      <c r="AR709" s="585"/>
      <c r="AS709" s="585"/>
      <c r="AT709" s="586"/>
      <c r="AU709" s="475" t="s">
        <v>690</v>
      </c>
      <c r="AV709" s="476"/>
      <c r="AW709" s="476"/>
      <c r="AX709" s="476"/>
      <c r="AY709" s="476"/>
      <c r="AZ709" s="476"/>
      <c r="BA709" s="476"/>
      <c r="BB709" s="477"/>
      <c r="BC709" s="544">
        <v>36</v>
      </c>
      <c r="BD709" s="545"/>
      <c r="BE709" s="545"/>
      <c r="BF709" s="545"/>
      <c r="BG709" s="545"/>
      <c r="BH709" s="545"/>
      <c r="BI709" s="545"/>
      <c r="BJ709" s="545"/>
      <c r="BK709" s="545"/>
      <c r="BL709" s="545"/>
      <c r="BM709" s="545"/>
      <c r="BN709" s="545"/>
      <c r="BO709" s="545"/>
      <c r="BP709" s="545"/>
      <c r="BQ709" s="545"/>
      <c r="BR709" s="546"/>
      <c r="BS709" s="639">
        <f>CI709/BC709</f>
        <v>138.88888888888889</v>
      </c>
      <c r="BT709" s="640"/>
      <c r="BU709" s="640"/>
      <c r="BV709" s="640"/>
      <c r="BW709" s="640"/>
      <c r="BX709" s="640"/>
      <c r="BY709" s="640"/>
      <c r="BZ709" s="640"/>
      <c r="CA709" s="640"/>
      <c r="CB709" s="640"/>
      <c r="CC709" s="640"/>
      <c r="CD709" s="640"/>
      <c r="CE709" s="640"/>
      <c r="CF709" s="640"/>
      <c r="CG709" s="640"/>
      <c r="CH709" s="641"/>
      <c r="CI709" s="627">
        <v>5000</v>
      </c>
      <c r="CJ709" s="628"/>
      <c r="CK709" s="628"/>
      <c r="CL709" s="628"/>
      <c r="CM709" s="628"/>
      <c r="CN709" s="628"/>
      <c r="CO709" s="628"/>
      <c r="CP709" s="628"/>
      <c r="CQ709" s="628"/>
      <c r="CR709" s="628"/>
      <c r="CS709" s="628"/>
      <c r="CT709" s="628"/>
      <c r="CU709" s="628"/>
      <c r="CV709" s="628"/>
      <c r="CW709" s="628"/>
      <c r="CX709" s="628"/>
      <c r="CY709" s="628"/>
      <c r="CZ709" s="629"/>
      <c r="DA709" s="214"/>
    </row>
    <row r="710" spans="1:105" s="16" customFormat="1" ht="15" customHeight="1" x14ac:dyDescent="0.3">
      <c r="A710" s="630"/>
      <c r="B710" s="631"/>
      <c r="C710" s="631"/>
      <c r="D710" s="631"/>
      <c r="E710" s="631"/>
      <c r="F710" s="631"/>
      <c r="G710" s="632"/>
      <c r="H710" s="584"/>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5"/>
      <c r="AL710" s="585"/>
      <c r="AM710" s="585"/>
      <c r="AN710" s="585"/>
      <c r="AO710" s="585"/>
      <c r="AP710" s="585"/>
      <c r="AQ710" s="585"/>
      <c r="AR710" s="585"/>
      <c r="AS710" s="585"/>
      <c r="AT710" s="586"/>
      <c r="AU710" s="475"/>
      <c r="AV710" s="476"/>
      <c r="AW710" s="476"/>
      <c r="AX710" s="476"/>
      <c r="AY710" s="476"/>
      <c r="AZ710" s="476"/>
      <c r="BA710" s="476"/>
      <c r="BB710" s="477"/>
      <c r="BC710" s="544"/>
      <c r="BD710" s="545"/>
      <c r="BE710" s="545"/>
      <c r="BF710" s="545"/>
      <c r="BG710" s="545"/>
      <c r="BH710" s="545"/>
      <c r="BI710" s="545"/>
      <c r="BJ710" s="545"/>
      <c r="BK710" s="545"/>
      <c r="BL710" s="545"/>
      <c r="BM710" s="545"/>
      <c r="BN710" s="545"/>
      <c r="BO710" s="545"/>
      <c r="BP710" s="545"/>
      <c r="BQ710" s="545"/>
      <c r="BR710" s="546"/>
      <c r="BS710" s="639"/>
      <c r="BT710" s="640"/>
      <c r="BU710" s="640"/>
      <c r="BV710" s="640"/>
      <c r="BW710" s="640"/>
      <c r="BX710" s="640"/>
      <c r="BY710" s="640"/>
      <c r="BZ710" s="640"/>
      <c r="CA710" s="640"/>
      <c r="CB710" s="640"/>
      <c r="CC710" s="640"/>
      <c r="CD710" s="640"/>
      <c r="CE710" s="640"/>
      <c r="CF710" s="640"/>
      <c r="CG710" s="640"/>
      <c r="CH710" s="641"/>
      <c r="CI710" s="627"/>
      <c r="CJ710" s="628"/>
      <c r="CK710" s="628"/>
      <c r="CL710" s="628"/>
      <c r="CM710" s="628"/>
      <c r="CN710" s="628"/>
      <c r="CO710" s="628"/>
      <c r="CP710" s="628"/>
      <c r="CQ710" s="628"/>
      <c r="CR710" s="628"/>
      <c r="CS710" s="628"/>
      <c r="CT710" s="628"/>
      <c r="CU710" s="628"/>
      <c r="CV710" s="628"/>
      <c r="CW710" s="628"/>
      <c r="CX710" s="628"/>
      <c r="CY710" s="628"/>
      <c r="CZ710" s="629"/>
      <c r="DA710" s="214"/>
    </row>
    <row r="711" spans="1:105" s="16" customFormat="1" ht="25.95" hidden="1" customHeight="1" x14ac:dyDescent="0.3">
      <c r="A711" s="630"/>
      <c r="B711" s="631"/>
      <c r="C711" s="631"/>
      <c r="D711" s="631"/>
      <c r="E711" s="631"/>
      <c r="F711" s="631"/>
      <c r="G711" s="632"/>
      <c r="H711" s="584" t="s">
        <v>717</v>
      </c>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5"/>
      <c r="AL711" s="585"/>
      <c r="AM711" s="585"/>
      <c r="AN711" s="585"/>
      <c r="AO711" s="585"/>
      <c r="AP711" s="585"/>
      <c r="AQ711" s="585"/>
      <c r="AR711" s="585"/>
      <c r="AS711" s="585"/>
      <c r="AT711" s="586"/>
      <c r="AU711" s="475" t="s">
        <v>690</v>
      </c>
      <c r="AV711" s="476"/>
      <c r="AW711" s="476"/>
      <c r="AX711" s="476"/>
      <c r="AY711" s="476"/>
      <c r="AZ711" s="476"/>
      <c r="BA711" s="476"/>
      <c r="BB711" s="477"/>
      <c r="BC711" s="647">
        <v>46</v>
      </c>
      <c r="BD711" s="637"/>
      <c r="BE711" s="637"/>
      <c r="BF711" s="637"/>
      <c r="BG711" s="637"/>
      <c r="BH711" s="637"/>
      <c r="BI711" s="637"/>
      <c r="BJ711" s="637"/>
      <c r="BK711" s="637"/>
      <c r="BL711" s="637"/>
      <c r="BM711" s="637"/>
      <c r="BN711" s="637"/>
      <c r="BO711" s="637"/>
      <c r="BP711" s="637"/>
      <c r="BQ711" s="637"/>
      <c r="BR711" s="638"/>
      <c r="BS711" s="644">
        <f t="shared" ref="BS711:BS714" si="12">CI711/BC711</f>
        <v>0</v>
      </c>
      <c r="BT711" s="645"/>
      <c r="BU711" s="645"/>
      <c r="BV711" s="645"/>
      <c r="BW711" s="645"/>
      <c r="BX711" s="645"/>
      <c r="BY711" s="645"/>
      <c r="BZ711" s="645"/>
      <c r="CA711" s="645"/>
      <c r="CB711" s="645"/>
      <c r="CC711" s="645"/>
      <c r="CD711" s="645"/>
      <c r="CE711" s="645"/>
      <c r="CF711" s="645"/>
      <c r="CG711" s="645"/>
      <c r="CH711" s="646"/>
      <c r="CI711" s="636">
        <f>CI712+CI713</f>
        <v>0</v>
      </c>
      <c r="CJ711" s="654"/>
      <c r="CK711" s="654"/>
      <c r="CL711" s="654"/>
      <c r="CM711" s="654"/>
      <c r="CN711" s="654"/>
      <c r="CO711" s="654"/>
      <c r="CP711" s="654"/>
      <c r="CQ711" s="654"/>
      <c r="CR711" s="654"/>
      <c r="CS711" s="654"/>
      <c r="CT711" s="654"/>
      <c r="CU711" s="654"/>
      <c r="CV711" s="654"/>
      <c r="CW711" s="654"/>
      <c r="CX711" s="654"/>
      <c r="CY711" s="654"/>
      <c r="CZ711" s="655"/>
      <c r="DA711" s="214"/>
    </row>
    <row r="712" spans="1:105" s="16" customFormat="1" ht="21.75" hidden="1" customHeight="1" x14ac:dyDescent="0.3">
      <c r="A712" s="630" t="s">
        <v>441</v>
      </c>
      <c r="B712" s="631"/>
      <c r="C712" s="631"/>
      <c r="D712" s="631"/>
      <c r="E712" s="631"/>
      <c r="F712" s="631"/>
      <c r="G712" s="632"/>
      <c r="H712" s="584" t="s">
        <v>718</v>
      </c>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5"/>
      <c r="AL712" s="585"/>
      <c r="AM712" s="585"/>
      <c r="AN712" s="585"/>
      <c r="AO712" s="585"/>
      <c r="AP712" s="585"/>
      <c r="AQ712" s="585"/>
      <c r="AR712" s="585"/>
      <c r="AS712" s="585"/>
      <c r="AT712" s="586"/>
      <c r="AU712" s="475" t="s">
        <v>690</v>
      </c>
      <c r="AV712" s="476"/>
      <c r="AW712" s="476"/>
      <c r="AX712" s="476"/>
      <c r="AY712" s="476"/>
      <c r="AZ712" s="476"/>
      <c r="BA712" s="476"/>
      <c r="BB712" s="477"/>
      <c r="BC712" s="544"/>
      <c r="BD712" s="545"/>
      <c r="BE712" s="545"/>
      <c r="BF712" s="545"/>
      <c r="BG712" s="545"/>
      <c r="BH712" s="545"/>
      <c r="BI712" s="545"/>
      <c r="BJ712" s="545"/>
      <c r="BK712" s="545"/>
      <c r="BL712" s="545"/>
      <c r="BM712" s="545"/>
      <c r="BN712" s="545"/>
      <c r="BO712" s="545"/>
      <c r="BP712" s="545"/>
      <c r="BQ712" s="545"/>
      <c r="BR712" s="546"/>
      <c r="BS712" s="639"/>
      <c r="BT712" s="640"/>
      <c r="BU712" s="640"/>
      <c r="BV712" s="640"/>
      <c r="BW712" s="640"/>
      <c r="BX712" s="640"/>
      <c r="BY712" s="640"/>
      <c r="BZ712" s="640"/>
      <c r="CA712" s="640"/>
      <c r="CB712" s="640"/>
      <c r="CC712" s="640"/>
      <c r="CD712" s="640"/>
      <c r="CE712" s="640"/>
      <c r="CF712" s="640"/>
      <c r="CG712" s="640"/>
      <c r="CH712" s="641"/>
      <c r="CI712" s="627"/>
      <c r="CJ712" s="628"/>
      <c r="CK712" s="628"/>
      <c r="CL712" s="628"/>
      <c r="CM712" s="628"/>
      <c r="CN712" s="628"/>
      <c r="CO712" s="628"/>
      <c r="CP712" s="628"/>
      <c r="CQ712" s="628"/>
      <c r="CR712" s="628"/>
      <c r="CS712" s="628"/>
      <c r="CT712" s="628"/>
      <c r="CU712" s="628"/>
      <c r="CV712" s="628"/>
      <c r="CW712" s="628"/>
      <c r="CX712" s="628"/>
      <c r="CY712" s="628"/>
      <c r="CZ712" s="629"/>
      <c r="DA712" s="214"/>
    </row>
    <row r="713" spans="1:105" s="16" customFormat="1" ht="15" hidden="1" customHeight="1" x14ac:dyDescent="0.3">
      <c r="A713" s="630" t="s">
        <v>444</v>
      </c>
      <c r="B713" s="631"/>
      <c r="C713" s="631"/>
      <c r="D713" s="631"/>
      <c r="E713" s="631"/>
      <c r="F713" s="631"/>
      <c r="G713" s="632"/>
      <c r="H713" s="584" t="s">
        <v>719</v>
      </c>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5"/>
      <c r="AL713" s="585"/>
      <c r="AM713" s="585"/>
      <c r="AN713" s="585"/>
      <c r="AO713" s="585"/>
      <c r="AP713" s="585"/>
      <c r="AQ713" s="585"/>
      <c r="AR713" s="585"/>
      <c r="AS713" s="585"/>
      <c r="AT713" s="586"/>
      <c r="AU713" s="475" t="s">
        <v>690</v>
      </c>
      <c r="AV713" s="476"/>
      <c r="AW713" s="476"/>
      <c r="AX713" s="476"/>
      <c r="AY713" s="476"/>
      <c r="AZ713" s="476"/>
      <c r="BA713" s="476"/>
      <c r="BB713" s="477"/>
      <c r="BC713" s="544"/>
      <c r="BD713" s="545"/>
      <c r="BE713" s="545"/>
      <c r="BF713" s="545"/>
      <c r="BG713" s="545"/>
      <c r="BH713" s="545"/>
      <c r="BI713" s="545"/>
      <c r="BJ713" s="545"/>
      <c r="BK713" s="545"/>
      <c r="BL713" s="545"/>
      <c r="BM713" s="545"/>
      <c r="BN713" s="545"/>
      <c r="BO713" s="545"/>
      <c r="BP713" s="545"/>
      <c r="BQ713" s="545"/>
      <c r="BR713" s="546"/>
      <c r="BS713" s="639"/>
      <c r="BT713" s="640"/>
      <c r="BU713" s="640"/>
      <c r="BV713" s="640"/>
      <c r="BW713" s="640"/>
      <c r="BX713" s="640"/>
      <c r="BY713" s="640"/>
      <c r="BZ713" s="640"/>
      <c r="CA713" s="640"/>
      <c r="CB713" s="640"/>
      <c r="CC713" s="640"/>
      <c r="CD713" s="640"/>
      <c r="CE713" s="640"/>
      <c r="CF713" s="640"/>
      <c r="CG713" s="640"/>
      <c r="CH713" s="641"/>
      <c r="CI713" s="627"/>
      <c r="CJ713" s="628"/>
      <c r="CK713" s="628"/>
      <c r="CL713" s="628"/>
      <c r="CM713" s="628"/>
      <c r="CN713" s="628"/>
      <c r="CO713" s="628"/>
      <c r="CP713" s="628"/>
      <c r="CQ713" s="628"/>
      <c r="CR713" s="628"/>
      <c r="CS713" s="628"/>
      <c r="CT713" s="628"/>
      <c r="CU713" s="628"/>
      <c r="CV713" s="628"/>
      <c r="CW713" s="628"/>
      <c r="CX713" s="628"/>
      <c r="CY713" s="628"/>
      <c r="CZ713" s="629"/>
      <c r="DA713" s="214"/>
    </row>
    <row r="714" spans="1:105" s="16" customFormat="1" ht="15" customHeight="1" x14ac:dyDescent="0.3">
      <c r="A714" s="630"/>
      <c r="B714" s="631"/>
      <c r="C714" s="631"/>
      <c r="D714" s="631"/>
      <c r="E714" s="631"/>
      <c r="F714" s="631"/>
      <c r="G714" s="632"/>
      <c r="H714" s="651" t="s">
        <v>720</v>
      </c>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3"/>
      <c r="AU714" s="541" t="s">
        <v>690</v>
      </c>
      <c r="AV714" s="542"/>
      <c r="AW714" s="542"/>
      <c r="AX714" s="542"/>
      <c r="AY714" s="542"/>
      <c r="AZ714" s="542"/>
      <c r="BA714" s="542"/>
      <c r="BB714" s="543"/>
      <c r="BC714" s="647">
        <v>50</v>
      </c>
      <c r="BD714" s="637"/>
      <c r="BE714" s="637"/>
      <c r="BF714" s="637"/>
      <c r="BG714" s="637"/>
      <c r="BH714" s="637"/>
      <c r="BI714" s="637"/>
      <c r="BJ714" s="637"/>
      <c r="BK714" s="637"/>
      <c r="BL714" s="637"/>
      <c r="BM714" s="637"/>
      <c r="BN714" s="637"/>
      <c r="BO714" s="637"/>
      <c r="BP714" s="637"/>
      <c r="BQ714" s="637"/>
      <c r="BR714" s="638"/>
      <c r="BS714" s="644">
        <f t="shared" si="12"/>
        <v>200</v>
      </c>
      <c r="BT714" s="645"/>
      <c r="BU714" s="645"/>
      <c r="BV714" s="645"/>
      <c r="BW714" s="645"/>
      <c r="BX714" s="645"/>
      <c r="BY714" s="645"/>
      <c r="BZ714" s="645"/>
      <c r="CA714" s="645"/>
      <c r="CB714" s="645"/>
      <c r="CC714" s="645"/>
      <c r="CD714" s="645"/>
      <c r="CE714" s="645"/>
      <c r="CF714" s="645"/>
      <c r="CG714" s="645"/>
      <c r="CH714" s="646"/>
      <c r="CI714" s="636">
        <v>10000</v>
      </c>
      <c r="CJ714" s="654"/>
      <c r="CK714" s="654"/>
      <c r="CL714" s="654"/>
      <c r="CM714" s="654"/>
      <c r="CN714" s="654"/>
      <c r="CO714" s="654"/>
      <c r="CP714" s="654"/>
      <c r="CQ714" s="654"/>
      <c r="CR714" s="654"/>
      <c r="CS714" s="654"/>
      <c r="CT714" s="654"/>
      <c r="CU714" s="654"/>
      <c r="CV714" s="654"/>
      <c r="CW714" s="654"/>
      <c r="CX714" s="654"/>
      <c r="CY714" s="654"/>
      <c r="CZ714" s="655"/>
      <c r="DA714" s="214"/>
    </row>
    <row r="715" spans="1:105" s="16" customFormat="1" ht="15" hidden="1" customHeight="1" x14ac:dyDescent="0.3">
      <c r="A715" s="630"/>
      <c r="B715" s="631"/>
      <c r="C715" s="631"/>
      <c r="D715" s="631"/>
      <c r="E715" s="631"/>
      <c r="F715" s="631"/>
      <c r="G715" s="632"/>
      <c r="H715" s="651"/>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3"/>
      <c r="AU715" s="475"/>
      <c r="AV715" s="476"/>
      <c r="AW715" s="476"/>
      <c r="AX715" s="476"/>
      <c r="AY715" s="476"/>
      <c r="AZ715" s="476"/>
      <c r="BA715" s="476"/>
      <c r="BB715" s="477"/>
      <c r="BC715" s="544"/>
      <c r="BD715" s="545"/>
      <c r="BE715" s="545"/>
      <c r="BF715" s="545"/>
      <c r="BG715" s="545"/>
      <c r="BH715" s="545"/>
      <c r="BI715" s="545"/>
      <c r="BJ715" s="545"/>
      <c r="BK715" s="545"/>
      <c r="BL715" s="545"/>
      <c r="BM715" s="545"/>
      <c r="BN715" s="545"/>
      <c r="BO715" s="545"/>
      <c r="BP715" s="545"/>
      <c r="BQ715" s="545"/>
      <c r="BR715" s="546"/>
      <c r="BS715" s="644"/>
      <c r="BT715" s="645"/>
      <c r="BU715" s="645"/>
      <c r="BV715" s="645"/>
      <c r="BW715" s="645"/>
      <c r="BX715" s="645"/>
      <c r="BY715" s="645"/>
      <c r="BZ715" s="645"/>
      <c r="CA715" s="645"/>
      <c r="CB715" s="645"/>
      <c r="CC715" s="645"/>
      <c r="CD715" s="645"/>
      <c r="CE715" s="645"/>
      <c r="CF715" s="645"/>
      <c r="CG715" s="645"/>
      <c r="CH715" s="646"/>
      <c r="CI715" s="627"/>
      <c r="CJ715" s="628"/>
      <c r="CK715" s="628"/>
      <c r="CL715" s="628"/>
      <c r="CM715" s="628"/>
      <c r="CN715" s="628"/>
      <c r="CO715" s="628"/>
      <c r="CP715" s="628"/>
      <c r="CQ715" s="628"/>
      <c r="CR715" s="628"/>
      <c r="CS715" s="628"/>
      <c r="CT715" s="628"/>
      <c r="CU715" s="628"/>
      <c r="CV715" s="628"/>
      <c r="CW715" s="628"/>
      <c r="CX715" s="628"/>
      <c r="CY715" s="628"/>
      <c r="CZ715" s="629"/>
      <c r="DA715" s="214"/>
    </row>
    <row r="716" spans="1:105" s="16" customFormat="1" ht="15" hidden="1" customHeight="1" x14ac:dyDescent="0.3">
      <c r="A716" s="630"/>
      <c r="B716" s="631"/>
      <c r="C716" s="631"/>
      <c r="D716" s="631"/>
      <c r="E716" s="631"/>
      <c r="F716" s="631"/>
      <c r="G716" s="632"/>
      <c r="H716" s="651" t="s">
        <v>721</v>
      </c>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52"/>
      <c r="AL716" s="652"/>
      <c r="AM716" s="652"/>
      <c r="AN716" s="652"/>
      <c r="AO716" s="652"/>
      <c r="AP716" s="652"/>
      <c r="AQ716" s="652"/>
      <c r="AR716" s="652"/>
      <c r="AS716" s="652"/>
      <c r="AT716" s="653"/>
      <c r="AU716" s="541" t="s">
        <v>690</v>
      </c>
      <c r="AV716" s="542"/>
      <c r="AW716" s="542"/>
      <c r="AX716" s="542"/>
      <c r="AY716" s="542"/>
      <c r="AZ716" s="542"/>
      <c r="BA716" s="542"/>
      <c r="BB716" s="543"/>
      <c r="BC716" s="647">
        <f>800+3+2+2+1+2+5+5+1+5+5+2+10+20+2+6+10+10+10+5+4+20</f>
        <v>930</v>
      </c>
      <c r="BD716" s="637"/>
      <c r="BE716" s="637"/>
      <c r="BF716" s="637"/>
      <c r="BG716" s="637"/>
      <c r="BH716" s="637"/>
      <c r="BI716" s="637"/>
      <c r="BJ716" s="637"/>
      <c r="BK716" s="637"/>
      <c r="BL716" s="637"/>
      <c r="BM716" s="637"/>
      <c r="BN716" s="637"/>
      <c r="BO716" s="637"/>
      <c r="BP716" s="637"/>
      <c r="BQ716" s="637"/>
      <c r="BR716" s="638"/>
      <c r="BS716" s="644">
        <f t="shared" ref="BS716:BS734" si="13">CI716/BC716</f>
        <v>0</v>
      </c>
      <c r="BT716" s="645"/>
      <c r="BU716" s="645"/>
      <c r="BV716" s="645"/>
      <c r="BW716" s="645"/>
      <c r="BX716" s="645"/>
      <c r="BY716" s="645"/>
      <c r="BZ716" s="645"/>
      <c r="CA716" s="645"/>
      <c r="CB716" s="645"/>
      <c r="CC716" s="645"/>
      <c r="CD716" s="645"/>
      <c r="CE716" s="645"/>
      <c r="CF716" s="645"/>
      <c r="CG716" s="645"/>
      <c r="CH716" s="646"/>
      <c r="CI716" s="636">
        <v>0</v>
      </c>
      <c r="CJ716" s="654"/>
      <c r="CK716" s="654"/>
      <c r="CL716" s="654"/>
      <c r="CM716" s="654"/>
      <c r="CN716" s="654"/>
      <c r="CO716" s="654"/>
      <c r="CP716" s="654"/>
      <c r="CQ716" s="654"/>
      <c r="CR716" s="654"/>
      <c r="CS716" s="654"/>
      <c r="CT716" s="654"/>
      <c r="CU716" s="654"/>
      <c r="CV716" s="654"/>
      <c r="CW716" s="654"/>
      <c r="CX716" s="654"/>
      <c r="CY716" s="654"/>
      <c r="CZ716" s="655"/>
      <c r="DA716" s="214"/>
    </row>
    <row r="717" spans="1:105" s="16" customFormat="1" ht="15" hidden="1" customHeight="1" x14ac:dyDescent="0.3">
      <c r="A717" s="630"/>
      <c r="B717" s="631"/>
      <c r="C717" s="631"/>
      <c r="D717" s="631"/>
      <c r="E717" s="631"/>
      <c r="F717" s="631"/>
      <c r="G717" s="632"/>
      <c r="H717" s="651"/>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52"/>
      <c r="AL717" s="652"/>
      <c r="AM717" s="652"/>
      <c r="AN717" s="652"/>
      <c r="AO717" s="652"/>
      <c r="AP717" s="652"/>
      <c r="AQ717" s="652"/>
      <c r="AR717" s="652"/>
      <c r="AS717" s="652"/>
      <c r="AT717" s="653"/>
      <c r="AU717" s="475"/>
      <c r="AV717" s="476"/>
      <c r="AW717" s="476"/>
      <c r="AX717" s="476"/>
      <c r="AY717" s="476"/>
      <c r="AZ717" s="476"/>
      <c r="BA717" s="476"/>
      <c r="BB717" s="477"/>
      <c r="BC717" s="544"/>
      <c r="BD717" s="545"/>
      <c r="BE717" s="545"/>
      <c r="BF717" s="545"/>
      <c r="BG717" s="545"/>
      <c r="BH717" s="545"/>
      <c r="BI717" s="545"/>
      <c r="BJ717" s="545"/>
      <c r="BK717" s="545"/>
      <c r="BL717" s="545"/>
      <c r="BM717" s="545"/>
      <c r="BN717" s="545"/>
      <c r="BO717" s="545"/>
      <c r="BP717" s="545"/>
      <c r="BQ717" s="545"/>
      <c r="BR717" s="546"/>
      <c r="BS717" s="644"/>
      <c r="BT717" s="645"/>
      <c r="BU717" s="645"/>
      <c r="BV717" s="645"/>
      <c r="BW717" s="645"/>
      <c r="BX717" s="645"/>
      <c r="BY717" s="645"/>
      <c r="BZ717" s="645"/>
      <c r="CA717" s="645"/>
      <c r="CB717" s="645"/>
      <c r="CC717" s="645"/>
      <c r="CD717" s="645"/>
      <c r="CE717" s="645"/>
      <c r="CF717" s="645"/>
      <c r="CG717" s="645"/>
      <c r="CH717" s="646"/>
      <c r="CI717" s="627"/>
      <c r="CJ717" s="628"/>
      <c r="CK717" s="628"/>
      <c r="CL717" s="628"/>
      <c r="CM717" s="628"/>
      <c r="CN717" s="628"/>
      <c r="CO717" s="628"/>
      <c r="CP717" s="628"/>
      <c r="CQ717" s="628"/>
      <c r="CR717" s="628"/>
      <c r="CS717" s="628"/>
      <c r="CT717" s="628"/>
      <c r="CU717" s="628"/>
      <c r="CV717" s="628"/>
      <c r="CW717" s="628"/>
      <c r="CX717" s="628"/>
      <c r="CY717" s="628"/>
      <c r="CZ717" s="629"/>
      <c r="DA717" s="214"/>
    </row>
    <row r="718" spans="1:105" s="16" customFormat="1" ht="15" hidden="1" customHeight="1" x14ac:dyDescent="0.3">
      <c r="A718" s="630"/>
      <c r="B718" s="631"/>
      <c r="C718" s="631"/>
      <c r="D718" s="631"/>
      <c r="E718" s="631"/>
      <c r="F718" s="631"/>
      <c r="G718" s="632"/>
      <c r="H718" s="651" t="s">
        <v>722</v>
      </c>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c r="AI718" s="652"/>
      <c r="AJ718" s="652"/>
      <c r="AK718" s="652"/>
      <c r="AL718" s="652"/>
      <c r="AM718" s="652"/>
      <c r="AN718" s="652"/>
      <c r="AO718" s="652"/>
      <c r="AP718" s="652"/>
      <c r="AQ718" s="652"/>
      <c r="AR718" s="652"/>
      <c r="AS718" s="652"/>
      <c r="AT718" s="653"/>
      <c r="AU718" s="541" t="s">
        <v>690</v>
      </c>
      <c r="AV718" s="542"/>
      <c r="AW718" s="542"/>
      <c r="AX718" s="542"/>
      <c r="AY718" s="542"/>
      <c r="AZ718" s="542"/>
      <c r="BA718" s="542"/>
      <c r="BB718" s="543"/>
      <c r="BC718" s="647">
        <f>163+120+120+120+110+50+120+20</f>
        <v>823</v>
      </c>
      <c r="BD718" s="637"/>
      <c r="BE718" s="637"/>
      <c r="BF718" s="637"/>
      <c r="BG718" s="637"/>
      <c r="BH718" s="637"/>
      <c r="BI718" s="637"/>
      <c r="BJ718" s="637"/>
      <c r="BK718" s="637"/>
      <c r="BL718" s="637"/>
      <c r="BM718" s="637"/>
      <c r="BN718" s="637"/>
      <c r="BO718" s="637"/>
      <c r="BP718" s="637"/>
      <c r="BQ718" s="637"/>
      <c r="BR718" s="638"/>
      <c r="BS718" s="644">
        <f t="shared" si="13"/>
        <v>0</v>
      </c>
      <c r="BT718" s="645"/>
      <c r="BU718" s="645"/>
      <c r="BV718" s="645"/>
      <c r="BW718" s="645"/>
      <c r="BX718" s="645"/>
      <c r="BY718" s="645"/>
      <c r="BZ718" s="645"/>
      <c r="CA718" s="645"/>
      <c r="CB718" s="645"/>
      <c r="CC718" s="645"/>
      <c r="CD718" s="645"/>
      <c r="CE718" s="645"/>
      <c r="CF718" s="645"/>
      <c r="CG718" s="645"/>
      <c r="CH718" s="646"/>
      <c r="CI718" s="636">
        <v>0</v>
      </c>
      <c r="CJ718" s="654"/>
      <c r="CK718" s="654"/>
      <c r="CL718" s="654"/>
      <c r="CM718" s="654"/>
      <c r="CN718" s="654"/>
      <c r="CO718" s="654"/>
      <c r="CP718" s="654"/>
      <c r="CQ718" s="654"/>
      <c r="CR718" s="654"/>
      <c r="CS718" s="654"/>
      <c r="CT718" s="654"/>
      <c r="CU718" s="654"/>
      <c r="CV718" s="654"/>
      <c r="CW718" s="654"/>
      <c r="CX718" s="654"/>
      <c r="CY718" s="654"/>
      <c r="CZ718" s="655"/>
      <c r="DA718" s="214"/>
    </row>
    <row r="719" spans="1:105" s="16" customFormat="1" ht="15" hidden="1" customHeight="1" x14ac:dyDescent="0.3">
      <c r="A719" s="630"/>
      <c r="B719" s="631"/>
      <c r="C719" s="631"/>
      <c r="D719" s="631"/>
      <c r="E719" s="631"/>
      <c r="F719" s="631"/>
      <c r="G719" s="632"/>
      <c r="H719" s="651"/>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52"/>
      <c r="AL719" s="652"/>
      <c r="AM719" s="652"/>
      <c r="AN719" s="652"/>
      <c r="AO719" s="652"/>
      <c r="AP719" s="652"/>
      <c r="AQ719" s="652"/>
      <c r="AR719" s="652"/>
      <c r="AS719" s="652"/>
      <c r="AT719" s="653"/>
      <c r="AU719" s="475"/>
      <c r="AV719" s="476"/>
      <c r="AW719" s="476"/>
      <c r="AX719" s="476"/>
      <c r="AY719" s="476"/>
      <c r="AZ719" s="476"/>
      <c r="BA719" s="476"/>
      <c r="BB719" s="477"/>
      <c r="BC719" s="544"/>
      <c r="BD719" s="545"/>
      <c r="BE719" s="545"/>
      <c r="BF719" s="545"/>
      <c r="BG719" s="545"/>
      <c r="BH719" s="545"/>
      <c r="BI719" s="545"/>
      <c r="BJ719" s="545"/>
      <c r="BK719" s="545"/>
      <c r="BL719" s="545"/>
      <c r="BM719" s="545"/>
      <c r="BN719" s="545"/>
      <c r="BO719" s="545"/>
      <c r="BP719" s="545"/>
      <c r="BQ719" s="545"/>
      <c r="BR719" s="546"/>
      <c r="BS719" s="644"/>
      <c r="BT719" s="645"/>
      <c r="BU719" s="645"/>
      <c r="BV719" s="645"/>
      <c r="BW719" s="645"/>
      <c r="BX719" s="645"/>
      <c r="BY719" s="645"/>
      <c r="BZ719" s="645"/>
      <c r="CA719" s="645"/>
      <c r="CB719" s="645"/>
      <c r="CC719" s="645"/>
      <c r="CD719" s="645"/>
      <c r="CE719" s="645"/>
      <c r="CF719" s="645"/>
      <c r="CG719" s="645"/>
      <c r="CH719" s="646"/>
      <c r="CI719" s="627"/>
      <c r="CJ719" s="628"/>
      <c r="CK719" s="628"/>
      <c r="CL719" s="628"/>
      <c r="CM719" s="628"/>
      <c r="CN719" s="628"/>
      <c r="CO719" s="628"/>
      <c r="CP719" s="628"/>
      <c r="CQ719" s="628"/>
      <c r="CR719" s="628"/>
      <c r="CS719" s="628"/>
      <c r="CT719" s="628"/>
      <c r="CU719" s="628"/>
      <c r="CV719" s="628"/>
      <c r="CW719" s="628"/>
      <c r="CX719" s="628"/>
      <c r="CY719" s="628"/>
      <c r="CZ719" s="629"/>
      <c r="DA719" s="214"/>
    </row>
    <row r="720" spans="1:105" s="16" customFormat="1" ht="27" customHeight="1" x14ac:dyDescent="0.3">
      <c r="A720" s="630"/>
      <c r="B720" s="631"/>
      <c r="C720" s="631"/>
      <c r="D720" s="631"/>
      <c r="E720" s="631"/>
      <c r="F720" s="631"/>
      <c r="G720" s="632"/>
      <c r="H720" s="651" t="s">
        <v>905</v>
      </c>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52"/>
      <c r="AL720" s="652"/>
      <c r="AM720" s="652"/>
      <c r="AN720" s="652"/>
      <c r="AO720" s="652"/>
      <c r="AP720" s="652"/>
      <c r="AQ720" s="652"/>
      <c r="AR720" s="652"/>
      <c r="AS720" s="652"/>
      <c r="AT720" s="653"/>
      <c r="AU720" s="541" t="s">
        <v>690</v>
      </c>
      <c r="AV720" s="542"/>
      <c r="AW720" s="542"/>
      <c r="AX720" s="542"/>
      <c r="AY720" s="542"/>
      <c r="AZ720" s="542"/>
      <c r="BA720" s="542"/>
      <c r="BB720" s="543"/>
      <c r="BC720" s="647">
        <v>2000</v>
      </c>
      <c r="BD720" s="637"/>
      <c r="BE720" s="637"/>
      <c r="BF720" s="637"/>
      <c r="BG720" s="637"/>
      <c r="BH720" s="637"/>
      <c r="BI720" s="637"/>
      <c r="BJ720" s="637"/>
      <c r="BK720" s="637"/>
      <c r="BL720" s="637"/>
      <c r="BM720" s="637"/>
      <c r="BN720" s="637"/>
      <c r="BO720" s="637"/>
      <c r="BP720" s="637"/>
      <c r="BQ720" s="637"/>
      <c r="BR720" s="638"/>
      <c r="BS720" s="644">
        <f t="shared" si="13"/>
        <v>5</v>
      </c>
      <c r="BT720" s="645"/>
      <c r="BU720" s="645"/>
      <c r="BV720" s="645"/>
      <c r="BW720" s="645"/>
      <c r="BX720" s="645"/>
      <c r="BY720" s="645"/>
      <c r="BZ720" s="645"/>
      <c r="CA720" s="645"/>
      <c r="CB720" s="645"/>
      <c r="CC720" s="645"/>
      <c r="CD720" s="645"/>
      <c r="CE720" s="645"/>
      <c r="CF720" s="645"/>
      <c r="CG720" s="645"/>
      <c r="CH720" s="646"/>
      <c r="CI720" s="636">
        <v>10000</v>
      </c>
      <c r="CJ720" s="654"/>
      <c r="CK720" s="654"/>
      <c r="CL720" s="654"/>
      <c r="CM720" s="654"/>
      <c r="CN720" s="654"/>
      <c r="CO720" s="654"/>
      <c r="CP720" s="654"/>
      <c r="CQ720" s="654"/>
      <c r="CR720" s="654"/>
      <c r="CS720" s="654"/>
      <c r="CT720" s="654"/>
      <c r="CU720" s="654"/>
      <c r="CV720" s="654"/>
      <c r="CW720" s="654"/>
      <c r="CX720" s="654"/>
      <c r="CY720" s="654"/>
      <c r="CZ720" s="655"/>
      <c r="DA720" s="214"/>
    </row>
    <row r="721" spans="1:105" s="16" customFormat="1" ht="15" hidden="1" customHeight="1" x14ac:dyDescent="0.3">
      <c r="A721" s="630"/>
      <c r="B721" s="631"/>
      <c r="C721" s="631"/>
      <c r="D721" s="631"/>
      <c r="E721" s="631"/>
      <c r="F721" s="631"/>
      <c r="G721" s="632"/>
      <c r="H721" s="651"/>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52"/>
      <c r="AL721" s="652"/>
      <c r="AM721" s="652"/>
      <c r="AN721" s="652"/>
      <c r="AO721" s="652"/>
      <c r="AP721" s="652"/>
      <c r="AQ721" s="652"/>
      <c r="AR721" s="652"/>
      <c r="AS721" s="652"/>
      <c r="AT721" s="653"/>
      <c r="AU721" s="475"/>
      <c r="AV721" s="476"/>
      <c r="AW721" s="476"/>
      <c r="AX721" s="476"/>
      <c r="AY721" s="476"/>
      <c r="AZ721" s="476"/>
      <c r="BA721" s="476"/>
      <c r="BB721" s="477"/>
      <c r="BC721" s="544"/>
      <c r="BD721" s="545"/>
      <c r="BE721" s="545"/>
      <c r="BF721" s="545"/>
      <c r="BG721" s="545"/>
      <c r="BH721" s="545"/>
      <c r="BI721" s="545"/>
      <c r="BJ721" s="545"/>
      <c r="BK721" s="545"/>
      <c r="BL721" s="545"/>
      <c r="BM721" s="545"/>
      <c r="BN721" s="545"/>
      <c r="BO721" s="545"/>
      <c r="BP721" s="545"/>
      <c r="BQ721" s="545"/>
      <c r="BR721" s="546"/>
      <c r="BS721" s="644"/>
      <c r="BT721" s="645"/>
      <c r="BU721" s="645"/>
      <c r="BV721" s="645"/>
      <c r="BW721" s="645"/>
      <c r="BX721" s="645"/>
      <c r="BY721" s="645"/>
      <c r="BZ721" s="645"/>
      <c r="CA721" s="645"/>
      <c r="CB721" s="645"/>
      <c r="CC721" s="645"/>
      <c r="CD721" s="645"/>
      <c r="CE721" s="645"/>
      <c r="CF721" s="645"/>
      <c r="CG721" s="645"/>
      <c r="CH721" s="646"/>
      <c r="CI721" s="627"/>
      <c r="CJ721" s="628"/>
      <c r="CK721" s="628"/>
      <c r="CL721" s="628"/>
      <c r="CM721" s="628"/>
      <c r="CN721" s="628"/>
      <c r="CO721" s="628"/>
      <c r="CP721" s="628"/>
      <c r="CQ721" s="628"/>
      <c r="CR721" s="628"/>
      <c r="CS721" s="628"/>
      <c r="CT721" s="628"/>
      <c r="CU721" s="628"/>
      <c r="CV721" s="628"/>
      <c r="CW721" s="628"/>
      <c r="CX721" s="628"/>
      <c r="CY721" s="628"/>
      <c r="CZ721" s="629"/>
      <c r="DA721" s="214"/>
    </row>
    <row r="722" spans="1:105" s="16" customFormat="1" ht="28.95" customHeight="1" x14ac:dyDescent="0.3">
      <c r="A722" s="630"/>
      <c r="B722" s="631"/>
      <c r="C722" s="631"/>
      <c r="D722" s="631"/>
      <c r="E722" s="631"/>
      <c r="F722" s="631"/>
      <c r="G722" s="632"/>
      <c r="H722" s="651" t="s">
        <v>724</v>
      </c>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52"/>
      <c r="AL722" s="652"/>
      <c r="AM722" s="652"/>
      <c r="AN722" s="652"/>
      <c r="AO722" s="652"/>
      <c r="AP722" s="652"/>
      <c r="AQ722" s="652"/>
      <c r="AR722" s="652"/>
      <c r="AS722" s="652"/>
      <c r="AT722" s="653"/>
      <c r="AU722" s="541" t="s">
        <v>690</v>
      </c>
      <c r="AV722" s="542"/>
      <c r="AW722" s="542"/>
      <c r="AX722" s="542"/>
      <c r="AY722" s="542"/>
      <c r="AZ722" s="542"/>
      <c r="BA722" s="542"/>
      <c r="BB722" s="543"/>
      <c r="BC722" s="647">
        <v>50</v>
      </c>
      <c r="BD722" s="637"/>
      <c r="BE722" s="637"/>
      <c r="BF722" s="637"/>
      <c r="BG722" s="637"/>
      <c r="BH722" s="637"/>
      <c r="BI722" s="637"/>
      <c r="BJ722" s="637"/>
      <c r="BK722" s="637"/>
      <c r="BL722" s="637"/>
      <c r="BM722" s="637"/>
      <c r="BN722" s="637"/>
      <c r="BO722" s="637"/>
      <c r="BP722" s="637"/>
      <c r="BQ722" s="637"/>
      <c r="BR722" s="638"/>
      <c r="BS722" s="644">
        <f>CI722/BC722</f>
        <v>200</v>
      </c>
      <c r="BT722" s="645"/>
      <c r="BU722" s="645"/>
      <c r="BV722" s="645"/>
      <c r="BW722" s="645"/>
      <c r="BX722" s="645"/>
      <c r="BY722" s="645"/>
      <c r="BZ722" s="645"/>
      <c r="CA722" s="645"/>
      <c r="CB722" s="645"/>
      <c r="CC722" s="645"/>
      <c r="CD722" s="645"/>
      <c r="CE722" s="645"/>
      <c r="CF722" s="645"/>
      <c r="CG722" s="645"/>
      <c r="CH722" s="646"/>
      <c r="CI722" s="636">
        <v>10000</v>
      </c>
      <c r="CJ722" s="654"/>
      <c r="CK722" s="654"/>
      <c r="CL722" s="654"/>
      <c r="CM722" s="654"/>
      <c r="CN722" s="654"/>
      <c r="CO722" s="654"/>
      <c r="CP722" s="654"/>
      <c r="CQ722" s="654"/>
      <c r="CR722" s="654"/>
      <c r="CS722" s="654"/>
      <c r="CT722" s="654"/>
      <c r="CU722" s="654"/>
      <c r="CV722" s="654"/>
      <c r="CW722" s="654"/>
      <c r="CX722" s="654"/>
      <c r="CY722" s="654"/>
      <c r="CZ722" s="655"/>
      <c r="DA722" s="214"/>
    </row>
    <row r="723" spans="1:105" s="16" customFormat="1" ht="15" hidden="1" customHeight="1" x14ac:dyDescent="0.3">
      <c r="A723" s="630"/>
      <c r="B723" s="631"/>
      <c r="C723" s="631"/>
      <c r="D723" s="631"/>
      <c r="E723" s="631"/>
      <c r="F723" s="631"/>
      <c r="G723" s="632"/>
      <c r="H723" s="651"/>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c r="AI723" s="652"/>
      <c r="AJ723" s="652"/>
      <c r="AK723" s="652"/>
      <c r="AL723" s="652"/>
      <c r="AM723" s="652"/>
      <c r="AN723" s="652"/>
      <c r="AO723" s="652"/>
      <c r="AP723" s="652"/>
      <c r="AQ723" s="652"/>
      <c r="AR723" s="652"/>
      <c r="AS723" s="652"/>
      <c r="AT723" s="653"/>
      <c r="AU723" s="475"/>
      <c r="AV723" s="476"/>
      <c r="AW723" s="476"/>
      <c r="AX723" s="476"/>
      <c r="AY723" s="476"/>
      <c r="AZ723" s="476"/>
      <c r="BA723" s="476"/>
      <c r="BB723" s="477"/>
      <c r="BC723" s="544"/>
      <c r="BD723" s="545"/>
      <c r="BE723" s="545"/>
      <c r="BF723" s="545"/>
      <c r="BG723" s="545"/>
      <c r="BH723" s="545"/>
      <c r="BI723" s="545"/>
      <c r="BJ723" s="545"/>
      <c r="BK723" s="545"/>
      <c r="BL723" s="545"/>
      <c r="BM723" s="545"/>
      <c r="BN723" s="545"/>
      <c r="BO723" s="545"/>
      <c r="BP723" s="545"/>
      <c r="BQ723" s="545"/>
      <c r="BR723" s="546"/>
      <c r="BS723" s="644"/>
      <c r="BT723" s="645"/>
      <c r="BU723" s="645"/>
      <c r="BV723" s="645"/>
      <c r="BW723" s="645"/>
      <c r="BX723" s="645"/>
      <c r="BY723" s="645"/>
      <c r="BZ723" s="645"/>
      <c r="CA723" s="645"/>
      <c r="CB723" s="645"/>
      <c r="CC723" s="645"/>
      <c r="CD723" s="645"/>
      <c r="CE723" s="645"/>
      <c r="CF723" s="645"/>
      <c r="CG723" s="645"/>
      <c r="CH723" s="646"/>
      <c r="CI723" s="627"/>
      <c r="CJ723" s="628"/>
      <c r="CK723" s="628"/>
      <c r="CL723" s="628"/>
      <c r="CM723" s="628"/>
      <c r="CN723" s="628"/>
      <c r="CO723" s="628"/>
      <c r="CP723" s="628"/>
      <c r="CQ723" s="628"/>
      <c r="CR723" s="628"/>
      <c r="CS723" s="628"/>
      <c r="CT723" s="628"/>
      <c r="CU723" s="628"/>
      <c r="CV723" s="628"/>
      <c r="CW723" s="628"/>
      <c r="CX723" s="628"/>
      <c r="CY723" s="628"/>
      <c r="CZ723" s="629"/>
      <c r="DA723" s="214"/>
    </row>
    <row r="724" spans="1:105" s="16" customFormat="1" ht="15" customHeight="1" x14ac:dyDescent="0.3">
      <c r="A724" s="630"/>
      <c r="B724" s="631"/>
      <c r="C724" s="631"/>
      <c r="D724" s="631"/>
      <c r="E724" s="631"/>
      <c r="F724" s="631"/>
      <c r="G724" s="632"/>
      <c r="H724" s="651" t="s">
        <v>998</v>
      </c>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52"/>
      <c r="AL724" s="652"/>
      <c r="AM724" s="652"/>
      <c r="AN724" s="652"/>
      <c r="AO724" s="652"/>
      <c r="AP724" s="652"/>
      <c r="AQ724" s="652"/>
      <c r="AR724" s="652"/>
      <c r="AS724" s="652"/>
      <c r="AT724" s="653"/>
      <c r="AU724" s="541" t="s">
        <v>690</v>
      </c>
      <c r="AV724" s="542"/>
      <c r="AW724" s="542"/>
      <c r="AX724" s="542"/>
      <c r="AY724" s="542"/>
      <c r="AZ724" s="542"/>
      <c r="BA724" s="542"/>
      <c r="BB724" s="543"/>
      <c r="BC724" s="647">
        <v>30</v>
      </c>
      <c r="BD724" s="637"/>
      <c r="BE724" s="637"/>
      <c r="BF724" s="637"/>
      <c r="BG724" s="637"/>
      <c r="BH724" s="637"/>
      <c r="BI724" s="637"/>
      <c r="BJ724" s="637"/>
      <c r="BK724" s="637"/>
      <c r="BL724" s="637"/>
      <c r="BM724" s="637"/>
      <c r="BN724" s="637"/>
      <c r="BO724" s="637"/>
      <c r="BP724" s="637"/>
      <c r="BQ724" s="637"/>
      <c r="BR724" s="638"/>
      <c r="BS724" s="644">
        <f>CI724/BC724</f>
        <v>75.972666666666655</v>
      </c>
      <c r="BT724" s="645"/>
      <c r="BU724" s="645"/>
      <c r="BV724" s="645"/>
      <c r="BW724" s="645"/>
      <c r="BX724" s="645"/>
      <c r="BY724" s="645"/>
      <c r="BZ724" s="645"/>
      <c r="CA724" s="645"/>
      <c r="CB724" s="645"/>
      <c r="CC724" s="645"/>
      <c r="CD724" s="645"/>
      <c r="CE724" s="645"/>
      <c r="CF724" s="645"/>
      <c r="CG724" s="645"/>
      <c r="CH724" s="646"/>
      <c r="CI724" s="636">
        <v>2279.1799999999998</v>
      </c>
      <c r="CJ724" s="654"/>
      <c r="CK724" s="654"/>
      <c r="CL724" s="654"/>
      <c r="CM724" s="654"/>
      <c r="CN724" s="654"/>
      <c r="CO724" s="654"/>
      <c r="CP724" s="654"/>
      <c r="CQ724" s="654"/>
      <c r="CR724" s="654"/>
      <c r="CS724" s="654"/>
      <c r="CT724" s="654"/>
      <c r="CU724" s="654"/>
      <c r="CV724" s="654"/>
      <c r="CW724" s="654"/>
      <c r="CX724" s="654"/>
      <c r="CY724" s="654"/>
      <c r="CZ724" s="655"/>
      <c r="DA724" s="214"/>
    </row>
    <row r="725" spans="1:105" s="16" customFormat="1" ht="15" hidden="1" customHeight="1" x14ac:dyDescent="0.3">
      <c r="A725" s="630"/>
      <c r="B725" s="631"/>
      <c r="C725" s="631"/>
      <c r="D725" s="631"/>
      <c r="E725" s="631"/>
      <c r="F725" s="631"/>
      <c r="G725" s="632"/>
      <c r="H725" s="651"/>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c r="AI725" s="652"/>
      <c r="AJ725" s="652"/>
      <c r="AK725" s="652"/>
      <c r="AL725" s="652"/>
      <c r="AM725" s="652"/>
      <c r="AN725" s="652"/>
      <c r="AO725" s="652"/>
      <c r="AP725" s="652"/>
      <c r="AQ725" s="652"/>
      <c r="AR725" s="652"/>
      <c r="AS725" s="652"/>
      <c r="AT725" s="653"/>
      <c r="AU725" s="475"/>
      <c r="AV725" s="476"/>
      <c r="AW725" s="476"/>
      <c r="AX725" s="476"/>
      <c r="AY725" s="476"/>
      <c r="AZ725" s="476"/>
      <c r="BA725" s="476"/>
      <c r="BB725" s="477"/>
      <c r="BC725" s="544"/>
      <c r="BD725" s="545"/>
      <c r="BE725" s="545"/>
      <c r="BF725" s="545"/>
      <c r="BG725" s="545"/>
      <c r="BH725" s="545"/>
      <c r="BI725" s="545"/>
      <c r="BJ725" s="545"/>
      <c r="BK725" s="545"/>
      <c r="BL725" s="545"/>
      <c r="BM725" s="545"/>
      <c r="BN725" s="545"/>
      <c r="BO725" s="545"/>
      <c r="BP725" s="545"/>
      <c r="BQ725" s="545"/>
      <c r="BR725" s="546"/>
      <c r="BS725" s="644"/>
      <c r="BT725" s="645"/>
      <c r="BU725" s="645"/>
      <c r="BV725" s="645"/>
      <c r="BW725" s="645"/>
      <c r="BX725" s="645"/>
      <c r="BY725" s="645"/>
      <c r="BZ725" s="645"/>
      <c r="CA725" s="645"/>
      <c r="CB725" s="645"/>
      <c r="CC725" s="645"/>
      <c r="CD725" s="645"/>
      <c r="CE725" s="645"/>
      <c r="CF725" s="645"/>
      <c r="CG725" s="645"/>
      <c r="CH725" s="646"/>
      <c r="CI725" s="627"/>
      <c r="CJ725" s="628"/>
      <c r="CK725" s="628"/>
      <c r="CL725" s="628"/>
      <c r="CM725" s="628"/>
      <c r="CN725" s="628"/>
      <c r="CO725" s="628"/>
      <c r="CP725" s="628"/>
      <c r="CQ725" s="628"/>
      <c r="CR725" s="628"/>
      <c r="CS725" s="628"/>
      <c r="CT725" s="628"/>
      <c r="CU725" s="628"/>
      <c r="CV725" s="628"/>
      <c r="CW725" s="628"/>
      <c r="CX725" s="628"/>
      <c r="CY725" s="628"/>
      <c r="CZ725" s="629"/>
      <c r="DA725" s="214"/>
    </row>
    <row r="726" spans="1:105" s="16" customFormat="1" ht="15" customHeight="1" x14ac:dyDescent="0.3">
      <c r="A726" s="630"/>
      <c r="B726" s="631"/>
      <c r="C726" s="631"/>
      <c r="D726" s="631"/>
      <c r="E726" s="631"/>
      <c r="F726" s="631"/>
      <c r="G726" s="632"/>
      <c r="H726" s="651" t="s">
        <v>725</v>
      </c>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3"/>
      <c r="AU726" s="541" t="s">
        <v>690</v>
      </c>
      <c r="AV726" s="542"/>
      <c r="AW726" s="542"/>
      <c r="AX726" s="542"/>
      <c r="AY726" s="542"/>
      <c r="AZ726" s="542"/>
      <c r="BA726" s="542"/>
      <c r="BB726" s="543"/>
      <c r="BC726" s="647">
        <v>3000</v>
      </c>
      <c r="BD726" s="637"/>
      <c r="BE726" s="637"/>
      <c r="BF726" s="637"/>
      <c r="BG726" s="637"/>
      <c r="BH726" s="637"/>
      <c r="BI726" s="637"/>
      <c r="BJ726" s="637"/>
      <c r="BK726" s="637"/>
      <c r="BL726" s="637"/>
      <c r="BM726" s="637"/>
      <c r="BN726" s="637"/>
      <c r="BO726" s="637"/>
      <c r="BP726" s="637"/>
      <c r="BQ726" s="637"/>
      <c r="BR726" s="638"/>
      <c r="BS726" s="644">
        <f t="shared" si="13"/>
        <v>3.6666666666666665</v>
      </c>
      <c r="BT726" s="645"/>
      <c r="BU726" s="645"/>
      <c r="BV726" s="645"/>
      <c r="BW726" s="645"/>
      <c r="BX726" s="645"/>
      <c r="BY726" s="645"/>
      <c r="BZ726" s="645"/>
      <c r="CA726" s="645"/>
      <c r="CB726" s="645"/>
      <c r="CC726" s="645"/>
      <c r="CD726" s="645"/>
      <c r="CE726" s="645"/>
      <c r="CF726" s="645"/>
      <c r="CG726" s="645"/>
      <c r="CH726" s="646"/>
      <c r="CI726" s="636">
        <v>11000</v>
      </c>
      <c r="CJ726" s="654"/>
      <c r="CK726" s="654"/>
      <c r="CL726" s="654"/>
      <c r="CM726" s="654"/>
      <c r="CN726" s="654"/>
      <c r="CO726" s="654"/>
      <c r="CP726" s="654"/>
      <c r="CQ726" s="654"/>
      <c r="CR726" s="654"/>
      <c r="CS726" s="654"/>
      <c r="CT726" s="654"/>
      <c r="CU726" s="654"/>
      <c r="CV726" s="654"/>
      <c r="CW726" s="654"/>
      <c r="CX726" s="654"/>
      <c r="CY726" s="654"/>
      <c r="CZ726" s="655"/>
      <c r="DA726" s="214"/>
    </row>
    <row r="727" spans="1:105" s="16" customFormat="1" ht="15" hidden="1" customHeight="1" x14ac:dyDescent="0.3">
      <c r="A727" s="630"/>
      <c r="B727" s="631"/>
      <c r="C727" s="631"/>
      <c r="D727" s="631"/>
      <c r="E727" s="631"/>
      <c r="F727" s="631"/>
      <c r="G727" s="632"/>
      <c r="H727" s="651"/>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2"/>
      <c r="AL727" s="652"/>
      <c r="AM727" s="652"/>
      <c r="AN727" s="652"/>
      <c r="AO727" s="652"/>
      <c r="AP727" s="652"/>
      <c r="AQ727" s="652"/>
      <c r="AR727" s="652"/>
      <c r="AS727" s="652"/>
      <c r="AT727" s="653"/>
      <c r="AU727" s="475"/>
      <c r="AV727" s="476"/>
      <c r="AW727" s="476"/>
      <c r="AX727" s="476"/>
      <c r="AY727" s="476"/>
      <c r="AZ727" s="476"/>
      <c r="BA727" s="476"/>
      <c r="BB727" s="477"/>
      <c r="BC727" s="544"/>
      <c r="BD727" s="545"/>
      <c r="BE727" s="545"/>
      <c r="BF727" s="545"/>
      <c r="BG727" s="545"/>
      <c r="BH727" s="545"/>
      <c r="BI727" s="545"/>
      <c r="BJ727" s="545"/>
      <c r="BK727" s="545"/>
      <c r="BL727" s="545"/>
      <c r="BM727" s="545"/>
      <c r="BN727" s="545"/>
      <c r="BO727" s="545"/>
      <c r="BP727" s="545"/>
      <c r="BQ727" s="545"/>
      <c r="BR727" s="546"/>
      <c r="BS727" s="644"/>
      <c r="BT727" s="645"/>
      <c r="BU727" s="645"/>
      <c r="BV727" s="645"/>
      <c r="BW727" s="645"/>
      <c r="BX727" s="645"/>
      <c r="BY727" s="645"/>
      <c r="BZ727" s="645"/>
      <c r="CA727" s="645"/>
      <c r="CB727" s="645"/>
      <c r="CC727" s="645"/>
      <c r="CD727" s="645"/>
      <c r="CE727" s="645"/>
      <c r="CF727" s="645"/>
      <c r="CG727" s="645"/>
      <c r="CH727" s="646"/>
      <c r="CI727" s="627"/>
      <c r="CJ727" s="628"/>
      <c r="CK727" s="628"/>
      <c r="CL727" s="628"/>
      <c r="CM727" s="628"/>
      <c r="CN727" s="628"/>
      <c r="CO727" s="628"/>
      <c r="CP727" s="628"/>
      <c r="CQ727" s="628"/>
      <c r="CR727" s="628"/>
      <c r="CS727" s="628"/>
      <c r="CT727" s="628"/>
      <c r="CU727" s="628"/>
      <c r="CV727" s="628"/>
      <c r="CW727" s="628"/>
      <c r="CX727" s="628"/>
      <c r="CY727" s="628"/>
      <c r="CZ727" s="629"/>
      <c r="DA727" s="214"/>
    </row>
    <row r="728" spans="1:105" s="16" customFormat="1" ht="15" hidden="1" customHeight="1" x14ac:dyDescent="0.3">
      <c r="A728" s="630"/>
      <c r="B728" s="631"/>
      <c r="C728" s="631"/>
      <c r="D728" s="631"/>
      <c r="E728" s="631"/>
      <c r="F728" s="631"/>
      <c r="G728" s="632"/>
      <c r="H728" s="651" t="s">
        <v>726</v>
      </c>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3"/>
      <c r="AU728" s="541" t="s">
        <v>690</v>
      </c>
      <c r="AV728" s="542"/>
      <c r="AW728" s="542"/>
      <c r="AX728" s="542"/>
      <c r="AY728" s="542"/>
      <c r="AZ728" s="542"/>
      <c r="BA728" s="542"/>
      <c r="BB728" s="543"/>
      <c r="BC728" s="647">
        <f>12+2+40+10+6+40+5+10+10+10</f>
        <v>145</v>
      </c>
      <c r="BD728" s="637"/>
      <c r="BE728" s="637"/>
      <c r="BF728" s="637"/>
      <c r="BG728" s="637"/>
      <c r="BH728" s="637"/>
      <c r="BI728" s="637"/>
      <c r="BJ728" s="637"/>
      <c r="BK728" s="637"/>
      <c r="BL728" s="637"/>
      <c r="BM728" s="637"/>
      <c r="BN728" s="637"/>
      <c r="BO728" s="637"/>
      <c r="BP728" s="637"/>
      <c r="BQ728" s="637"/>
      <c r="BR728" s="638"/>
      <c r="BS728" s="644">
        <f t="shared" si="13"/>
        <v>0</v>
      </c>
      <c r="BT728" s="645"/>
      <c r="BU728" s="645"/>
      <c r="BV728" s="645"/>
      <c r="BW728" s="645"/>
      <c r="BX728" s="645"/>
      <c r="BY728" s="645"/>
      <c r="BZ728" s="645"/>
      <c r="CA728" s="645"/>
      <c r="CB728" s="645"/>
      <c r="CC728" s="645"/>
      <c r="CD728" s="645"/>
      <c r="CE728" s="645"/>
      <c r="CF728" s="645"/>
      <c r="CG728" s="645"/>
      <c r="CH728" s="646"/>
      <c r="CI728" s="636">
        <v>0</v>
      </c>
      <c r="CJ728" s="654"/>
      <c r="CK728" s="654"/>
      <c r="CL728" s="654"/>
      <c r="CM728" s="654"/>
      <c r="CN728" s="654"/>
      <c r="CO728" s="654"/>
      <c r="CP728" s="654"/>
      <c r="CQ728" s="654"/>
      <c r="CR728" s="654"/>
      <c r="CS728" s="654"/>
      <c r="CT728" s="654"/>
      <c r="CU728" s="654"/>
      <c r="CV728" s="654"/>
      <c r="CW728" s="654"/>
      <c r="CX728" s="654"/>
      <c r="CY728" s="654"/>
      <c r="CZ728" s="655"/>
      <c r="DA728" s="214"/>
    </row>
    <row r="729" spans="1:105" s="16" customFormat="1" ht="15" hidden="1" customHeight="1" x14ac:dyDescent="0.3">
      <c r="A729" s="630"/>
      <c r="B729" s="631"/>
      <c r="C729" s="631"/>
      <c r="D729" s="631"/>
      <c r="E729" s="631"/>
      <c r="F729" s="631"/>
      <c r="G729" s="632"/>
      <c r="H729" s="651"/>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3"/>
      <c r="AU729" s="475"/>
      <c r="AV729" s="476"/>
      <c r="AW729" s="476"/>
      <c r="AX729" s="476"/>
      <c r="AY729" s="476"/>
      <c r="AZ729" s="476"/>
      <c r="BA729" s="476"/>
      <c r="BB729" s="477"/>
      <c r="BC729" s="544"/>
      <c r="BD729" s="545"/>
      <c r="BE729" s="545"/>
      <c r="BF729" s="545"/>
      <c r="BG729" s="545"/>
      <c r="BH729" s="545"/>
      <c r="BI729" s="545"/>
      <c r="BJ729" s="545"/>
      <c r="BK729" s="545"/>
      <c r="BL729" s="545"/>
      <c r="BM729" s="545"/>
      <c r="BN729" s="545"/>
      <c r="BO729" s="545"/>
      <c r="BP729" s="545"/>
      <c r="BQ729" s="545"/>
      <c r="BR729" s="546"/>
      <c r="BS729" s="644"/>
      <c r="BT729" s="645"/>
      <c r="BU729" s="645"/>
      <c r="BV729" s="645"/>
      <c r="BW729" s="645"/>
      <c r="BX729" s="645"/>
      <c r="BY729" s="645"/>
      <c r="BZ729" s="645"/>
      <c r="CA729" s="645"/>
      <c r="CB729" s="645"/>
      <c r="CC729" s="645"/>
      <c r="CD729" s="645"/>
      <c r="CE729" s="645"/>
      <c r="CF729" s="645"/>
      <c r="CG729" s="645"/>
      <c r="CH729" s="646"/>
      <c r="CI729" s="627"/>
      <c r="CJ729" s="628"/>
      <c r="CK729" s="628"/>
      <c r="CL729" s="628"/>
      <c r="CM729" s="628"/>
      <c r="CN729" s="628"/>
      <c r="CO729" s="628"/>
      <c r="CP729" s="628"/>
      <c r="CQ729" s="628"/>
      <c r="CR729" s="628"/>
      <c r="CS729" s="628"/>
      <c r="CT729" s="628"/>
      <c r="CU729" s="628"/>
      <c r="CV729" s="628"/>
      <c r="CW729" s="628"/>
      <c r="CX729" s="628"/>
      <c r="CY729" s="628"/>
      <c r="CZ729" s="629"/>
      <c r="DA729" s="214"/>
    </row>
    <row r="730" spans="1:105" s="16" customFormat="1" ht="15" customHeight="1" x14ac:dyDescent="0.3">
      <c r="A730" s="630"/>
      <c r="B730" s="631"/>
      <c r="C730" s="631"/>
      <c r="D730" s="631"/>
      <c r="E730" s="631"/>
      <c r="F730" s="631"/>
      <c r="G730" s="632"/>
      <c r="H730" s="651" t="s">
        <v>727</v>
      </c>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3"/>
      <c r="AU730" s="541" t="s">
        <v>690</v>
      </c>
      <c r="AV730" s="542"/>
      <c r="AW730" s="542"/>
      <c r="AX730" s="542"/>
      <c r="AY730" s="542"/>
      <c r="AZ730" s="542"/>
      <c r="BA730" s="542"/>
      <c r="BB730" s="543"/>
      <c r="BC730" s="647">
        <f>5+20+10+20+10+20+5+10+1</f>
        <v>101</v>
      </c>
      <c r="BD730" s="637"/>
      <c r="BE730" s="637"/>
      <c r="BF730" s="637"/>
      <c r="BG730" s="637"/>
      <c r="BH730" s="637"/>
      <c r="BI730" s="637"/>
      <c r="BJ730" s="637"/>
      <c r="BK730" s="637"/>
      <c r="BL730" s="637"/>
      <c r="BM730" s="637"/>
      <c r="BN730" s="637"/>
      <c r="BO730" s="637"/>
      <c r="BP730" s="637"/>
      <c r="BQ730" s="637"/>
      <c r="BR730" s="638"/>
      <c r="BS730" s="644">
        <f t="shared" si="13"/>
        <v>99.009900990099013</v>
      </c>
      <c r="BT730" s="645"/>
      <c r="BU730" s="645"/>
      <c r="BV730" s="645"/>
      <c r="BW730" s="645"/>
      <c r="BX730" s="645"/>
      <c r="BY730" s="645"/>
      <c r="BZ730" s="645"/>
      <c r="CA730" s="645"/>
      <c r="CB730" s="645"/>
      <c r="CC730" s="645"/>
      <c r="CD730" s="645"/>
      <c r="CE730" s="645"/>
      <c r="CF730" s="645"/>
      <c r="CG730" s="645"/>
      <c r="CH730" s="646"/>
      <c r="CI730" s="636">
        <v>10000</v>
      </c>
      <c r="CJ730" s="654"/>
      <c r="CK730" s="654"/>
      <c r="CL730" s="654"/>
      <c r="CM730" s="654"/>
      <c r="CN730" s="654"/>
      <c r="CO730" s="654"/>
      <c r="CP730" s="654"/>
      <c r="CQ730" s="654"/>
      <c r="CR730" s="654"/>
      <c r="CS730" s="654"/>
      <c r="CT730" s="654"/>
      <c r="CU730" s="654"/>
      <c r="CV730" s="654"/>
      <c r="CW730" s="654"/>
      <c r="CX730" s="654"/>
      <c r="CY730" s="654"/>
      <c r="CZ730" s="655"/>
      <c r="DA730" s="214"/>
    </row>
    <row r="731" spans="1:105" s="16" customFormat="1" ht="15" hidden="1" customHeight="1" x14ac:dyDescent="0.3">
      <c r="A731" s="630"/>
      <c r="B731" s="631"/>
      <c r="C731" s="631"/>
      <c r="D731" s="631"/>
      <c r="E731" s="631"/>
      <c r="F731" s="631"/>
      <c r="G731" s="632"/>
      <c r="H731" s="651"/>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3"/>
      <c r="AU731" s="475"/>
      <c r="AV731" s="476"/>
      <c r="AW731" s="476"/>
      <c r="AX731" s="476"/>
      <c r="AY731" s="476"/>
      <c r="AZ731" s="476"/>
      <c r="BA731" s="476"/>
      <c r="BB731" s="477"/>
      <c r="BC731" s="544"/>
      <c r="BD731" s="545"/>
      <c r="BE731" s="545"/>
      <c r="BF731" s="545"/>
      <c r="BG731" s="545"/>
      <c r="BH731" s="545"/>
      <c r="BI731" s="545"/>
      <c r="BJ731" s="545"/>
      <c r="BK731" s="545"/>
      <c r="BL731" s="545"/>
      <c r="BM731" s="545"/>
      <c r="BN731" s="545"/>
      <c r="BO731" s="545"/>
      <c r="BP731" s="545"/>
      <c r="BQ731" s="545"/>
      <c r="BR731" s="546"/>
      <c r="BS731" s="644"/>
      <c r="BT731" s="645"/>
      <c r="BU731" s="645"/>
      <c r="BV731" s="645"/>
      <c r="BW731" s="645"/>
      <c r="BX731" s="645"/>
      <c r="BY731" s="645"/>
      <c r="BZ731" s="645"/>
      <c r="CA731" s="645"/>
      <c r="CB731" s="645"/>
      <c r="CC731" s="645"/>
      <c r="CD731" s="645"/>
      <c r="CE731" s="645"/>
      <c r="CF731" s="645"/>
      <c r="CG731" s="645"/>
      <c r="CH731" s="646"/>
      <c r="CI731" s="627"/>
      <c r="CJ731" s="628"/>
      <c r="CK731" s="628"/>
      <c r="CL731" s="628"/>
      <c r="CM731" s="628"/>
      <c r="CN731" s="628"/>
      <c r="CO731" s="628"/>
      <c r="CP731" s="628"/>
      <c r="CQ731" s="628"/>
      <c r="CR731" s="628"/>
      <c r="CS731" s="628"/>
      <c r="CT731" s="628"/>
      <c r="CU731" s="628"/>
      <c r="CV731" s="628"/>
      <c r="CW731" s="628"/>
      <c r="CX731" s="628"/>
      <c r="CY731" s="628"/>
      <c r="CZ731" s="629"/>
      <c r="DA731" s="214"/>
    </row>
    <row r="732" spans="1:105" s="16" customFormat="1" ht="15" hidden="1" customHeight="1" x14ac:dyDescent="0.3">
      <c r="A732" s="630"/>
      <c r="B732" s="631"/>
      <c r="C732" s="631"/>
      <c r="D732" s="631"/>
      <c r="E732" s="631"/>
      <c r="F732" s="631"/>
      <c r="G732" s="632"/>
      <c r="H732" s="651"/>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3"/>
      <c r="AU732" s="541" t="s">
        <v>690</v>
      </c>
      <c r="AV732" s="542"/>
      <c r="AW732" s="542"/>
      <c r="AX732" s="542"/>
      <c r="AY732" s="542"/>
      <c r="AZ732" s="542"/>
      <c r="BA732" s="542"/>
      <c r="BB732" s="543"/>
      <c r="BC732" s="647">
        <v>1826</v>
      </c>
      <c r="BD732" s="637"/>
      <c r="BE732" s="637"/>
      <c r="BF732" s="637"/>
      <c r="BG732" s="637"/>
      <c r="BH732" s="637"/>
      <c r="BI732" s="637"/>
      <c r="BJ732" s="637"/>
      <c r="BK732" s="637"/>
      <c r="BL732" s="637"/>
      <c r="BM732" s="637"/>
      <c r="BN732" s="637"/>
      <c r="BO732" s="637"/>
      <c r="BP732" s="637"/>
      <c r="BQ732" s="637"/>
      <c r="BR732" s="638"/>
      <c r="BS732" s="644">
        <f t="shared" si="13"/>
        <v>0</v>
      </c>
      <c r="BT732" s="645"/>
      <c r="BU732" s="645"/>
      <c r="BV732" s="645"/>
      <c r="BW732" s="645"/>
      <c r="BX732" s="645"/>
      <c r="BY732" s="645"/>
      <c r="BZ732" s="645"/>
      <c r="CA732" s="645"/>
      <c r="CB732" s="645"/>
      <c r="CC732" s="645"/>
      <c r="CD732" s="645"/>
      <c r="CE732" s="645"/>
      <c r="CF732" s="645"/>
      <c r="CG732" s="645"/>
      <c r="CH732" s="646"/>
      <c r="CI732" s="636"/>
      <c r="CJ732" s="654"/>
      <c r="CK732" s="654"/>
      <c r="CL732" s="654"/>
      <c r="CM732" s="654"/>
      <c r="CN732" s="654"/>
      <c r="CO732" s="654"/>
      <c r="CP732" s="654"/>
      <c r="CQ732" s="654"/>
      <c r="CR732" s="654"/>
      <c r="CS732" s="654"/>
      <c r="CT732" s="654"/>
      <c r="CU732" s="654"/>
      <c r="CV732" s="654"/>
      <c r="CW732" s="654"/>
      <c r="CX732" s="654"/>
      <c r="CY732" s="654"/>
      <c r="CZ732" s="655"/>
      <c r="DA732" s="214"/>
    </row>
    <row r="733" spans="1:105" s="16" customFormat="1" ht="15" hidden="1" customHeight="1" x14ac:dyDescent="0.3">
      <c r="A733" s="630"/>
      <c r="B733" s="631"/>
      <c r="C733" s="631"/>
      <c r="D733" s="631"/>
      <c r="E733" s="631"/>
      <c r="F733" s="631"/>
      <c r="G733" s="632"/>
      <c r="H733" s="651"/>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3"/>
      <c r="AU733" s="475"/>
      <c r="AV733" s="476"/>
      <c r="AW733" s="476"/>
      <c r="AX733" s="476"/>
      <c r="AY733" s="476"/>
      <c r="AZ733" s="476"/>
      <c r="BA733" s="476"/>
      <c r="BB733" s="477"/>
      <c r="BC733" s="544"/>
      <c r="BD733" s="545"/>
      <c r="BE733" s="545"/>
      <c r="BF733" s="545"/>
      <c r="BG733" s="545"/>
      <c r="BH733" s="545"/>
      <c r="BI733" s="545"/>
      <c r="BJ733" s="545"/>
      <c r="BK733" s="545"/>
      <c r="BL733" s="545"/>
      <c r="BM733" s="545"/>
      <c r="BN733" s="545"/>
      <c r="BO733" s="545"/>
      <c r="BP733" s="545"/>
      <c r="BQ733" s="545"/>
      <c r="BR733" s="546"/>
      <c r="BS733" s="644"/>
      <c r="BT733" s="645"/>
      <c r="BU733" s="645"/>
      <c r="BV733" s="645"/>
      <c r="BW733" s="645"/>
      <c r="BX733" s="645"/>
      <c r="BY733" s="645"/>
      <c r="BZ733" s="645"/>
      <c r="CA733" s="645"/>
      <c r="CB733" s="645"/>
      <c r="CC733" s="645"/>
      <c r="CD733" s="645"/>
      <c r="CE733" s="645"/>
      <c r="CF733" s="645"/>
      <c r="CG733" s="645"/>
      <c r="CH733" s="646"/>
      <c r="CI733" s="627"/>
      <c r="CJ733" s="628"/>
      <c r="CK733" s="628"/>
      <c r="CL733" s="628"/>
      <c r="CM733" s="628"/>
      <c r="CN733" s="628"/>
      <c r="CO733" s="628"/>
      <c r="CP733" s="628"/>
      <c r="CQ733" s="628"/>
      <c r="CR733" s="628"/>
      <c r="CS733" s="628"/>
      <c r="CT733" s="628"/>
      <c r="CU733" s="628"/>
      <c r="CV733" s="628"/>
      <c r="CW733" s="628"/>
      <c r="CX733" s="628"/>
      <c r="CY733" s="628"/>
      <c r="CZ733" s="629"/>
      <c r="DA733" s="214"/>
    </row>
    <row r="734" spans="1:105" s="16" customFormat="1" ht="15" customHeight="1" x14ac:dyDescent="0.3">
      <c r="A734" s="630"/>
      <c r="B734" s="631"/>
      <c r="C734" s="631"/>
      <c r="D734" s="631"/>
      <c r="E734" s="631"/>
      <c r="F734" s="631"/>
      <c r="G734" s="632"/>
      <c r="H734" s="651" t="s">
        <v>728</v>
      </c>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3"/>
      <c r="AU734" s="541" t="s">
        <v>690</v>
      </c>
      <c r="AV734" s="542"/>
      <c r="AW734" s="542"/>
      <c r="AX734" s="542"/>
      <c r="AY734" s="542"/>
      <c r="AZ734" s="542"/>
      <c r="BA734" s="542"/>
      <c r="BB734" s="543"/>
      <c r="BC734" s="647">
        <f>5+15+30+464+18+9+5+90+100+25+10+4+4+2+15+45</f>
        <v>841</v>
      </c>
      <c r="BD734" s="637"/>
      <c r="BE734" s="637"/>
      <c r="BF734" s="637"/>
      <c r="BG734" s="637"/>
      <c r="BH734" s="637"/>
      <c r="BI734" s="637"/>
      <c r="BJ734" s="637"/>
      <c r="BK734" s="637"/>
      <c r="BL734" s="637"/>
      <c r="BM734" s="637"/>
      <c r="BN734" s="637"/>
      <c r="BO734" s="637"/>
      <c r="BP734" s="637"/>
      <c r="BQ734" s="637"/>
      <c r="BR734" s="638"/>
      <c r="BS734" s="644">
        <f t="shared" si="13"/>
        <v>11.890606420927467</v>
      </c>
      <c r="BT734" s="645"/>
      <c r="BU734" s="645"/>
      <c r="BV734" s="645"/>
      <c r="BW734" s="645"/>
      <c r="BX734" s="645"/>
      <c r="BY734" s="645"/>
      <c r="BZ734" s="645"/>
      <c r="CA734" s="645"/>
      <c r="CB734" s="645"/>
      <c r="CC734" s="645"/>
      <c r="CD734" s="645"/>
      <c r="CE734" s="645"/>
      <c r="CF734" s="645"/>
      <c r="CG734" s="645"/>
      <c r="CH734" s="646"/>
      <c r="CI734" s="636">
        <v>10000</v>
      </c>
      <c r="CJ734" s="654"/>
      <c r="CK734" s="654"/>
      <c r="CL734" s="654"/>
      <c r="CM734" s="654"/>
      <c r="CN734" s="654"/>
      <c r="CO734" s="654"/>
      <c r="CP734" s="654"/>
      <c r="CQ734" s="654"/>
      <c r="CR734" s="654"/>
      <c r="CS734" s="654"/>
      <c r="CT734" s="654"/>
      <c r="CU734" s="654"/>
      <c r="CV734" s="654"/>
      <c r="CW734" s="654"/>
      <c r="CX734" s="654"/>
      <c r="CY734" s="654"/>
      <c r="CZ734" s="655"/>
      <c r="DA734" s="214"/>
    </row>
    <row r="735" spans="1:105" s="16" customFormat="1" ht="15" customHeight="1" x14ac:dyDescent="0.3">
      <c r="A735" s="630"/>
      <c r="B735" s="631"/>
      <c r="C735" s="631"/>
      <c r="D735" s="631"/>
      <c r="E735" s="631"/>
      <c r="F735" s="631"/>
      <c r="G735" s="632"/>
      <c r="H735" s="584"/>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6"/>
      <c r="AU735" s="475"/>
      <c r="AV735" s="476"/>
      <c r="AW735" s="476"/>
      <c r="AX735" s="476"/>
      <c r="AY735" s="476"/>
      <c r="AZ735" s="476"/>
      <c r="BA735" s="476"/>
      <c r="BB735" s="477"/>
      <c r="BC735" s="544"/>
      <c r="BD735" s="545"/>
      <c r="BE735" s="545"/>
      <c r="BF735" s="545"/>
      <c r="BG735" s="545"/>
      <c r="BH735" s="545"/>
      <c r="BI735" s="545"/>
      <c r="BJ735" s="545"/>
      <c r="BK735" s="545"/>
      <c r="BL735" s="545"/>
      <c r="BM735" s="545"/>
      <c r="BN735" s="545"/>
      <c r="BO735" s="545"/>
      <c r="BP735" s="545"/>
      <c r="BQ735" s="545"/>
      <c r="BR735" s="546"/>
      <c r="BS735" s="644"/>
      <c r="BT735" s="645"/>
      <c r="BU735" s="645"/>
      <c r="BV735" s="645"/>
      <c r="BW735" s="645"/>
      <c r="BX735" s="645"/>
      <c r="BY735" s="645"/>
      <c r="BZ735" s="645"/>
      <c r="CA735" s="645"/>
      <c r="CB735" s="645"/>
      <c r="CC735" s="645"/>
      <c r="CD735" s="645"/>
      <c r="CE735" s="645"/>
      <c r="CF735" s="645"/>
      <c r="CG735" s="645"/>
      <c r="CH735" s="646"/>
      <c r="CI735" s="627"/>
      <c r="CJ735" s="628"/>
      <c r="CK735" s="628"/>
      <c r="CL735" s="628"/>
      <c r="CM735" s="628"/>
      <c r="CN735" s="628"/>
      <c r="CO735" s="628"/>
      <c r="CP735" s="628"/>
      <c r="CQ735" s="628"/>
      <c r="CR735" s="628"/>
      <c r="CS735" s="628"/>
      <c r="CT735" s="628"/>
      <c r="CU735" s="628"/>
      <c r="CV735" s="628"/>
      <c r="CW735" s="628"/>
      <c r="CX735" s="628"/>
      <c r="CY735" s="628"/>
      <c r="CZ735" s="629"/>
      <c r="DA735" s="214"/>
    </row>
    <row r="736" spans="1:105" s="16" customFormat="1" ht="15" customHeight="1" x14ac:dyDescent="0.3">
      <c r="A736" s="642" t="s">
        <v>292</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2"/>
      <c r="AY736" s="642"/>
      <c r="AZ736" s="642"/>
      <c r="BA736" s="642"/>
      <c r="BB736" s="642"/>
      <c r="BC736" s="582" t="s">
        <v>4</v>
      </c>
      <c r="BD736" s="582"/>
      <c r="BE736" s="582"/>
      <c r="BF736" s="582"/>
      <c r="BG736" s="582"/>
      <c r="BH736" s="582"/>
      <c r="BI736" s="582"/>
      <c r="BJ736" s="582"/>
      <c r="BK736" s="582"/>
      <c r="BL736" s="582"/>
      <c r="BM736" s="582"/>
      <c r="BN736" s="582"/>
      <c r="BO736" s="582"/>
      <c r="BP736" s="582"/>
      <c r="BQ736" s="582"/>
      <c r="BR736" s="582"/>
      <c r="BS736" s="582" t="s">
        <v>4</v>
      </c>
      <c r="BT736" s="582"/>
      <c r="BU736" s="582"/>
      <c r="BV736" s="582"/>
      <c r="BW736" s="582"/>
      <c r="BX736" s="582"/>
      <c r="BY736" s="582"/>
      <c r="BZ736" s="582"/>
      <c r="CA736" s="582"/>
      <c r="CB736" s="582"/>
      <c r="CC736" s="582"/>
      <c r="CD736" s="582"/>
      <c r="CE736" s="582"/>
      <c r="CF736" s="582"/>
      <c r="CG736" s="582"/>
      <c r="CH736" s="582"/>
      <c r="CI736" s="611">
        <f>CI659+CI661+CI680+CI682+CI696+CI711+CI714+CI716+CI718+CI720+CI722+CI724+CI726+CI728+CI730+CI732+CI734</f>
        <v>200279.18</v>
      </c>
      <c r="CJ736" s="560"/>
      <c r="CK736" s="560"/>
      <c r="CL736" s="560"/>
      <c r="CM736" s="560"/>
      <c r="CN736" s="560"/>
      <c r="CO736" s="560"/>
      <c r="CP736" s="560"/>
      <c r="CQ736" s="560"/>
      <c r="CR736" s="560"/>
      <c r="CS736" s="560"/>
      <c r="CT736" s="560"/>
      <c r="CU736" s="560"/>
      <c r="CV736" s="560"/>
      <c r="CW736" s="560"/>
      <c r="CX736" s="560"/>
      <c r="CY736" s="560"/>
      <c r="CZ736" s="560"/>
      <c r="DA736" s="214"/>
    </row>
    <row r="737" spans="1:105" s="16" customFormat="1" ht="15" customHeight="1" x14ac:dyDescent="0.3">
      <c r="A737" s="643" t="s">
        <v>634</v>
      </c>
      <c r="B737" s="643"/>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43"/>
      <c r="AL737" s="643"/>
      <c r="AM737" s="643"/>
      <c r="AN737" s="643"/>
      <c r="AO737" s="643"/>
      <c r="AP737" s="643"/>
      <c r="AQ737" s="643"/>
      <c r="AR737" s="643"/>
      <c r="AS737" s="643"/>
      <c r="AT737" s="643"/>
      <c r="AU737" s="643"/>
      <c r="AV737" s="643"/>
      <c r="AW737" s="643"/>
      <c r="AX737" s="643"/>
      <c r="AY737" s="643"/>
      <c r="AZ737" s="643"/>
      <c r="BA737" s="643"/>
      <c r="BB737" s="643"/>
      <c r="BC737" s="643"/>
      <c r="BD737" s="643"/>
      <c r="BE737" s="643"/>
      <c r="BF737" s="643"/>
      <c r="BG737" s="643"/>
      <c r="BH737" s="643"/>
      <c r="BI737" s="643"/>
      <c r="BJ737" s="643"/>
      <c r="BK737" s="643"/>
      <c r="BL737" s="643"/>
      <c r="BM737" s="643"/>
      <c r="BN737" s="643"/>
      <c r="BO737" s="643"/>
      <c r="BP737" s="643"/>
      <c r="BQ737" s="643"/>
      <c r="BR737" s="643"/>
      <c r="BS737" s="643"/>
      <c r="BT737" s="643"/>
      <c r="BU737" s="643"/>
      <c r="BV737" s="643"/>
      <c r="BW737" s="643"/>
      <c r="BX737" s="643"/>
      <c r="BY737" s="643"/>
      <c r="BZ737" s="643"/>
      <c r="CA737" s="643"/>
      <c r="CB737" s="643"/>
      <c r="CC737" s="643"/>
      <c r="CD737" s="643"/>
      <c r="CE737" s="643"/>
      <c r="CF737" s="643"/>
      <c r="CG737" s="643"/>
      <c r="CH737" s="643"/>
      <c r="CI737" s="643"/>
      <c r="CJ737" s="643"/>
      <c r="CK737" s="643"/>
      <c r="CL737" s="643"/>
      <c r="CM737" s="643"/>
      <c r="CN737" s="643"/>
      <c r="CO737" s="643"/>
      <c r="CP737" s="643"/>
      <c r="CQ737" s="643"/>
      <c r="CR737" s="643"/>
      <c r="CS737" s="643"/>
      <c r="CT737" s="643"/>
      <c r="CU737" s="643"/>
      <c r="CV737" s="643"/>
      <c r="CW737" s="643"/>
      <c r="CX737" s="643"/>
      <c r="CY737" s="643"/>
      <c r="CZ737" s="643"/>
      <c r="DA737" s="214"/>
    </row>
    <row r="738" spans="1:105" s="16" customFormat="1" ht="15" customHeight="1" x14ac:dyDescent="0.3">
      <c r="A738" s="630"/>
      <c r="B738" s="631"/>
      <c r="C738" s="631"/>
      <c r="D738" s="631"/>
      <c r="E738" s="631"/>
      <c r="F738" s="631"/>
      <c r="G738" s="632"/>
      <c r="H738" s="651"/>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c r="AI738" s="652"/>
      <c r="AJ738" s="652"/>
      <c r="AK738" s="652"/>
      <c r="AL738" s="652"/>
      <c r="AM738" s="652"/>
      <c r="AN738" s="652"/>
      <c r="AO738" s="652"/>
      <c r="AP738" s="652"/>
      <c r="AQ738" s="652"/>
      <c r="AR738" s="652"/>
      <c r="AS738" s="652"/>
      <c r="AT738" s="653"/>
      <c r="AU738" s="475"/>
      <c r="AV738" s="476"/>
      <c r="AW738" s="476"/>
      <c r="AX738" s="476"/>
      <c r="AY738" s="476"/>
      <c r="AZ738" s="476"/>
      <c r="BA738" s="476"/>
      <c r="BB738" s="477"/>
      <c r="BC738" s="544"/>
      <c r="BD738" s="545"/>
      <c r="BE738" s="545"/>
      <c r="BF738" s="545"/>
      <c r="BG738" s="545"/>
      <c r="BH738" s="545"/>
      <c r="BI738" s="545"/>
      <c r="BJ738" s="545"/>
      <c r="BK738" s="545"/>
      <c r="BL738" s="545"/>
      <c r="BM738" s="545"/>
      <c r="BN738" s="545"/>
      <c r="BO738" s="545"/>
      <c r="BP738" s="545"/>
      <c r="BQ738" s="545"/>
      <c r="BR738" s="546"/>
      <c r="BS738" s="639"/>
      <c r="BT738" s="640"/>
      <c r="BU738" s="640"/>
      <c r="BV738" s="640"/>
      <c r="BW738" s="640"/>
      <c r="BX738" s="640"/>
      <c r="BY738" s="640"/>
      <c r="BZ738" s="640"/>
      <c r="CA738" s="640"/>
      <c r="CB738" s="640"/>
      <c r="CC738" s="640"/>
      <c r="CD738" s="640"/>
      <c r="CE738" s="640"/>
      <c r="CF738" s="640"/>
      <c r="CG738" s="640"/>
      <c r="CH738" s="641"/>
      <c r="CI738" s="627"/>
      <c r="CJ738" s="628"/>
      <c r="CK738" s="628"/>
      <c r="CL738" s="628"/>
      <c r="CM738" s="628"/>
      <c r="CN738" s="628"/>
      <c r="CO738" s="628"/>
      <c r="CP738" s="628"/>
      <c r="CQ738" s="628"/>
      <c r="CR738" s="628"/>
      <c r="CS738" s="628"/>
      <c r="CT738" s="628"/>
      <c r="CU738" s="628"/>
      <c r="CV738" s="628"/>
      <c r="CW738" s="628"/>
      <c r="CX738" s="628"/>
      <c r="CY738" s="628"/>
      <c r="CZ738" s="629"/>
      <c r="DA738" s="214"/>
    </row>
    <row r="739" spans="1:105" s="16" customFormat="1" ht="15" customHeight="1" x14ac:dyDescent="0.3">
      <c r="A739" s="630"/>
      <c r="B739" s="631"/>
      <c r="C739" s="631"/>
      <c r="D739" s="631"/>
      <c r="E739" s="631"/>
      <c r="F739" s="631"/>
      <c r="G739" s="632"/>
      <c r="H739" s="651" t="s">
        <v>689</v>
      </c>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c r="AI739" s="652"/>
      <c r="AJ739" s="652"/>
      <c r="AK739" s="652"/>
      <c r="AL739" s="652"/>
      <c r="AM739" s="652"/>
      <c r="AN739" s="652"/>
      <c r="AO739" s="652"/>
      <c r="AP739" s="652"/>
      <c r="AQ739" s="652"/>
      <c r="AR739" s="652"/>
      <c r="AS739" s="652"/>
      <c r="AT739" s="653"/>
      <c r="AU739" s="541"/>
      <c r="AV739" s="542"/>
      <c r="AW739" s="542"/>
      <c r="AX739" s="542"/>
      <c r="AY739" s="542"/>
      <c r="AZ739" s="542"/>
      <c r="BA739" s="542"/>
      <c r="BB739" s="543"/>
      <c r="BC739" s="647">
        <v>1000</v>
      </c>
      <c r="BD739" s="637"/>
      <c r="BE739" s="637"/>
      <c r="BF739" s="637"/>
      <c r="BG739" s="637"/>
      <c r="BH739" s="637"/>
      <c r="BI739" s="637"/>
      <c r="BJ739" s="637"/>
      <c r="BK739" s="637"/>
      <c r="BL739" s="637"/>
      <c r="BM739" s="637"/>
      <c r="BN739" s="637"/>
      <c r="BO739" s="637"/>
      <c r="BP739" s="637"/>
      <c r="BQ739" s="637"/>
      <c r="BR739" s="638"/>
      <c r="BS739" s="644">
        <f>CI739/BC739</f>
        <v>0</v>
      </c>
      <c r="BT739" s="645"/>
      <c r="BU739" s="645"/>
      <c r="BV739" s="645"/>
      <c r="BW739" s="645"/>
      <c r="BX739" s="645"/>
      <c r="BY739" s="645"/>
      <c r="BZ739" s="645"/>
      <c r="CA739" s="645"/>
      <c r="CB739" s="645"/>
      <c r="CC739" s="645"/>
      <c r="CD739" s="645"/>
      <c r="CE739" s="645"/>
      <c r="CF739" s="645"/>
      <c r="CG739" s="645"/>
      <c r="CH739" s="646"/>
      <c r="CI739" s="636"/>
      <c r="CJ739" s="654"/>
      <c r="CK739" s="654"/>
      <c r="CL739" s="654"/>
      <c r="CM739" s="654"/>
      <c r="CN739" s="654"/>
      <c r="CO739" s="654"/>
      <c r="CP739" s="654"/>
      <c r="CQ739" s="654"/>
      <c r="CR739" s="654"/>
      <c r="CS739" s="654"/>
      <c r="CT739" s="654"/>
      <c r="CU739" s="654"/>
      <c r="CV739" s="654"/>
      <c r="CW739" s="654"/>
      <c r="CX739" s="654"/>
      <c r="CY739" s="654"/>
      <c r="CZ739" s="655"/>
      <c r="DA739" s="214"/>
    </row>
    <row r="740" spans="1:105" s="16" customFormat="1" ht="15" hidden="1" customHeight="1" x14ac:dyDescent="0.3">
      <c r="A740" s="630" t="s">
        <v>441</v>
      </c>
      <c r="B740" s="631"/>
      <c r="C740" s="631"/>
      <c r="D740" s="631"/>
      <c r="E740" s="631"/>
      <c r="F740" s="631"/>
      <c r="G740" s="632"/>
      <c r="H740" s="584" t="s">
        <v>729</v>
      </c>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5"/>
      <c r="AL740" s="585"/>
      <c r="AM740" s="585"/>
      <c r="AN740" s="585"/>
      <c r="AO740" s="585"/>
      <c r="AP740" s="585"/>
      <c r="AQ740" s="585"/>
      <c r="AR740" s="585"/>
      <c r="AS740" s="585"/>
      <c r="AT740" s="586"/>
      <c r="AU740" s="475" t="s">
        <v>730</v>
      </c>
      <c r="AV740" s="476"/>
      <c r="AW740" s="476"/>
      <c r="AX740" s="476"/>
      <c r="AY740" s="476"/>
      <c r="AZ740" s="476"/>
      <c r="BA740" s="476"/>
      <c r="BB740" s="477"/>
      <c r="BC740" s="544">
        <v>15</v>
      </c>
      <c r="BD740" s="545"/>
      <c r="BE740" s="545"/>
      <c r="BF740" s="545"/>
      <c r="BG740" s="545"/>
      <c r="BH740" s="545"/>
      <c r="BI740" s="545"/>
      <c r="BJ740" s="545"/>
      <c r="BK740" s="545"/>
      <c r="BL740" s="545"/>
      <c r="BM740" s="545"/>
      <c r="BN740" s="545"/>
      <c r="BO740" s="545"/>
      <c r="BP740" s="545"/>
      <c r="BQ740" s="545"/>
      <c r="BR740" s="546"/>
      <c r="BS740" s="639">
        <v>33.619999999999997</v>
      </c>
      <c r="BT740" s="640"/>
      <c r="BU740" s="640"/>
      <c r="BV740" s="640"/>
      <c r="BW740" s="640"/>
      <c r="BX740" s="640"/>
      <c r="BY740" s="640"/>
      <c r="BZ740" s="640"/>
      <c r="CA740" s="640"/>
      <c r="CB740" s="640"/>
      <c r="CC740" s="640"/>
      <c r="CD740" s="640"/>
      <c r="CE740" s="640"/>
      <c r="CF740" s="640"/>
      <c r="CG740" s="640"/>
      <c r="CH740" s="641"/>
      <c r="CI740" s="627"/>
      <c r="CJ740" s="628"/>
      <c r="CK740" s="628"/>
      <c r="CL740" s="628"/>
      <c r="CM740" s="628"/>
      <c r="CN740" s="628"/>
      <c r="CO740" s="628"/>
      <c r="CP740" s="628"/>
      <c r="CQ740" s="628"/>
      <c r="CR740" s="628"/>
      <c r="CS740" s="628"/>
      <c r="CT740" s="628"/>
      <c r="CU740" s="628"/>
      <c r="CV740" s="628"/>
      <c r="CW740" s="628"/>
      <c r="CX740" s="628"/>
      <c r="CY740" s="628"/>
      <c r="CZ740" s="629"/>
      <c r="DA740" s="214"/>
    </row>
    <row r="741" spans="1:105" s="16" customFormat="1" ht="15" hidden="1" customHeight="1" x14ac:dyDescent="0.3">
      <c r="A741" s="630" t="s">
        <v>444</v>
      </c>
      <c r="B741" s="631"/>
      <c r="C741" s="631"/>
      <c r="D741" s="631"/>
      <c r="E741" s="631"/>
      <c r="F741" s="631"/>
      <c r="G741" s="632"/>
      <c r="H741" s="584" t="s">
        <v>731</v>
      </c>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5"/>
      <c r="AL741" s="585"/>
      <c r="AM741" s="585"/>
      <c r="AN741" s="585"/>
      <c r="AO741" s="585"/>
      <c r="AP741" s="585"/>
      <c r="AQ741" s="585"/>
      <c r="AR741" s="585"/>
      <c r="AS741" s="585"/>
      <c r="AT741" s="586"/>
      <c r="AU741" s="475" t="s">
        <v>730</v>
      </c>
      <c r="AV741" s="476"/>
      <c r="AW741" s="476"/>
      <c r="AX741" s="476"/>
      <c r="AY741" s="476"/>
      <c r="AZ741" s="476"/>
      <c r="BA741" s="476"/>
      <c r="BB741" s="477"/>
      <c r="BC741" s="544">
        <v>5</v>
      </c>
      <c r="BD741" s="545"/>
      <c r="BE741" s="545"/>
      <c r="BF741" s="545"/>
      <c r="BG741" s="545"/>
      <c r="BH741" s="545"/>
      <c r="BI741" s="545"/>
      <c r="BJ741" s="545"/>
      <c r="BK741" s="545"/>
      <c r="BL741" s="545"/>
      <c r="BM741" s="545"/>
      <c r="BN741" s="545"/>
      <c r="BO741" s="545"/>
      <c r="BP741" s="545"/>
      <c r="BQ741" s="545"/>
      <c r="BR741" s="546"/>
      <c r="BS741" s="639">
        <v>6.35</v>
      </c>
      <c r="BT741" s="640"/>
      <c r="BU741" s="640"/>
      <c r="BV741" s="640"/>
      <c r="BW741" s="640"/>
      <c r="BX741" s="640"/>
      <c r="BY741" s="640"/>
      <c r="BZ741" s="640"/>
      <c r="CA741" s="640"/>
      <c r="CB741" s="640"/>
      <c r="CC741" s="640"/>
      <c r="CD741" s="640"/>
      <c r="CE741" s="640"/>
      <c r="CF741" s="640"/>
      <c r="CG741" s="640"/>
      <c r="CH741" s="641"/>
      <c r="CI741" s="627"/>
      <c r="CJ741" s="628"/>
      <c r="CK741" s="628"/>
      <c r="CL741" s="628"/>
      <c r="CM741" s="628"/>
      <c r="CN741" s="628"/>
      <c r="CO741" s="628"/>
      <c r="CP741" s="628"/>
      <c r="CQ741" s="628"/>
      <c r="CR741" s="628"/>
      <c r="CS741" s="628"/>
      <c r="CT741" s="628"/>
      <c r="CU741" s="628"/>
      <c r="CV741" s="628"/>
      <c r="CW741" s="628"/>
      <c r="CX741" s="628"/>
      <c r="CY741" s="628"/>
      <c r="CZ741" s="629"/>
      <c r="DA741" s="214"/>
    </row>
    <row r="742" spans="1:105" s="16" customFormat="1" ht="15" hidden="1" customHeight="1" x14ac:dyDescent="0.3">
      <c r="A742" s="630" t="s">
        <v>446</v>
      </c>
      <c r="B742" s="631"/>
      <c r="C742" s="631"/>
      <c r="D742" s="631"/>
      <c r="E742" s="631"/>
      <c r="F742" s="631"/>
      <c r="G742" s="632"/>
      <c r="H742" s="584" t="s">
        <v>732</v>
      </c>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5"/>
      <c r="AL742" s="585"/>
      <c r="AM742" s="585"/>
      <c r="AN742" s="585"/>
      <c r="AO742" s="585"/>
      <c r="AP742" s="585"/>
      <c r="AQ742" s="585"/>
      <c r="AR742" s="585"/>
      <c r="AS742" s="585"/>
      <c r="AT742" s="586"/>
      <c r="AU742" s="475" t="s">
        <v>690</v>
      </c>
      <c r="AV742" s="476"/>
      <c r="AW742" s="476"/>
      <c r="AX742" s="476"/>
      <c r="AY742" s="476"/>
      <c r="AZ742" s="476"/>
      <c r="BA742" s="476"/>
      <c r="BB742" s="477"/>
      <c r="BC742" s="544">
        <v>40</v>
      </c>
      <c r="BD742" s="545"/>
      <c r="BE742" s="545"/>
      <c r="BF742" s="545"/>
      <c r="BG742" s="545"/>
      <c r="BH742" s="545"/>
      <c r="BI742" s="545"/>
      <c r="BJ742" s="545"/>
      <c r="BK742" s="545"/>
      <c r="BL742" s="545"/>
      <c r="BM742" s="545"/>
      <c r="BN742" s="545"/>
      <c r="BO742" s="545"/>
      <c r="BP742" s="545"/>
      <c r="BQ742" s="545"/>
      <c r="BR742" s="546"/>
      <c r="BS742" s="639">
        <v>6.6550000000000002</v>
      </c>
      <c r="BT742" s="640"/>
      <c r="BU742" s="640"/>
      <c r="BV742" s="640"/>
      <c r="BW742" s="640"/>
      <c r="BX742" s="640"/>
      <c r="BY742" s="640"/>
      <c r="BZ742" s="640"/>
      <c r="CA742" s="640"/>
      <c r="CB742" s="640"/>
      <c r="CC742" s="640"/>
      <c r="CD742" s="640"/>
      <c r="CE742" s="640"/>
      <c r="CF742" s="640"/>
      <c r="CG742" s="640"/>
      <c r="CH742" s="641"/>
      <c r="CI742" s="627"/>
      <c r="CJ742" s="628"/>
      <c r="CK742" s="628"/>
      <c r="CL742" s="628"/>
      <c r="CM742" s="628"/>
      <c r="CN742" s="628"/>
      <c r="CO742" s="628"/>
      <c r="CP742" s="628"/>
      <c r="CQ742" s="628"/>
      <c r="CR742" s="628"/>
      <c r="CS742" s="628"/>
      <c r="CT742" s="628"/>
      <c r="CU742" s="628"/>
      <c r="CV742" s="628"/>
      <c r="CW742" s="628"/>
      <c r="CX742" s="628"/>
      <c r="CY742" s="628"/>
      <c r="CZ742" s="629"/>
      <c r="DA742" s="214"/>
    </row>
    <row r="743" spans="1:105" s="16" customFormat="1" ht="15" hidden="1" customHeight="1" x14ac:dyDescent="0.3">
      <c r="A743" s="630" t="s">
        <v>551</v>
      </c>
      <c r="B743" s="631"/>
      <c r="C743" s="631"/>
      <c r="D743" s="631"/>
      <c r="E743" s="631"/>
      <c r="F743" s="631"/>
      <c r="G743" s="632"/>
      <c r="H743" s="584" t="s">
        <v>733</v>
      </c>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5"/>
      <c r="AL743" s="585"/>
      <c r="AM743" s="585"/>
      <c r="AN743" s="585"/>
      <c r="AO743" s="585"/>
      <c r="AP743" s="585"/>
      <c r="AQ743" s="585"/>
      <c r="AR743" s="585"/>
      <c r="AS743" s="585"/>
      <c r="AT743" s="586"/>
      <c r="AU743" s="475" t="s">
        <v>734</v>
      </c>
      <c r="AV743" s="476"/>
      <c r="AW743" s="476"/>
      <c r="AX743" s="476"/>
      <c r="AY743" s="476"/>
      <c r="AZ743" s="476"/>
      <c r="BA743" s="476"/>
      <c r="BB743" s="477"/>
      <c r="BC743" s="544">
        <v>30</v>
      </c>
      <c r="BD743" s="545"/>
      <c r="BE743" s="545"/>
      <c r="BF743" s="545"/>
      <c r="BG743" s="545"/>
      <c r="BH743" s="545"/>
      <c r="BI743" s="545"/>
      <c r="BJ743" s="545"/>
      <c r="BK743" s="545"/>
      <c r="BL743" s="545"/>
      <c r="BM743" s="545"/>
      <c r="BN743" s="545"/>
      <c r="BO743" s="545"/>
      <c r="BP743" s="545"/>
      <c r="BQ743" s="545"/>
      <c r="BR743" s="546"/>
      <c r="BS743" s="639">
        <v>9.6</v>
      </c>
      <c r="BT743" s="640"/>
      <c r="BU743" s="640"/>
      <c r="BV743" s="640"/>
      <c r="BW743" s="640"/>
      <c r="BX743" s="640"/>
      <c r="BY743" s="640"/>
      <c r="BZ743" s="640"/>
      <c r="CA743" s="640"/>
      <c r="CB743" s="640"/>
      <c r="CC743" s="640"/>
      <c r="CD743" s="640"/>
      <c r="CE743" s="640"/>
      <c r="CF743" s="640"/>
      <c r="CG743" s="640"/>
      <c r="CH743" s="641"/>
      <c r="CI743" s="627"/>
      <c r="CJ743" s="628"/>
      <c r="CK743" s="628"/>
      <c r="CL743" s="628"/>
      <c r="CM743" s="628"/>
      <c r="CN743" s="628"/>
      <c r="CO743" s="628"/>
      <c r="CP743" s="628"/>
      <c r="CQ743" s="628"/>
      <c r="CR743" s="628"/>
      <c r="CS743" s="628"/>
      <c r="CT743" s="628"/>
      <c r="CU743" s="628"/>
      <c r="CV743" s="628"/>
      <c r="CW743" s="628"/>
      <c r="CX743" s="628"/>
      <c r="CY743" s="628"/>
      <c r="CZ743" s="629"/>
      <c r="DA743" s="214"/>
    </row>
    <row r="744" spans="1:105" s="16" customFormat="1" ht="15" hidden="1" customHeight="1" x14ac:dyDescent="0.3">
      <c r="A744" s="630" t="s">
        <v>599</v>
      </c>
      <c r="B744" s="631"/>
      <c r="C744" s="631"/>
      <c r="D744" s="631"/>
      <c r="E744" s="631"/>
      <c r="F744" s="631"/>
      <c r="G744" s="632"/>
      <c r="H744" s="584" t="s">
        <v>735</v>
      </c>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5"/>
      <c r="AL744" s="585"/>
      <c r="AM744" s="585"/>
      <c r="AN744" s="585"/>
      <c r="AO744" s="585"/>
      <c r="AP744" s="585"/>
      <c r="AQ744" s="585"/>
      <c r="AR744" s="585"/>
      <c r="AS744" s="585"/>
      <c r="AT744" s="586"/>
      <c r="AU744" s="475" t="s">
        <v>734</v>
      </c>
      <c r="AV744" s="476"/>
      <c r="AW744" s="476"/>
      <c r="AX744" s="476"/>
      <c r="AY744" s="476"/>
      <c r="AZ744" s="476"/>
      <c r="BA744" s="476"/>
      <c r="BB744" s="477"/>
      <c r="BC744" s="544">
        <v>5</v>
      </c>
      <c r="BD744" s="545"/>
      <c r="BE744" s="545"/>
      <c r="BF744" s="545"/>
      <c r="BG744" s="545"/>
      <c r="BH744" s="545"/>
      <c r="BI744" s="545"/>
      <c r="BJ744" s="545"/>
      <c r="BK744" s="545"/>
      <c r="BL744" s="545"/>
      <c r="BM744" s="545"/>
      <c r="BN744" s="545"/>
      <c r="BO744" s="545"/>
      <c r="BP744" s="545"/>
      <c r="BQ744" s="545"/>
      <c r="BR744" s="546"/>
      <c r="BS744" s="639">
        <v>8.65</v>
      </c>
      <c r="BT744" s="640"/>
      <c r="BU744" s="640"/>
      <c r="BV744" s="640"/>
      <c r="BW744" s="640"/>
      <c r="BX744" s="640"/>
      <c r="BY744" s="640"/>
      <c r="BZ744" s="640"/>
      <c r="CA744" s="640"/>
      <c r="CB744" s="640"/>
      <c r="CC744" s="640"/>
      <c r="CD744" s="640"/>
      <c r="CE744" s="640"/>
      <c r="CF744" s="640"/>
      <c r="CG744" s="640"/>
      <c r="CH744" s="641"/>
      <c r="CI744" s="627"/>
      <c r="CJ744" s="628"/>
      <c r="CK744" s="628"/>
      <c r="CL744" s="628"/>
      <c r="CM744" s="628"/>
      <c r="CN744" s="628"/>
      <c r="CO744" s="628"/>
      <c r="CP744" s="628"/>
      <c r="CQ744" s="628"/>
      <c r="CR744" s="628"/>
      <c r="CS744" s="628"/>
      <c r="CT744" s="628"/>
      <c r="CU744" s="628"/>
      <c r="CV744" s="628"/>
      <c r="CW744" s="628"/>
      <c r="CX744" s="628"/>
      <c r="CY744" s="628"/>
      <c r="CZ744" s="629"/>
      <c r="DA744" s="214"/>
    </row>
    <row r="745" spans="1:105" s="16" customFormat="1" ht="15" hidden="1" customHeight="1" x14ac:dyDescent="0.3">
      <c r="A745" s="630" t="s">
        <v>642</v>
      </c>
      <c r="B745" s="631"/>
      <c r="C745" s="631"/>
      <c r="D745" s="631"/>
      <c r="E745" s="631"/>
      <c r="F745" s="631"/>
      <c r="G745" s="632"/>
      <c r="H745" s="584" t="s">
        <v>736</v>
      </c>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5"/>
      <c r="AL745" s="585"/>
      <c r="AM745" s="585"/>
      <c r="AN745" s="585"/>
      <c r="AO745" s="585"/>
      <c r="AP745" s="585"/>
      <c r="AQ745" s="585"/>
      <c r="AR745" s="585"/>
      <c r="AS745" s="585"/>
      <c r="AT745" s="586"/>
      <c r="AU745" s="475" t="s">
        <v>730</v>
      </c>
      <c r="AV745" s="476"/>
      <c r="AW745" s="476"/>
      <c r="AX745" s="476"/>
      <c r="AY745" s="476"/>
      <c r="AZ745" s="476"/>
      <c r="BA745" s="476"/>
      <c r="BB745" s="477"/>
      <c r="BC745" s="544">
        <v>5</v>
      </c>
      <c r="BD745" s="545"/>
      <c r="BE745" s="545"/>
      <c r="BF745" s="545"/>
      <c r="BG745" s="545"/>
      <c r="BH745" s="545"/>
      <c r="BI745" s="545"/>
      <c r="BJ745" s="545"/>
      <c r="BK745" s="545"/>
      <c r="BL745" s="545"/>
      <c r="BM745" s="545"/>
      <c r="BN745" s="545"/>
      <c r="BO745" s="545"/>
      <c r="BP745" s="545"/>
      <c r="BQ745" s="545"/>
      <c r="BR745" s="546"/>
      <c r="BS745" s="639">
        <v>23</v>
      </c>
      <c r="BT745" s="640"/>
      <c r="BU745" s="640"/>
      <c r="BV745" s="640"/>
      <c r="BW745" s="640"/>
      <c r="BX745" s="640"/>
      <c r="BY745" s="640"/>
      <c r="BZ745" s="640"/>
      <c r="CA745" s="640"/>
      <c r="CB745" s="640"/>
      <c r="CC745" s="640"/>
      <c r="CD745" s="640"/>
      <c r="CE745" s="640"/>
      <c r="CF745" s="640"/>
      <c r="CG745" s="640"/>
      <c r="CH745" s="641"/>
      <c r="CI745" s="627"/>
      <c r="CJ745" s="628"/>
      <c r="CK745" s="628"/>
      <c r="CL745" s="628"/>
      <c r="CM745" s="628"/>
      <c r="CN745" s="628"/>
      <c r="CO745" s="628"/>
      <c r="CP745" s="628"/>
      <c r="CQ745" s="628"/>
      <c r="CR745" s="628"/>
      <c r="CS745" s="628"/>
      <c r="CT745" s="628"/>
      <c r="CU745" s="628"/>
      <c r="CV745" s="628"/>
      <c r="CW745" s="628"/>
      <c r="CX745" s="628"/>
      <c r="CY745" s="628"/>
      <c r="CZ745" s="629"/>
      <c r="DA745" s="214"/>
    </row>
    <row r="746" spans="1:105" s="16" customFormat="1" ht="15" hidden="1" customHeight="1" x14ac:dyDescent="0.3">
      <c r="A746" s="630" t="s">
        <v>648</v>
      </c>
      <c r="B746" s="631"/>
      <c r="C746" s="631"/>
      <c r="D746" s="631"/>
      <c r="E746" s="631"/>
      <c r="F746" s="631"/>
      <c r="G746" s="632"/>
      <c r="H746" s="584" t="s">
        <v>737</v>
      </c>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5"/>
      <c r="AL746" s="585"/>
      <c r="AM746" s="585"/>
      <c r="AN746" s="585"/>
      <c r="AO746" s="585"/>
      <c r="AP746" s="585"/>
      <c r="AQ746" s="585"/>
      <c r="AR746" s="585"/>
      <c r="AS746" s="585"/>
      <c r="AT746" s="586"/>
      <c r="AU746" s="475" t="s">
        <v>730</v>
      </c>
      <c r="AV746" s="476"/>
      <c r="AW746" s="476"/>
      <c r="AX746" s="476"/>
      <c r="AY746" s="476"/>
      <c r="AZ746" s="476"/>
      <c r="BA746" s="476"/>
      <c r="BB746" s="477"/>
      <c r="BC746" s="544">
        <v>2</v>
      </c>
      <c r="BD746" s="545"/>
      <c r="BE746" s="545"/>
      <c r="BF746" s="545"/>
      <c r="BG746" s="545"/>
      <c r="BH746" s="545"/>
      <c r="BI746" s="545"/>
      <c r="BJ746" s="545"/>
      <c r="BK746" s="545"/>
      <c r="BL746" s="545"/>
      <c r="BM746" s="545"/>
      <c r="BN746" s="545"/>
      <c r="BO746" s="545"/>
      <c r="BP746" s="545"/>
      <c r="BQ746" s="545"/>
      <c r="BR746" s="546"/>
      <c r="BS746" s="639">
        <v>250</v>
      </c>
      <c r="BT746" s="640"/>
      <c r="BU746" s="640"/>
      <c r="BV746" s="640"/>
      <c r="BW746" s="640"/>
      <c r="BX746" s="640"/>
      <c r="BY746" s="640"/>
      <c r="BZ746" s="640"/>
      <c r="CA746" s="640"/>
      <c r="CB746" s="640"/>
      <c r="CC746" s="640"/>
      <c r="CD746" s="640"/>
      <c r="CE746" s="640"/>
      <c r="CF746" s="640"/>
      <c r="CG746" s="640"/>
      <c r="CH746" s="641"/>
      <c r="CI746" s="627"/>
      <c r="CJ746" s="628"/>
      <c r="CK746" s="628"/>
      <c r="CL746" s="628"/>
      <c r="CM746" s="628"/>
      <c r="CN746" s="628"/>
      <c r="CO746" s="628"/>
      <c r="CP746" s="628"/>
      <c r="CQ746" s="628"/>
      <c r="CR746" s="628"/>
      <c r="CS746" s="628"/>
      <c r="CT746" s="628"/>
      <c r="CU746" s="628"/>
      <c r="CV746" s="628"/>
      <c r="CW746" s="628"/>
      <c r="CX746" s="628"/>
      <c r="CY746" s="628"/>
      <c r="CZ746" s="629"/>
      <c r="DA746" s="214"/>
    </row>
    <row r="747" spans="1:105" s="16" customFormat="1" ht="15" hidden="1" customHeight="1" x14ac:dyDescent="0.3">
      <c r="A747" s="630" t="s">
        <v>650</v>
      </c>
      <c r="B747" s="631"/>
      <c r="C747" s="631"/>
      <c r="D747" s="631"/>
      <c r="E747" s="631"/>
      <c r="F747" s="631"/>
      <c r="G747" s="632"/>
      <c r="H747" s="584" t="s">
        <v>738</v>
      </c>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5"/>
      <c r="AL747" s="585"/>
      <c r="AM747" s="585"/>
      <c r="AN747" s="585"/>
      <c r="AO747" s="585"/>
      <c r="AP747" s="585"/>
      <c r="AQ747" s="585"/>
      <c r="AR747" s="585"/>
      <c r="AS747" s="585"/>
      <c r="AT747" s="586"/>
      <c r="AU747" s="475" t="s">
        <v>730</v>
      </c>
      <c r="AV747" s="476"/>
      <c r="AW747" s="476"/>
      <c r="AX747" s="476"/>
      <c r="AY747" s="476"/>
      <c r="AZ747" s="476"/>
      <c r="BA747" s="476"/>
      <c r="BB747" s="477"/>
      <c r="BC747" s="544">
        <v>2</v>
      </c>
      <c r="BD747" s="545"/>
      <c r="BE747" s="545"/>
      <c r="BF747" s="545"/>
      <c r="BG747" s="545"/>
      <c r="BH747" s="545"/>
      <c r="BI747" s="545"/>
      <c r="BJ747" s="545"/>
      <c r="BK747" s="545"/>
      <c r="BL747" s="545"/>
      <c r="BM747" s="545"/>
      <c r="BN747" s="545"/>
      <c r="BO747" s="545"/>
      <c r="BP747" s="545"/>
      <c r="BQ747" s="545"/>
      <c r="BR747" s="546"/>
      <c r="BS747" s="639">
        <v>45.76</v>
      </c>
      <c r="BT747" s="640"/>
      <c r="BU747" s="640"/>
      <c r="BV747" s="640"/>
      <c r="BW747" s="640"/>
      <c r="BX747" s="640"/>
      <c r="BY747" s="640"/>
      <c r="BZ747" s="640"/>
      <c r="CA747" s="640"/>
      <c r="CB747" s="640"/>
      <c r="CC747" s="640"/>
      <c r="CD747" s="640"/>
      <c r="CE747" s="640"/>
      <c r="CF747" s="640"/>
      <c r="CG747" s="640"/>
      <c r="CH747" s="641"/>
      <c r="CI747" s="627"/>
      <c r="CJ747" s="628"/>
      <c r="CK747" s="628"/>
      <c r="CL747" s="628"/>
      <c r="CM747" s="628"/>
      <c r="CN747" s="628"/>
      <c r="CO747" s="628"/>
      <c r="CP747" s="628"/>
      <c r="CQ747" s="628"/>
      <c r="CR747" s="628"/>
      <c r="CS747" s="628"/>
      <c r="CT747" s="628"/>
      <c r="CU747" s="628"/>
      <c r="CV747" s="628"/>
      <c r="CW747" s="628"/>
      <c r="CX747" s="628"/>
      <c r="CY747" s="628"/>
      <c r="CZ747" s="629"/>
      <c r="DA747" s="214"/>
    </row>
    <row r="748" spans="1:105" s="16" customFormat="1" ht="15" hidden="1" customHeight="1" x14ac:dyDescent="0.3">
      <c r="A748" s="630" t="s">
        <v>651</v>
      </c>
      <c r="B748" s="631"/>
      <c r="C748" s="631"/>
      <c r="D748" s="631"/>
      <c r="E748" s="631"/>
      <c r="F748" s="631"/>
      <c r="G748" s="632"/>
      <c r="H748" s="584" t="s">
        <v>739</v>
      </c>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5"/>
      <c r="AL748" s="585"/>
      <c r="AM748" s="585"/>
      <c r="AN748" s="585"/>
      <c r="AO748" s="585"/>
      <c r="AP748" s="585"/>
      <c r="AQ748" s="585"/>
      <c r="AR748" s="585"/>
      <c r="AS748" s="585"/>
      <c r="AT748" s="586"/>
      <c r="AU748" s="475" t="s">
        <v>730</v>
      </c>
      <c r="AV748" s="476"/>
      <c r="AW748" s="476"/>
      <c r="AX748" s="476"/>
      <c r="AY748" s="476"/>
      <c r="AZ748" s="476"/>
      <c r="BA748" s="476"/>
      <c r="BB748" s="477"/>
      <c r="BC748" s="544">
        <v>5</v>
      </c>
      <c r="BD748" s="545"/>
      <c r="BE748" s="545"/>
      <c r="BF748" s="545"/>
      <c r="BG748" s="545"/>
      <c r="BH748" s="545"/>
      <c r="BI748" s="545"/>
      <c r="BJ748" s="545"/>
      <c r="BK748" s="545"/>
      <c r="BL748" s="545"/>
      <c r="BM748" s="545"/>
      <c r="BN748" s="545"/>
      <c r="BO748" s="545"/>
      <c r="BP748" s="545"/>
      <c r="BQ748" s="545"/>
      <c r="BR748" s="546"/>
      <c r="BS748" s="639">
        <v>310</v>
      </c>
      <c r="BT748" s="640"/>
      <c r="BU748" s="640"/>
      <c r="BV748" s="640"/>
      <c r="BW748" s="640"/>
      <c r="BX748" s="640"/>
      <c r="BY748" s="640"/>
      <c r="BZ748" s="640"/>
      <c r="CA748" s="640"/>
      <c r="CB748" s="640"/>
      <c r="CC748" s="640"/>
      <c r="CD748" s="640"/>
      <c r="CE748" s="640"/>
      <c r="CF748" s="640"/>
      <c r="CG748" s="640"/>
      <c r="CH748" s="641"/>
      <c r="CI748" s="627"/>
      <c r="CJ748" s="628"/>
      <c r="CK748" s="628"/>
      <c r="CL748" s="628"/>
      <c r="CM748" s="628"/>
      <c r="CN748" s="628"/>
      <c r="CO748" s="628"/>
      <c r="CP748" s="628"/>
      <c r="CQ748" s="628"/>
      <c r="CR748" s="628"/>
      <c r="CS748" s="628"/>
      <c r="CT748" s="628"/>
      <c r="CU748" s="628"/>
      <c r="CV748" s="628"/>
      <c r="CW748" s="628"/>
      <c r="CX748" s="628"/>
      <c r="CY748" s="628"/>
      <c r="CZ748" s="629"/>
      <c r="DA748" s="214"/>
    </row>
    <row r="749" spans="1:105" s="16" customFormat="1" ht="15" hidden="1" customHeight="1" x14ac:dyDescent="0.3">
      <c r="A749" s="630" t="s">
        <v>653</v>
      </c>
      <c r="B749" s="631"/>
      <c r="C749" s="631"/>
      <c r="D749" s="631"/>
      <c r="E749" s="631"/>
      <c r="F749" s="631"/>
      <c r="G749" s="632"/>
      <c r="H749" s="584" t="s">
        <v>740</v>
      </c>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5"/>
      <c r="AL749" s="585"/>
      <c r="AM749" s="585"/>
      <c r="AN749" s="585"/>
      <c r="AO749" s="585"/>
      <c r="AP749" s="585"/>
      <c r="AQ749" s="585"/>
      <c r="AR749" s="585"/>
      <c r="AS749" s="585"/>
      <c r="AT749" s="586"/>
      <c r="AU749" s="475" t="s">
        <v>730</v>
      </c>
      <c r="AV749" s="476"/>
      <c r="AW749" s="476"/>
      <c r="AX749" s="476"/>
      <c r="AY749" s="476"/>
      <c r="AZ749" s="476"/>
      <c r="BA749" s="476"/>
      <c r="BB749" s="477"/>
      <c r="BC749" s="544">
        <v>1</v>
      </c>
      <c r="BD749" s="545"/>
      <c r="BE749" s="545"/>
      <c r="BF749" s="545"/>
      <c r="BG749" s="545"/>
      <c r="BH749" s="545"/>
      <c r="BI749" s="545"/>
      <c r="BJ749" s="545"/>
      <c r="BK749" s="545"/>
      <c r="BL749" s="545"/>
      <c r="BM749" s="545"/>
      <c r="BN749" s="545"/>
      <c r="BO749" s="545"/>
      <c r="BP749" s="545"/>
      <c r="BQ749" s="545"/>
      <c r="BR749" s="546"/>
      <c r="BS749" s="639">
        <v>27.88</v>
      </c>
      <c r="BT749" s="640"/>
      <c r="BU749" s="640"/>
      <c r="BV749" s="640"/>
      <c r="BW749" s="640"/>
      <c r="BX749" s="640"/>
      <c r="BY749" s="640"/>
      <c r="BZ749" s="640"/>
      <c r="CA749" s="640"/>
      <c r="CB749" s="640"/>
      <c r="CC749" s="640"/>
      <c r="CD749" s="640"/>
      <c r="CE749" s="640"/>
      <c r="CF749" s="640"/>
      <c r="CG749" s="640"/>
      <c r="CH749" s="641"/>
      <c r="CI749" s="627"/>
      <c r="CJ749" s="628"/>
      <c r="CK749" s="628"/>
      <c r="CL749" s="628"/>
      <c r="CM749" s="628"/>
      <c r="CN749" s="628"/>
      <c r="CO749" s="628"/>
      <c r="CP749" s="628"/>
      <c r="CQ749" s="628"/>
      <c r="CR749" s="628"/>
      <c r="CS749" s="628"/>
      <c r="CT749" s="628"/>
      <c r="CU749" s="628"/>
      <c r="CV749" s="628"/>
      <c r="CW749" s="628"/>
      <c r="CX749" s="628"/>
      <c r="CY749" s="628"/>
      <c r="CZ749" s="629"/>
      <c r="DA749" s="214"/>
    </row>
    <row r="750" spans="1:105" s="16" customFormat="1" ht="15" hidden="1" customHeight="1" x14ac:dyDescent="0.3">
      <c r="A750" s="630" t="s">
        <v>654</v>
      </c>
      <c r="B750" s="631"/>
      <c r="C750" s="631"/>
      <c r="D750" s="631"/>
      <c r="E750" s="631"/>
      <c r="F750" s="631"/>
      <c r="G750" s="632"/>
      <c r="H750" s="584" t="s">
        <v>741</v>
      </c>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5"/>
      <c r="AL750" s="585"/>
      <c r="AM750" s="585"/>
      <c r="AN750" s="585"/>
      <c r="AO750" s="585"/>
      <c r="AP750" s="585"/>
      <c r="AQ750" s="585"/>
      <c r="AR750" s="585"/>
      <c r="AS750" s="585"/>
      <c r="AT750" s="586"/>
      <c r="AU750" s="475" t="s">
        <v>730</v>
      </c>
      <c r="AV750" s="476"/>
      <c r="AW750" s="476"/>
      <c r="AX750" s="476"/>
      <c r="AY750" s="476"/>
      <c r="AZ750" s="476"/>
      <c r="BA750" s="476"/>
      <c r="BB750" s="477"/>
      <c r="BC750" s="544">
        <v>5</v>
      </c>
      <c r="BD750" s="545"/>
      <c r="BE750" s="545"/>
      <c r="BF750" s="545"/>
      <c r="BG750" s="545"/>
      <c r="BH750" s="545"/>
      <c r="BI750" s="545"/>
      <c r="BJ750" s="545"/>
      <c r="BK750" s="545"/>
      <c r="BL750" s="545"/>
      <c r="BM750" s="545"/>
      <c r="BN750" s="545"/>
      <c r="BO750" s="545"/>
      <c r="BP750" s="545"/>
      <c r="BQ750" s="545"/>
      <c r="BR750" s="546"/>
      <c r="BS750" s="639">
        <v>69.08</v>
      </c>
      <c r="BT750" s="640"/>
      <c r="BU750" s="640"/>
      <c r="BV750" s="640"/>
      <c r="BW750" s="640"/>
      <c r="BX750" s="640"/>
      <c r="BY750" s="640"/>
      <c r="BZ750" s="640"/>
      <c r="CA750" s="640"/>
      <c r="CB750" s="640"/>
      <c r="CC750" s="640"/>
      <c r="CD750" s="640"/>
      <c r="CE750" s="640"/>
      <c r="CF750" s="640"/>
      <c r="CG750" s="640"/>
      <c r="CH750" s="641"/>
      <c r="CI750" s="627"/>
      <c r="CJ750" s="628"/>
      <c r="CK750" s="628"/>
      <c r="CL750" s="628"/>
      <c r="CM750" s="628"/>
      <c r="CN750" s="628"/>
      <c r="CO750" s="628"/>
      <c r="CP750" s="628"/>
      <c r="CQ750" s="628"/>
      <c r="CR750" s="628"/>
      <c r="CS750" s="628"/>
      <c r="CT750" s="628"/>
      <c r="CU750" s="628"/>
      <c r="CV750" s="628"/>
      <c r="CW750" s="628"/>
      <c r="CX750" s="628"/>
      <c r="CY750" s="628"/>
      <c r="CZ750" s="629"/>
      <c r="DA750" s="214"/>
    </row>
    <row r="751" spans="1:105" s="16" customFormat="1" ht="15" hidden="1" customHeight="1" x14ac:dyDescent="0.3">
      <c r="A751" s="630" t="s">
        <v>655</v>
      </c>
      <c r="B751" s="631"/>
      <c r="C751" s="631"/>
      <c r="D751" s="631"/>
      <c r="E751" s="631"/>
      <c r="F751" s="631"/>
      <c r="G751" s="632"/>
      <c r="H751" s="584" t="s">
        <v>742</v>
      </c>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5"/>
      <c r="AL751" s="585"/>
      <c r="AM751" s="585"/>
      <c r="AN751" s="585"/>
      <c r="AO751" s="585"/>
      <c r="AP751" s="585"/>
      <c r="AQ751" s="585"/>
      <c r="AR751" s="585"/>
      <c r="AS751" s="585"/>
      <c r="AT751" s="586"/>
      <c r="AU751" s="475" t="s">
        <v>730</v>
      </c>
      <c r="AV751" s="476"/>
      <c r="AW751" s="476"/>
      <c r="AX751" s="476"/>
      <c r="AY751" s="476"/>
      <c r="AZ751" s="476"/>
      <c r="BA751" s="476"/>
      <c r="BB751" s="477"/>
      <c r="BC751" s="544">
        <v>15</v>
      </c>
      <c r="BD751" s="545"/>
      <c r="BE751" s="545"/>
      <c r="BF751" s="545"/>
      <c r="BG751" s="545"/>
      <c r="BH751" s="545"/>
      <c r="BI751" s="545"/>
      <c r="BJ751" s="545"/>
      <c r="BK751" s="545"/>
      <c r="BL751" s="545"/>
      <c r="BM751" s="545"/>
      <c r="BN751" s="545"/>
      <c r="BO751" s="545"/>
      <c r="BP751" s="545"/>
      <c r="BQ751" s="545"/>
      <c r="BR751" s="546"/>
      <c r="BS751" s="639">
        <v>17.440000000000001</v>
      </c>
      <c r="BT751" s="640"/>
      <c r="BU751" s="640"/>
      <c r="BV751" s="640"/>
      <c r="BW751" s="640"/>
      <c r="BX751" s="640"/>
      <c r="BY751" s="640"/>
      <c r="BZ751" s="640"/>
      <c r="CA751" s="640"/>
      <c r="CB751" s="640"/>
      <c r="CC751" s="640"/>
      <c r="CD751" s="640"/>
      <c r="CE751" s="640"/>
      <c r="CF751" s="640"/>
      <c r="CG751" s="640"/>
      <c r="CH751" s="641"/>
      <c r="CI751" s="627"/>
      <c r="CJ751" s="628"/>
      <c r="CK751" s="628"/>
      <c r="CL751" s="628"/>
      <c r="CM751" s="628"/>
      <c r="CN751" s="628"/>
      <c r="CO751" s="628"/>
      <c r="CP751" s="628"/>
      <c r="CQ751" s="628"/>
      <c r="CR751" s="628"/>
      <c r="CS751" s="628"/>
      <c r="CT751" s="628"/>
      <c r="CU751" s="628"/>
      <c r="CV751" s="628"/>
      <c r="CW751" s="628"/>
      <c r="CX751" s="628"/>
      <c r="CY751" s="628"/>
      <c r="CZ751" s="629"/>
      <c r="DA751" s="214"/>
    </row>
    <row r="752" spans="1:105" s="16" customFormat="1" ht="15" hidden="1" customHeight="1" x14ac:dyDescent="0.3">
      <c r="A752" s="630" t="s">
        <v>656</v>
      </c>
      <c r="B752" s="631"/>
      <c r="C752" s="631"/>
      <c r="D752" s="631"/>
      <c r="E752" s="631"/>
      <c r="F752" s="631"/>
      <c r="G752" s="632"/>
      <c r="H752" s="584" t="s">
        <v>743</v>
      </c>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5"/>
      <c r="AL752" s="585"/>
      <c r="AM752" s="585"/>
      <c r="AN752" s="585"/>
      <c r="AO752" s="585"/>
      <c r="AP752" s="585"/>
      <c r="AQ752" s="585"/>
      <c r="AR752" s="585"/>
      <c r="AS752" s="585"/>
      <c r="AT752" s="586"/>
      <c r="AU752" s="475" t="s">
        <v>734</v>
      </c>
      <c r="AV752" s="476"/>
      <c r="AW752" s="476"/>
      <c r="AX752" s="476"/>
      <c r="AY752" s="476"/>
      <c r="AZ752" s="476"/>
      <c r="BA752" s="476"/>
      <c r="BB752" s="477"/>
      <c r="BC752" s="544">
        <v>10</v>
      </c>
      <c r="BD752" s="545"/>
      <c r="BE752" s="545"/>
      <c r="BF752" s="545"/>
      <c r="BG752" s="545"/>
      <c r="BH752" s="545"/>
      <c r="BI752" s="545"/>
      <c r="BJ752" s="545"/>
      <c r="BK752" s="545"/>
      <c r="BL752" s="545"/>
      <c r="BM752" s="545"/>
      <c r="BN752" s="545"/>
      <c r="BO752" s="545"/>
      <c r="BP752" s="545"/>
      <c r="BQ752" s="545"/>
      <c r="BR752" s="546"/>
      <c r="BS752" s="639">
        <v>52.910000000000004</v>
      </c>
      <c r="BT752" s="640"/>
      <c r="BU752" s="640"/>
      <c r="BV752" s="640"/>
      <c r="BW752" s="640"/>
      <c r="BX752" s="640"/>
      <c r="BY752" s="640"/>
      <c r="BZ752" s="640"/>
      <c r="CA752" s="640"/>
      <c r="CB752" s="640"/>
      <c r="CC752" s="640"/>
      <c r="CD752" s="640"/>
      <c r="CE752" s="640"/>
      <c r="CF752" s="640"/>
      <c r="CG752" s="640"/>
      <c r="CH752" s="641"/>
      <c r="CI752" s="627"/>
      <c r="CJ752" s="628"/>
      <c r="CK752" s="628"/>
      <c r="CL752" s="628"/>
      <c r="CM752" s="628"/>
      <c r="CN752" s="628"/>
      <c r="CO752" s="628"/>
      <c r="CP752" s="628"/>
      <c r="CQ752" s="628"/>
      <c r="CR752" s="628"/>
      <c r="CS752" s="628"/>
      <c r="CT752" s="628"/>
      <c r="CU752" s="628"/>
      <c r="CV752" s="628"/>
      <c r="CW752" s="628"/>
      <c r="CX752" s="628"/>
      <c r="CY752" s="628"/>
      <c r="CZ752" s="629"/>
      <c r="DA752" s="214"/>
    </row>
    <row r="753" spans="1:105" s="16" customFormat="1" ht="15" hidden="1" customHeight="1" x14ac:dyDescent="0.3">
      <c r="A753" s="630" t="s">
        <v>657</v>
      </c>
      <c r="B753" s="631"/>
      <c r="C753" s="631"/>
      <c r="D753" s="631"/>
      <c r="E753" s="631"/>
      <c r="F753" s="631"/>
      <c r="G753" s="632"/>
      <c r="H753" s="584" t="s">
        <v>744</v>
      </c>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5"/>
      <c r="AL753" s="585"/>
      <c r="AM753" s="585"/>
      <c r="AN753" s="585"/>
      <c r="AO753" s="585"/>
      <c r="AP753" s="585"/>
      <c r="AQ753" s="585"/>
      <c r="AR753" s="585"/>
      <c r="AS753" s="585"/>
      <c r="AT753" s="586"/>
      <c r="AU753" s="475" t="s">
        <v>734</v>
      </c>
      <c r="AV753" s="476"/>
      <c r="AW753" s="476"/>
      <c r="AX753" s="476"/>
      <c r="AY753" s="476"/>
      <c r="AZ753" s="476"/>
      <c r="BA753" s="476"/>
      <c r="BB753" s="477"/>
      <c r="BC753" s="544">
        <v>15</v>
      </c>
      <c r="BD753" s="545"/>
      <c r="BE753" s="545"/>
      <c r="BF753" s="545"/>
      <c r="BG753" s="545"/>
      <c r="BH753" s="545"/>
      <c r="BI753" s="545"/>
      <c r="BJ753" s="545"/>
      <c r="BK753" s="545"/>
      <c r="BL753" s="545"/>
      <c r="BM753" s="545"/>
      <c r="BN753" s="545"/>
      <c r="BO753" s="545"/>
      <c r="BP753" s="545"/>
      <c r="BQ753" s="545"/>
      <c r="BR753" s="546"/>
      <c r="BS753" s="639">
        <v>13.8</v>
      </c>
      <c r="BT753" s="640"/>
      <c r="BU753" s="640"/>
      <c r="BV753" s="640"/>
      <c r="BW753" s="640"/>
      <c r="BX753" s="640"/>
      <c r="BY753" s="640"/>
      <c r="BZ753" s="640"/>
      <c r="CA753" s="640"/>
      <c r="CB753" s="640"/>
      <c r="CC753" s="640"/>
      <c r="CD753" s="640"/>
      <c r="CE753" s="640"/>
      <c r="CF753" s="640"/>
      <c r="CG753" s="640"/>
      <c r="CH753" s="641"/>
      <c r="CI753" s="627"/>
      <c r="CJ753" s="628"/>
      <c r="CK753" s="628"/>
      <c r="CL753" s="628"/>
      <c r="CM753" s="628"/>
      <c r="CN753" s="628"/>
      <c r="CO753" s="628"/>
      <c r="CP753" s="628"/>
      <c r="CQ753" s="628"/>
      <c r="CR753" s="628"/>
      <c r="CS753" s="628"/>
      <c r="CT753" s="628"/>
      <c r="CU753" s="628"/>
      <c r="CV753" s="628"/>
      <c r="CW753" s="628"/>
      <c r="CX753" s="628"/>
      <c r="CY753" s="628"/>
      <c r="CZ753" s="629"/>
      <c r="DA753" s="214"/>
    </row>
    <row r="754" spans="1:105" s="16" customFormat="1" ht="15" hidden="1" customHeight="1" x14ac:dyDescent="0.3">
      <c r="A754" s="630" t="s">
        <v>659</v>
      </c>
      <c r="B754" s="631"/>
      <c r="C754" s="631"/>
      <c r="D754" s="631"/>
      <c r="E754" s="631"/>
      <c r="F754" s="631"/>
      <c r="G754" s="632"/>
      <c r="H754" s="584" t="s">
        <v>745</v>
      </c>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5"/>
      <c r="AL754" s="585"/>
      <c r="AM754" s="585"/>
      <c r="AN754" s="585"/>
      <c r="AO754" s="585"/>
      <c r="AP754" s="585"/>
      <c r="AQ754" s="585"/>
      <c r="AR754" s="585"/>
      <c r="AS754" s="585"/>
      <c r="AT754" s="586"/>
      <c r="AU754" s="475" t="s">
        <v>730</v>
      </c>
      <c r="AV754" s="476"/>
      <c r="AW754" s="476"/>
      <c r="AX754" s="476"/>
      <c r="AY754" s="476"/>
      <c r="AZ754" s="476"/>
      <c r="BA754" s="476"/>
      <c r="BB754" s="477"/>
      <c r="BC754" s="544">
        <v>10</v>
      </c>
      <c r="BD754" s="545"/>
      <c r="BE754" s="545"/>
      <c r="BF754" s="545"/>
      <c r="BG754" s="545"/>
      <c r="BH754" s="545"/>
      <c r="BI754" s="545"/>
      <c r="BJ754" s="545"/>
      <c r="BK754" s="545"/>
      <c r="BL754" s="545"/>
      <c r="BM754" s="545"/>
      <c r="BN754" s="545"/>
      <c r="BO754" s="545"/>
      <c r="BP754" s="545"/>
      <c r="BQ754" s="545"/>
      <c r="BR754" s="546"/>
      <c r="BS754" s="639">
        <v>19.21</v>
      </c>
      <c r="BT754" s="640"/>
      <c r="BU754" s="640"/>
      <c r="BV754" s="640"/>
      <c r="BW754" s="640"/>
      <c r="BX754" s="640"/>
      <c r="BY754" s="640"/>
      <c r="BZ754" s="640"/>
      <c r="CA754" s="640"/>
      <c r="CB754" s="640"/>
      <c r="CC754" s="640"/>
      <c r="CD754" s="640"/>
      <c r="CE754" s="640"/>
      <c r="CF754" s="640"/>
      <c r="CG754" s="640"/>
      <c r="CH754" s="641"/>
      <c r="CI754" s="627"/>
      <c r="CJ754" s="628"/>
      <c r="CK754" s="628"/>
      <c r="CL754" s="628"/>
      <c r="CM754" s="628"/>
      <c r="CN754" s="628"/>
      <c r="CO754" s="628"/>
      <c r="CP754" s="628"/>
      <c r="CQ754" s="628"/>
      <c r="CR754" s="628"/>
      <c r="CS754" s="628"/>
      <c r="CT754" s="628"/>
      <c r="CU754" s="628"/>
      <c r="CV754" s="628"/>
      <c r="CW754" s="628"/>
      <c r="CX754" s="628"/>
      <c r="CY754" s="628"/>
      <c r="CZ754" s="629"/>
      <c r="DA754" s="214"/>
    </row>
    <row r="755" spans="1:105" s="16" customFormat="1" ht="15" hidden="1" customHeight="1" x14ac:dyDescent="0.3">
      <c r="A755" s="630" t="s">
        <v>664</v>
      </c>
      <c r="B755" s="631"/>
      <c r="C755" s="631"/>
      <c r="D755" s="631"/>
      <c r="E755" s="631"/>
      <c r="F755" s="631"/>
      <c r="G755" s="632"/>
      <c r="H755" s="584" t="s">
        <v>746</v>
      </c>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5"/>
      <c r="AL755" s="585"/>
      <c r="AM755" s="585"/>
      <c r="AN755" s="585"/>
      <c r="AO755" s="585"/>
      <c r="AP755" s="585"/>
      <c r="AQ755" s="585"/>
      <c r="AR755" s="585"/>
      <c r="AS755" s="585"/>
      <c r="AT755" s="586"/>
      <c r="AU755" s="475" t="s">
        <v>734</v>
      </c>
      <c r="AV755" s="476"/>
      <c r="AW755" s="476"/>
      <c r="AX755" s="476"/>
      <c r="AY755" s="476"/>
      <c r="AZ755" s="476"/>
      <c r="BA755" s="476"/>
      <c r="BB755" s="477"/>
      <c r="BC755" s="544">
        <v>40</v>
      </c>
      <c r="BD755" s="545"/>
      <c r="BE755" s="545"/>
      <c r="BF755" s="545"/>
      <c r="BG755" s="545"/>
      <c r="BH755" s="545"/>
      <c r="BI755" s="545"/>
      <c r="BJ755" s="545"/>
      <c r="BK755" s="545"/>
      <c r="BL755" s="545"/>
      <c r="BM755" s="545"/>
      <c r="BN755" s="545"/>
      <c r="BO755" s="545"/>
      <c r="BP755" s="545"/>
      <c r="BQ755" s="545"/>
      <c r="BR755" s="546"/>
      <c r="BS755" s="639">
        <v>14</v>
      </c>
      <c r="BT755" s="640"/>
      <c r="BU755" s="640"/>
      <c r="BV755" s="640"/>
      <c r="BW755" s="640"/>
      <c r="BX755" s="640"/>
      <c r="BY755" s="640"/>
      <c r="BZ755" s="640"/>
      <c r="CA755" s="640"/>
      <c r="CB755" s="640"/>
      <c r="CC755" s="640"/>
      <c r="CD755" s="640"/>
      <c r="CE755" s="640"/>
      <c r="CF755" s="640"/>
      <c r="CG755" s="640"/>
      <c r="CH755" s="641"/>
      <c r="CI755" s="627"/>
      <c r="CJ755" s="628"/>
      <c r="CK755" s="628"/>
      <c r="CL755" s="628"/>
      <c r="CM755" s="628"/>
      <c r="CN755" s="628"/>
      <c r="CO755" s="628"/>
      <c r="CP755" s="628"/>
      <c r="CQ755" s="628"/>
      <c r="CR755" s="628"/>
      <c r="CS755" s="628"/>
      <c r="CT755" s="628"/>
      <c r="CU755" s="628"/>
      <c r="CV755" s="628"/>
      <c r="CW755" s="628"/>
      <c r="CX755" s="628"/>
      <c r="CY755" s="628"/>
      <c r="CZ755" s="629"/>
      <c r="DA755" s="214"/>
    </row>
    <row r="756" spans="1:105" s="16" customFormat="1" ht="15" hidden="1" customHeight="1" x14ac:dyDescent="0.3">
      <c r="A756" s="630" t="s">
        <v>662</v>
      </c>
      <c r="B756" s="631"/>
      <c r="C756" s="631"/>
      <c r="D756" s="631"/>
      <c r="E756" s="631"/>
      <c r="F756" s="631"/>
      <c r="G756" s="632"/>
      <c r="H756" s="584" t="s">
        <v>747</v>
      </c>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5"/>
      <c r="AL756" s="585"/>
      <c r="AM756" s="585"/>
      <c r="AN756" s="585"/>
      <c r="AO756" s="585"/>
      <c r="AP756" s="585"/>
      <c r="AQ756" s="585"/>
      <c r="AR756" s="585"/>
      <c r="AS756" s="585"/>
      <c r="AT756" s="586"/>
      <c r="AU756" s="475" t="s">
        <v>730</v>
      </c>
      <c r="AV756" s="476"/>
      <c r="AW756" s="476"/>
      <c r="AX756" s="476"/>
      <c r="AY756" s="476"/>
      <c r="AZ756" s="476"/>
      <c r="BA756" s="476"/>
      <c r="BB756" s="477"/>
      <c r="BC756" s="544">
        <v>2</v>
      </c>
      <c r="BD756" s="545"/>
      <c r="BE756" s="545"/>
      <c r="BF756" s="545"/>
      <c r="BG756" s="545"/>
      <c r="BH756" s="545"/>
      <c r="BI756" s="545"/>
      <c r="BJ756" s="545"/>
      <c r="BK756" s="545"/>
      <c r="BL756" s="545"/>
      <c r="BM756" s="545"/>
      <c r="BN756" s="545"/>
      <c r="BO756" s="545"/>
      <c r="BP756" s="545"/>
      <c r="BQ756" s="545"/>
      <c r="BR756" s="546"/>
      <c r="BS756" s="639">
        <v>104.48</v>
      </c>
      <c r="BT756" s="640"/>
      <c r="BU756" s="640"/>
      <c r="BV756" s="640"/>
      <c r="BW756" s="640"/>
      <c r="BX756" s="640"/>
      <c r="BY756" s="640"/>
      <c r="BZ756" s="640"/>
      <c r="CA756" s="640"/>
      <c r="CB756" s="640"/>
      <c r="CC756" s="640"/>
      <c r="CD756" s="640"/>
      <c r="CE756" s="640"/>
      <c r="CF756" s="640"/>
      <c r="CG756" s="640"/>
      <c r="CH756" s="641"/>
      <c r="CI756" s="627"/>
      <c r="CJ756" s="628"/>
      <c r="CK756" s="628"/>
      <c r="CL756" s="628"/>
      <c r="CM756" s="628"/>
      <c r="CN756" s="628"/>
      <c r="CO756" s="628"/>
      <c r="CP756" s="628"/>
      <c r="CQ756" s="628"/>
      <c r="CR756" s="628"/>
      <c r="CS756" s="628"/>
      <c r="CT756" s="628"/>
      <c r="CU756" s="628"/>
      <c r="CV756" s="628"/>
      <c r="CW756" s="628"/>
      <c r="CX756" s="628"/>
      <c r="CY756" s="628"/>
      <c r="CZ756" s="629"/>
      <c r="DA756" s="214"/>
    </row>
    <row r="757" spans="1:105" s="16" customFormat="1" ht="15" hidden="1" customHeight="1" x14ac:dyDescent="0.3">
      <c r="A757" s="630" t="s">
        <v>666</v>
      </c>
      <c r="B757" s="631"/>
      <c r="C757" s="631"/>
      <c r="D757" s="631"/>
      <c r="E757" s="631"/>
      <c r="F757" s="631"/>
      <c r="G757" s="632"/>
      <c r="H757" s="584" t="s">
        <v>748</v>
      </c>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5"/>
      <c r="AL757" s="585"/>
      <c r="AM757" s="585"/>
      <c r="AN757" s="585"/>
      <c r="AO757" s="585"/>
      <c r="AP757" s="585"/>
      <c r="AQ757" s="585"/>
      <c r="AR757" s="585"/>
      <c r="AS757" s="585"/>
      <c r="AT757" s="586"/>
      <c r="AU757" s="475" t="s">
        <v>730</v>
      </c>
      <c r="AV757" s="476"/>
      <c r="AW757" s="476"/>
      <c r="AX757" s="476"/>
      <c r="AY757" s="476"/>
      <c r="AZ757" s="476"/>
      <c r="BA757" s="476"/>
      <c r="BB757" s="477"/>
      <c r="BC757" s="544">
        <v>2</v>
      </c>
      <c r="BD757" s="545"/>
      <c r="BE757" s="545"/>
      <c r="BF757" s="545"/>
      <c r="BG757" s="545"/>
      <c r="BH757" s="545"/>
      <c r="BI757" s="545"/>
      <c r="BJ757" s="545"/>
      <c r="BK757" s="545"/>
      <c r="BL757" s="545"/>
      <c r="BM757" s="545"/>
      <c r="BN757" s="545"/>
      <c r="BO757" s="545"/>
      <c r="BP757" s="545"/>
      <c r="BQ757" s="545"/>
      <c r="BR757" s="546"/>
      <c r="BS757" s="639">
        <v>370</v>
      </c>
      <c r="BT757" s="640"/>
      <c r="BU757" s="640"/>
      <c r="BV757" s="640"/>
      <c r="BW757" s="640"/>
      <c r="BX757" s="640"/>
      <c r="BY757" s="640"/>
      <c r="BZ757" s="640"/>
      <c r="CA757" s="640"/>
      <c r="CB757" s="640"/>
      <c r="CC757" s="640"/>
      <c r="CD757" s="640"/>
      <c r="CE757" s="640"/>
      <c r="CF757" s="640"/>
      <c r="CG757" s="640"/>
      <c r="CH757" s="641"/>
      <c r="CI757" s="627"/>
      <c r="CJ757" s="628"/>
      <c r="CK757" s="628"/>
      <c r="CL757" s="628"/>
      <c r="CM757" s="628"/>
      <c r="CN757" s="628"/>
      <c r="CO757" s="628"/>
      <c r="CP757" s="628"/>
      <c r="CQ757" s="628"/>
      <c r="CR757" s="628"/>
      <c r="CS757" s="628"/>
      <c r="CT757" s="628"/>
      <c r="CU757" s="628"/>
      <c r="CV757" s="628"/>
      <c r="CW757" s="628"/>
      <c r="CX757" s="628"/>
      <c r="CY757" s="628"/>
      <c r="CZ757" s="629"/>
      <c r="DA757" s="214"/>
    </row>
    <row r="758" spans="1:105" s="16" customFormat="1" ht="15" hidden="1" customHeight="1" x14ac:dyDescent="0.3">
      <c r="A758" s="630" t="s">
        <v>667</v>
      </c>
      <c r="B758" s="631"/>
      <c r="C758" s="631"/>
      <c r="D758" s="631"/>
      <c r="E758" s="631"/>
      <c r="F758" s="631"/>
      <c r="G758" s="632"/>
      <c r="H758" s="584" t="s">
        <v>749</v>
      </c>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5"/>
      <c r="AL758" s="585"/>
      <c r="AM758" s="585"/>
      <c r="AN758" s="585"/>
      <c r="AO758" s="585"/>
      <c r="AP758" s="585"/>
      <c r="AQ758" s="585"/>
      <c r="AR758" s="585"/>
      <c r="AS758" s="585"/>
      <c r="AT758" s="586"/>
      <c r="AU758" s="475" t="s">
        <v>730</v>
      </c>
      <c r="AV758" s="476"/>
      <c r="AW758" s="476"/>
      <c r="AX758" s="476"/>
      <c r="AY758" s="476"/>
      <c r="AZ758" s="476"/>
      <c r="BA758" s="476"/>
      <c r="BB758" s="477"/>
      <c r="BC758" s="544">
        <v>10</v>
      </c>
      <c r="BD758" s="545"/>
      <c r="BE758" s="545"/>
      <c r="BF758" s="545"/>
      <c r="BG758" s="545"/>
      <c r="BH758" s="545"/>
      <c r="BI758" s="545"/>
      <c r="BJ758" s="545"/>
      <c r="BK758" s="545"/>
      <c r="BL758" s="545"/>
      <c r="BM758" s="545"/>
      <c r="BN758" s="545"/>
      <c r="BO758" s="545"/>
      <c r="BP758" s="545"/>
      <c r="BQ758" s="545"/>
      <c r="BR758" s="546"/>
      <c r="BS758" s="639">
        <v>29.48</v>
      </c>
      <c r="BT758" s="640"/>
      <c r="BU758" s="640"/>
      <c r="BV758" s="640"/>
      <c r="BW758" s="640"/>
      <c r="BX758" s="640"/>
      <c r="BY758" s="640"/>
      <c r="BZ758" s="640"/>
      <c r="CA758" s="640"/>
      <c r="CB758" s="640"/>
      <c r="CC758" s="640"/>
      <c r="CD758" s="640"/>
      <c r="CE758" s="640"/>
      <c r="CF758" s="640"/>
      <c r="CG758" s="640"/>
      <c r="CH758" s="641"/>
      <c r="CI758" s="627"/>
      <c r="CJ758" s="628"/>
      <c r="CK758" s="628"/>
      <c r="CL758" s="628"/>
      <c r="CM758" s="628"/>
      <c r="CN758" s="628"/>
      <c r="CO758" s="628"/>
      <c r="CP758" s="628"/>
      <c r="CQ758" s="628"/>
      <c r="CR758" s="628"/>
      <c r="CS758" s="628"/>
      <c r="CT758" s="628"/>
      <c r="CU758" s="628"/>
      <c r="CV758" s="628"/>
      <c r="CW758" s="628"/>
      <c r="CX758" s="628"/>
      <c r="CY758" s="628"/>
      <c r="CZ758" s="629"/>
      <c r="DA758" s="214"/>
    </row>
    <row r="759" spans="1:105" s="16" customFormat="1" ht="15" hidden="1" customHeight="1" x14ac:dyDescent="0.3">
      <c r="A759" s="630" t="s">
        <v>670</v>
      </c>
      <c r="B759" s="631"/>
      <c r="C759" s="631"/>
      <c r="D759" s="631"/>
      <c r="E759" s="631"/>
      <c r="F759" s="631"/>
      <c r="G759" s="632"/>
      <c r="H759" s="584" t="s">
        <v>750</v>
      </c>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5"/>
      <c r="AL759" s="585"/>
      <c r="AM759" s="585"/>
      <c r="AN759" s="585"/>
      <c r="AO759" s="585"/>
      <c r="AP759" s="585"/>
      <c r="AQ759" s="585"/>
      <c r="AR759" s="585"/>
      <c r="AS759" s="585"/>
      <c r="AT759" s="586"/>
      <c r="AU759" s="475" t="s">
        <v>730</v>
      </c>
      <c r="AV759" s="476"/>
      <c r="AW759" s="476"/>
      <c r="AX759" s="476"/>
      <c r="AY759" s="476"/>
      <c r="AZ759" s="476"/>
      <c r="BA759" s="476"/>
      <c r="BB759" s="477"/>
      <c r="BC759" s="544">
        <v>8</v>
      </c>
      <c r="BD759" s="545"/>
      <c r="BE759" s="545"/>
      <c r="BF759" s="545"/>
      <c r="BG759" s="545"/>
      <c r="BH759" s="545"/>
      <c r="BI759" s="545"/>
      <c r="BJ759" s="545"/>
      <c r="BK759" s="545"/>
      <c r="BL759" s="545"/>
      <c r="BM759" s="545"/>
      <c r="BN759" s="545"/>
      <c r="BO759" s="545"/>
      <c r="BP759" s="545"/>
      <c r="BQ759" s="545"/>
      <c r="BR759" s="546"/>
      <c r="BS759" s="639">
        <v>54</v>
      </c>
      <c r="BT759" s="640"/>
      <c r="BU759" s="640"/>
      <c r="BV759" s="640"/>
      <c r="BW759" s="640"/>
      <c r="BX759" s="640"/>
      <c r="BY759" s="640"/>
      <c r="BZ759" s="640"/>
      <c r="CA759" s="640"/>
      <c r="CB759" s="640"/>
      <c r="CC759" s="640"/>
      <c r="CD759" s="640"/>
      <c r="CE759" s="640"/>
      <c r="CF759" s="640"/>
      <c r="CG759" s="640"/>
      <c r="CH759" s="641"/>
      <c r="CI759" s="627"/>
      <c r="CJ759" s="628"/>
      <c r="CK759" s="628"/>
      <c r="CL759" s="628"/>
      <c r="CM759" s="628"/>
      <c r="CN759" s="628"/>
      <c r="CO759" s="628"/>
      <c r="CP759" s="628"/>
      <c r="CQ759" s="628"/>
      <c r="CR759" s="628"/>
      <c r="CS759" s="628"/>
      <c r="CT759" s="628"/>
      <c r="CU759" s="628"/>
      <c r="CV759" s="628"/>
      <c r="CW759" s="628"/>
      <c r="CX759" s="628"/>
      <c r="CY759" s="628"/>
      <c r="CZ759" s="629"/>
      <c r="DA759" s="214"/>
    </row>
    <row r="760" spans="1:105" s="16" customFormat="1" ht="15" hidden="1" customHeight="1" x14ac:dyDescent="0.3">
      <c r="A760" s="630" t="s">
        <v>672</v>
      </c>
      <c r="B760" s="631"/>
      <c r="C760" s="631"/>
      <c r="D760" s="631"/>
      <c r="E760" s="631"/>
      <c r="F760" s="631"/>
      <c r="G760" s="632"/>
      <c r="H760" s="584" t="s">
        <v>751</v>
      </c>
      <c r="I760" s="585"/>
      <c r="J760" s="585"/>
      <c r="K760" s="585"/>
      <c r="L760" s="585"/>
      <c r="M760" s="585"/>
      <c r="N760" s="585"/>
      <c r="O760" s="585"/>
      <c r="P760" s="585"/>
      <c r="Q760" s="585"/>
      <c r="R760" s="585"/>
      <c r="S760" s="585"/>
      <c r="T760" s="585"/>
      <c r="U760" s="585"/>
      <c r="V760" s="585"/>
      <c r="W760" s="585"/>
      <c r="X760" s="585"/>
      <c r="Y760" s="585"/>
      <c r="Z760" s="585"/>
      <c r="AA760" s="585"/>
      <c r="AB760" s="585"/>
      <c r="AC760" s="585"/>
      <c r="AD760" s="585"/>
      <c r="AE760" s="585"/>
      <c r="AF760" s="585"/>
      <c r="AG760" s="585"/>
      <c r="AH760" s="585"/>
      <c r="AI760" s="585"/>
      <c r="AJ760" s="585"/>
      <c r="AK760" s="585"/>
      <c r="AL760" s="585"/>
      <c r="AM760" s="585"/>
      <c r="AN760" s="585"/>
      <c r="AO760" s="585"/>
      <c r="AP760" s="585"/>
      <c r="AQ760" s="585"/>
      <c r="AR760" s="585"/>
      <c r="AS760" s="585"/>
      <c r="AT760" s="586"/>
      <c r="AU760" s="475" t="s">
        <v>730</v>
      </c>
      <c r="AV760" s="476"/>
      <c r="AW760" s="476"/>
      <c r="AX760" s="476"/>
      <c r="AY760" s="476"/>
      <c r="AZ760" s="476"/>
      <c r="BA760" s="476"/>
      <c r="BB760" s="477"/>
      <c r="BC760" s="544">
        <v>2</v>
      </c>
      <c r="BD760" s="545"/>
      <c r="BE760" s="545"/>
      <c r="BF760" s="545"/>
      <c r="BG760" s="545"/>
      <c r="BH760" s="545"/>
      <c r="BI760" s="545"/>
      <c r="BJ760" s="545"/>
      <c r="BK760" s="545"/>
      <c r="BL760" s="545"/>
      <c r="BM760" s="545"/>
      <c r="BN760" s="545"/>
      <c r="BO760" s="545"/>
      <c r="BP760" s="545"/>
      <c r="BQ760" s="545"/>
      <c r="BR760" s="546"/>
      <c r="BS760" s="639">
        <v>300</v>
      </c>
      <c r="BT760" s="640"/>
      <c r="BU760" s="640"/>
      <c r="BV760" s="640"/>
      <c r="BW760" s="640"/>
      <c r="BX760" s="640"/>
      <c r="BY760" s="640"/>
      <c r="BZ760" s="640"/>
      <c r="CA760" s="640"/>
      <c r="CB760" s="640"/>
      <c r="CC760" s="640"/>
      <c r="CD760" s="640"/>
      <c r="CE760" s="640"/>
      <c r="CF760" s="640"/>
      <c r="CG760" s="640"/>
      <c r="CH760" s="641"/>
      <c r="CI760" s="627"/>
      <c r="CJ760" s="628"/>
      <c r="CK760" s="628"/>
      <c r="CL760" s="628"/>
      <c r="CM760" s="628"/>
      <c r="CN760" s="628"/>
      <c r="CO760" s="628"/>
      <c r="CP760" s="628"/>
      <c r="CQ760" s="628"/>
      <c r="CR760" s="628"/>
      <c r="CS760" s="628"/>
      <c r="CT760" s="628"/>
      <c r="CU760" s="628"/>
      <c r="CV760" s="628"/>
      <c r="CW760" s="628"/>
      <c r="CX760" s="628"/>
      <c r="CY760" s="628"/>
      <c r="CZ760" s="629"/>
      <c r="DA760" s="214"/>
    </row>
    <row r="761" spans="1:105" s="16" customFormat="1" ht="15" hidden="1" customHeight="1" x14ac:dyDescent="0.3">
      <c r="A761" s="630" t="s">
        <v>677</v>
      </c>
      <c r="B761" s="631"/>
      <c r="C761" s="631"/>
      <c r="D761" s="631"/>
      <c r="E761" s="631"/>
      <c r="F761" s="631"/>
      <c r="G761" s="632"/>
      <c r="H761" s="584" t="s">
        <v>752</v>
      </c>
      <c r="I761" s="585"/>
      <c r="J761" s="585"/>
      <c r="K761" s="585"/>
      <c r="L761" s="585"/>
      <c r="M761" s="585"/>
      <c r="N761" s="585"/>
      <c r="O761" s="585"/>
      <c r="P761" s="585"/>
      <c r="Q761" s="585"/>
      <c r="R761" s="585"/>
      <c r="S761" s="585"/>
      <c r="T761" s="585"/>
      <c r="U761" s="585"/>
      <c r="V761" s="585"/>
      <c r="W761" s="585"/>
      <c r="X761" s="585"/>
      <c r="Y761" s="585"/>
      <c r="Z761" s="585"/>
      <c r="AA761" s="585"/>
      <c r="AB761" s="585"/>
      <c r="AC761" s="585"/>
      <c r="AD761" s="585"/>
      <c r="AE761" s="585"/>
      <c r="AF761" s="585"/>
      <c r="AG761" s="585"/>
      <c r="AH761" s="585"/>
      <c r="AI761" s="585"/>
      <c r="AJ761" s="585"/>
      <c r="AK761" s="585"/>
      <c r="AL761" s="585"/>
      <c r="AM761" s="585"/>
      <c r="AN761" s="585"/>
      <c r="AO761" s="585"/>
      <c r="AP761" s="585"/>
      <c r="AQ761" s="585"/>
      <c r="AR761" s="585"/>
      <c r="AS761" s="585"/>
      <c r="AT761" s="586"/>
      <c r="AU761" s="475" t="s">
        <v>690</v>
      </c>
      <c r="AV761" s="476"/>
      <c r="AW761" s="476"/>
      <c r="AX761" s="476"/>
      <c r="AY761" s="476"/>
      <c r="AZ761" s="476"/>
      <c r="BA761" s="476"/>
      <c r="BB761" s="477"/>
      <c r="BC761" s="544">
        <v>20</v>
      </c>
      <c r="BD761" s="545"/>
      <c r="BE761" s="545"/>
      <c r="BF761" s="545"/>
      <c r="BG761" s="545"/>
      <c r="BH761" s="545"/>
      <c r="BI761" s="545"/>
      <c r="BJ761" s="545"/>
      <c r="BK761" s="545"/>
      <c r="BL761" s="545"/>
      <c r="BM761" s="545"/>
      <c r="BN761" s="545"/>
      <c r="BO761" s="545"/>
      <c r="BP761" s="545"/>
      <c r="BQ761" s="545"/>
      <c r="BR761" s="546"/>
      <c r="BS761" s="639">
        <v>17.440000000000001</v>
      </c>
      <c r="BT761" s="640"/>
      <c r="BU761" s="640"/>
      <c r="BV761" s="640"/>
      <c r="BW761" s="640"/>
      <c r="BX761" s="640"/>
      <c r="BY761" s="640"/>
      <c r="BZ761" s="640"/>
      <c r="CA761" s="640"/>
      <c r="CB761" s="640"/>
      <c r="CC761" s="640"/>
      <c r="CD761" s="640"/>
      <c r="CE761" s="640"/>
      <c r="CF761" s="640"/>
      <c r="CG761" s="640"/>
      <c r="CH761" s="641"/>
      <c r="CI761" s="627"/>
      <c r="CJ761" s="628"/>
      <c r="CK761" s="628"/>
      <c r="CL761" s="628"/>
      <c r="CM761" s="628"/>
      <c r="CN761" s="628"/>
      <c r="CO761" s="628"/>
      <c r="CP761" s="628"/>
      <c r="CQ761" s="628"/>
      <c r="CR761" s="628"/>
      <c r="CS761" s="628"/>
      <c r="CT761" s="628"/>
      <c r="CU761" s="628"/>
      <c r="CV761" s="628"/>
      <c r="CW761" s="628"/>
      <c r="CX761" s="628"/>
      <c r="CY761" s="628"/>
      <c r="CZ761" s="629"/>
      <c r="DA761" s="214"/>
    </row>
    <row r="762" spans="1:105" s="16" customFormat="1" ht="15" hidden="1" customHeight="1" x14ac:dyDescent="0.3">
      <c r="A762" s="630" t="s">
        <v>668</v>
      </c>
      <c r="B762" s="631"/>
      <c r="C762" s="631"/>
      <c r="D762" s="631"/>
      <c r="E762" s="631"/>
      <c r="F762" s="631"/>
      <c r="G762" s="632"/>
      <c r="H762" s="584" t="s">
        <v>753</v>
      </c>
      <c r="I762" s="585"/>
      <c r="J762" s="585"/>
      <c r="K762" s="585"/>
      <c r="L762" s="585"/>
      <c r="M762" s="585"/>
      <c r="N762" s="585"/>
      <c r="O762" s="585"/>
      <c r="P762" s="585"/>
      <c r="Q762" s="585"/>
      <c r="R762" s="585"/>
      <c r="S762" s="585"/>
      <c r="T762" s="585"/>
      <c r="U762" s="585"/>
      <c r="V762" s="585"/>
      <c r="W762" s="585"/>
      <c r="X762" s="585"/>
      <c r="Y762" s="585"/>
      <c r="Z762" s="585"/>
      <c r="AA762" s="585"/>
      <c r="AB762" s="585"/>
      <c r="AC762" s="585"/>
      <c r="AD762" s="585"/>
      <c r="AE762" s="585"/>
      <c r="AF762" s="585"/>
      <c r="AG762" s="585"/>
      <c r="AH762" s="585"/>
      <c r="AI762" s="585"/>
      <c r="AJ762" s="585"/>
      <c r="AK762" s="585"/>
      <c r="AL762" s="585"/>
      <c r="AM762" s="585"/>
      <c r="AN762" s="585"/>
      <c r="AO762" s="585"/>
      <c r="AP762" s="585"/>
      <c r="AQ762" s="585"/>
      <c r="AR762" s="585"/>
      <c r="AS762" s="585"/>
      <c r="AT762" s="586"/>
      <c r="AU762" s="475" t="s">
        <v>734</v>
      </c>
      <c r="AV762" s="476"/>
      <c r="AW762" s="476"/>
      <c r="AX762" s="476"/>
      <c r="AY762" s="476"/>
      <c r="AZ762" s="476"/>
      <c r="BA762" s="476"/>
      <c r="BB762" s="477"/>
      <c r="BC762" s="544">
        <v>30</v>
      </c>
      <c r="BD762" s="545"/>
      <c r="BE762" s="545"/>
      <c r="BF762" s="545"/>
      <c r="BG762" s="545"/>
      <c r="BH762" s="545"/>
      <c r="BI762" s="545"/>
      <c r="BJ762" s="545"/>
      <c r="BK762" s="545"/>
      <c r="BL762" s="545"/>
      <c r="BM762" s="545"/>
      <c r="BN762" s="545"/>
      <c r="BO762" s="545"/>
      <c r="BP762" s="545"/>
      <c r="BQ762" s="545"/>
      <c r="BR762" s="546"/>
      <c r="BS762" s="639">
        <v>9.9</v>
      </c>
      <c r="BT762" s="640"/>
      <c r="BU762" s="640"/>
      <c r="BV762" s="640"/>
      <c r="BW762" s="640"/>
      <c r="BX762" s="640"/>
      <c r="BY762" s="640"/>
      <c r="BZ762" s="640"/>
      <c r="CA762" s="640"/>
      <c r="CB762" s="640"/>
      <c r="CC762" s="640"/>
      <c r="CD762" s="640"/>
      <c r="CE762" s="640"/>
      <c r="CF762" s="640"/>
      <c r="CG762" s="640"/>
      <c r="CH762" s="641"/>
      <c r="CI762" s="627"/>
      <c r="CJ762" s="628"/>
      <c r="CK762" s="628"/>
      <c r="CL762" s="628"/>
      <c r="CM762" s="628"/>
      <c r="CN762" s="628"/>
      <c r="CO762" s="628"/>
      <c r="CP762" s="628"/>
      <c r="CQ762" s="628"/>
      <c r="CR762" s="628"/>
      <c r="CS762" s="628"/>
      <c r="CT762" s="628"/>
      <c r="CU762" s="628"/>
      <c r="CV762" s="628"/>
      <c r="CW762" s="628"/>
      <c r="CX762" s="628"/>
      <c r="CY762" s="628"/>
      <c r="CZ762" s="629"/>
      <c r="DA762" s="214"/>
    </row>
    <row r="763" spans="1:105" s="16" customFormat="1" ht="15" hidden="1" customHeight="1" x14ac:dyDescent="0.3">
      <c r="A763" s="630" t="s">
        <v>754</v>
      </c>
      <c r="B763" s="631"/>
      <c r="C763" s="631"/>
      <c r="D763" s="631"/>
      <c r="E763" s="631"/>
      <c r="F763" s="631"/>
      <c r="G763" s="632"/>
      <c r="H763" s="584" t="s">
        <v>755</v>
      </c>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5"/>
      <c r="AL763" s="585"/>
      <c r="AM763" s="585"/>
      <c r="AN763" s="585"/>
      <c r="AO763" s="585"/>
      <c r="AP763" s="585"/>
      <c r="AQ763" s="585"/>
      <c r="AR763" s="585"/>
      <c r="AS763" s="585"/>
      <c r="AT763" s="586"/>
      <c r="AU763" s="475" t="s">
        <v>730</v>
      </c>
      <c r="AV763" s="476"/>
      <c r="AW763" s="476"/>
      <c r="AX763" s="476"/>
      <c r="AY763" s="476"/>
      <c r="AZ763" s="476"/>
      <c r="BA763" s="476"/>
      <c r="BB763" s="477"/>
      <c r="BC763" s="544">
        <v>2</v>
      </c>
      <c r="BD763" s="545"/>
      <c r="BE763" s="545"/>
      <c r="BF763" s="545"/>
      <c r="BG763" s="545"/>
      <c r="BH763" s="545"/>
      <c r="BI763" s="545"/>
      <c r="BJ763" s="545"/>
      <c r="BK763" s="545"/>
      <c r="BL763" s="545"/>
      <c r="BM763" s="545"/>
      <c r="BN763" s="545"/>
      <c r="BO763" s="545"/>
      <c r="BP763" s="545"/>
      <c r="BQ763" s="545"/>
      <c r="BR763" s="546"/>
      <c r="BS763" s="639">
        <v>48.88</v>
      </c>
      <c r="BT763" s="640"/>
      <c r="BU763" s="640"/>
      <c r="BV763" s="640"/>
      <c r="BW763" s="640"/>
      <c r="BX763" s="640"/>
      <c r="BY763" s="640"/>
      <c r="BZ763" s="640"/>
      <c r="CA763" s="640"/>
      <c r="CB763" s="640"/>
      <c r="CC763" s="640"/>
      <c r="CD763" s="640"/>
      <c r="CE763" s="640"/>
      <c r="CF763" s="640"/>
      <c r="CG763" s="640"/>
      <c r="CH763" s="641"/>
      <c r="CI763" s="627"/>
      <c r="CJ763" s="628"/>
      <c r="CK763" s="628"/>
      <c r="CL763" s="628"/>
      <c r="CM763" s="628"/>
      <c r="CN763" s="628"/>
      <c r="CO763" s="628"/>
      <c r="CP763" s="628"/>
      <c r="CQ763" s="628"/>
      <c r="CR763" s="628"/>
      <c r="CS763" s="628"/>
      <c r="CT763" s="628"/>
      <c r="CU763" s="628"/>
      <c r="CV763" s="628"/>
      <c r="CW763" s="628"/>
      <c r="CX763" s="628"/>
      <c r="CY763" s="628"/>
      <c r="CZ763" s="629"/>
      <c r="DA763" s="214"/>
    </row>
    <row r="764" spans="1:105" s="16" customFormat="1" ht="15" hidden="1" customHeight="1" x14ac:dyDescent="0.3">
      <c r="A764" s="630" t="s">
        <v>756</v>
      </c>
      <c r="B764" s="631"/>
      <c r="C764" s="631"/>
      <c r="D764" s="631"/>
      <c r="E764" s="631"/>
      <c r="F764" s="631"/>
      <c r="G764" s="632"/>
      <c r="H764" s="584" t="s">
        <v>757</v>
      </c>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5"/>
      <c r="AL764" s="585"/>
      <c r="AM764" s="585"/>
      <c r="AN764" s="585"/>
      <c r="AO764" s="585"/>
      <c r="AP764" s="585"/>
      <c r="AQ764" s="585"/>
      <c r="AR764" s="585"/>
      <c r="AS764" s="585"/>
      <c r="AT764" s="586"/>
      <c r="AU764" s="475" t="s">
        <v>730</v>
      </c>
      <c r="AV764" s="476"/>
      <c r="AW764" s="476"/>
      <c r="AX764" s="476"/>
      <c r="AY764" s="476"/>
      <c r="AZ764" s="476"/>
      <c r="BA764" s="476"/>
      <c r="BB764" s="477"/>
      <c r="BC764" s="544">
        <v>5</v>
      </c>
      <c r="BD764" s="545"/>
      <c r="BE764" s="545"/>
      <c r="BF764" s="545"/>
      <c r="BG764" s="545"/>
      <c r="BH764" s="545"/>
      <c r="BI764" s="545"/>
      <c r="BJ764" s="545"/>
      <c r="BK764" s="545"/>
      <c r="BL764" s="545"/>
      <c r="BM764" s="545"/>
      <c r="BN764" s="545"/>
      <c r="BO764" s="545"/>
      <c r="BP764" s="545"/>
      <c r="BQ764" s="545"/>
      <c r="BR764" s="546"/>
      <c r="BS764" s="639">
        <v>47.5</v>
      </c>
      <c r="BT764" s="640"/>
      <c r="BU764" s="640"/>
      <c r="BV764" s="640"/>
      <c r="BW764" s="640"/>
      <c r="BX764" s="640"/>
      <c r="BY764" s="640"/>
      <c r="BZ764" s="640"/>
      <c r="CA764" s="640"/>
      <c r="CB764" s="640"/>
      <c r="CC764" s="640"/>
      <c r="CD764" s="640"/>
      <c r="CE764" s="640"/>
      <c r="CF764" s="640"/>
      <c r="CG764" s="640"/>
      <c r="CH764" s="641"/>
      <c r="CI764" s="627"/>
      <c r="CJ764" s="628"/>
      <c r="CK764" s="628"/>
      <c r="CL764" s="628"/>
      <c r="CM764" s="628"/>
      <c r="CN764" s="628"/>
      <c r="CO764" s="628"/>
      <c r="CP764" s="628"/>
      <c r="CQ764" s="628"/>
      <c r="CR764" s="628"/>
      <c r="CS764" s="628"/>
      <c r="CT764" s="628"/>
      <c r="CU764" s="628"/>
      <c r="CV764" s="628"/>
      <c r="CW764" s="628"/>
      <c r="CX764" s="628"/>
      <c r="CY764" s="628"/>
      <c r="CZ764" s="629"/>
      <c r="DA764" s="214"/>
    </row>
    <row r="765" spans="1:105" s="16" customFormat="1" ht="15" hidden="1" customHeight="1" x14ac:dyDescent="0.3">
      <c r="A765" s="630" t="s">
        <v>674</v>
      </c>
      <c r="B765" s="631"/>
      <c r="C765" s="631"/>
      <c r="D765" s="631"/>
      <c r="E765" s="631"/>
      <c r="F765" s="631"/>
      <c r="G765" s="632"/>
      <c r="H765" s="584" t="s">
        <v>758</v>
      </c>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5"/>
      <c r="AL765" s="585"/>
      <c r="AM765" s="585"/>
      <c r="AN765" s="585"/>
      <c r="AO765" s="585"/>
      <c r="AP765" s="585"/>
      <c r="AQ765" s="585"/>
      <c r="AR765" s="585"/>
      <c r="AS765" s="585"/>
      <c r="AT765" s="586"/>
      <c r="AU765" s="475" t="s">
        <v>730</v>
      </c>
      <c r="AV765" s="476"/>
      <c r="AW765" s="476"/>
      <c r="AX765" s="476"/>
      <c r="AY765" s="476"/>
      <c r="AZ765" s="476"/>
      <c r="BA765" s="476"/>
      <c r="BB765" s="477"/>
      <c r="BC765" s="544">
        <v>10</v>
      </c>
      <c r="BD765" s="545"/>
      <c r="BE765" s="545"/>
      <c r="BF765" s="545"/>
      <c r="BG765" s="545"/>
      <c r="BH765" s="545"/>
      <c r="BI765" s="545"/>
      <c r="BJ765" s="545"/>
      <c r="BK765" s="545"/>
      <c r="BL765" s="545"/>
      <c r="BM765" s="545"/>
      <c r="BN765" s="545"/>
      <c r="BO765" s="545"/>
      <c r="BP765" s="545"/>
      <c r="BQ765" s="545"/>
      <c r="BR765" s="546"/>
      <c r="BS765" s="639">
        <v>46.72</v>
      </c>
      <c r="BT765" s="640"/>
      <c r="BU765" s="640"/>
      <c r="BV765" s="640"/>
      <c r="BW765" s="640"/>
      <c r="BX765" s="640"/>
      <c r="BY765" s="640"/>
      <c r="BZ765" s="640"/>
      <c r="CA765" s="640"/>
      <c r="CB765" s="640"/>
      <c r="CC765" s="640"/>
      <c r="CD765" s="640"/>
      <c r="CE765" s="640"/>
      <c r="CF765" s="640"/>
      <c r="CG765" s="640"/>
      <c r="CH765" s="641"/>
      <c r="CI765" s="627"/>
      <c r="CJ765" s="628"/>
      <c r="CK765" s="628"/>
      <c r="CL765" s="628"/>
      <c r="CM765" s="628"/>
      <c r="CN765" s="628"/>
      <c r="CO765" s="628"/>
      <c r="CP765" s="628"/>
      <c r="CQ765" s="628"/>
      <c r="CR765" s="628"/>
      <c r="CS765" s="628"/>
      <c r="CT765" s="628"/>
      <c r="CU765" s="628"/>
      <c r="CV765" s="628"/>
      <c r="CW765" s="628"/>
      <c r="CX765" s="628"/>
      <c r="CY765" s="628"/>
      <c r="CZ765" s="629"/>
      <c r="DA765" s="214"/>
    </row>
    <row r="766" spans="1:105" s="16" customFormat="1" ht="15" hidden="1" customHeight="1" x14ac:dyDescent="0.3">
      <c r="A766" s="630" t="s">
        <v>675</v>
      </c>
      <c r="B766" s="631"/>
      <c r="C766" s="631"/>
      <c r="D766" s="631"/>
      <c r="E766" s="631"/>
      <c r="F766" s="631"/>
      <c r="G766" s="632"/>
      <c r="H766" s="584" t="s">
        <v>759</v>
      </c>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5"/>
      <c r="AL766" s="585"/>
      <c r="AM766" s="585"/>
      <c r="AN766" s="585"/>
      <c r="AO766" s="585"/>
      <c r="AP766" s="585"/>
      <c r="AQ766" s="585"/>
      <c r="AR766" s="585"/>
      <c r="AS766" s="585"/>
      <c r="AT766" s="586"/>
      <c r="AU766" s="475" t="s">
        <v>730</v>
      </c>
      <c r="AV766" s="476"/>
      <c r="AW766" s="476"/>
      <c r="AX766" s="476"/>
      <c r="AY766" s="476"/>
      <c r="AZ766" s="476"/>
      <c r="BA766" s="476"/>
      <c r="BB766" s="477"/>
      <c r="BC766" s="544">
        <v>5</v>
      </c>
      <c r="BD766" s="545"/>
      <c r="BE766" s="545"/>
      <c r="BF766" s="545"/>
      <c r="BG766" s="545"/>
      <c r="BH766" s="545"/>
      <c r="BI766" s="545"/>
      <c r="BJ766" s="545"/>
      <c r="BK766" s="545"/>
      <c r="BL766" s="545"/>
      <c r="BM766" s="545"/>
      <c r="BN766" s="545"/>
      <c r="BO766" s="545"/>
      <c r="BP766" s="545"/>
      <c r="BQ766" s="545"/>
      <c r="BR766" s="546"/>
      <c r="BS766" s="639">
        <v>45.160000000000004</v>
      </c>
      <c r="BT766" s="640"/>
      <c r="BU766" s="640"/>
      <c r="BV766" s="640"/>
      <c r="BW766" s="640"/>
      <c r="BX766" s="640"/>
      <c r="BY766" s="640"/>
      <c r="BZ766" s="640"/>
      <c r="CA766" s="640"/>
      <c r="CB766" s="640"/>
      <c r="CC766" s="640"/>
      <c r="CD766" s="640"/>
      <c r="CE766" s="640"/>
      <c r="CF766" s="640"/>
      <c r="CG766" s="640"/>
      <c r="CH766" s="641"/>
      <c r="CI766" s="627"/>
      <c r="CJ766" s="628"/>
      <c r="CK766" s="628"/>
      <c r="CL766" s="628"/>
      <c r="CM766" s="628"/>
      <c r="CN766" s="628"/>
      <c r="CO766" s="628"/>
      <c r="CP766" s="628"/>
      <c r="CQ766" s="628"/>
      <c r="CR766" s="628"/>
      <c r="CS766" s="628"/>
      <c r="CT766" s="628"/>
      <c r="CU766" s="628"/>
      <c r="CV766" s="628"/>
      <c r="CW766" s="628"/>
      <c r="CX766" s="628"/>
      <c r="CY766" s="628"/>
      <c r="CZ766" s="629"/>
      <c r="DA766" s="214"/>
    </row>
    <row r="767" spans="1:105" s="16" customFormat="1" ht="15" hidden="1" customHeight="1" x14ac:dyDescent="0.3">
      <c r="A767" s="630" t="s">
        <v>760</v>
      </c>
      <c r="B767" s="631"/>
      <c r="C767" s="631"/>
      <c r="D767" s="631"/>
      <c r="E767" s="631"/>
      <c r="F767" s="631"/>
      <c r="G767" s="632"/>
      <c r="H767" s="584" t="s">
        <v>761</v>
      </c>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5"/>
      <c r="AL767" s="585"/>
      <c r="AM767" s="585"/>
      <c r="AN767" s="585"/>
      <c r="AO767" s="585"/>
      <c r="AP767" s="585"/>
      <c r="AQ767" s="585"/>
      <c r="AR767" s="585"/>
      <c r="AS767" s="585"/>
      <c r="AT767" s="586"/>
      <c r="AU767" s="475" t="s">
        <v>730</v>
      </c>
      <c r="AV767" s="476"/>
      <c r="AW767" s="476"/>
      <c r="AX767" s="476"/>
      <c r="AY767" s="476"/>
      <c r="AZ767" s="476"/>
      <c r="BA767" s="476"/>
      <c r="BB767" s="477"/>
      <c r="BC767" s="544">
        <v>10</v>
      </c>
      <c r="BD767" s="545"/>
      <c r="BE767" s="545"/>
      <c r="BF767" s="545"/>
      <c r="BG767" s="545"/>
      <c r="BH767" s="545"/>
      <c r="BI767" s="545"/>
      <c r="BJ767" s="545"/>
      <c r="BK767" s="545"/>
      <c r="BL767" s="545"/>
      <c r="BM767" s="545"/>
      <c r="BN767" s="545"/>
      <c r="BO767" s="545"/>
      <c r="BP767" s="545"/>
      <c r="BQ767" s="545"/>
      <c r="BR767" s="546"/>
      <c r="BS767" s="639">
        <v>5.26</v>
      </c>
      <c r="BT767" s="640"/>
      <c r="BU767" s="640"/>
      <c r="BV767" s="640"/>
      <c r="BW767" s="640"/>
      <c r="BX767" s="640"/>
      <c r="BY767" s="640"/>
      <c r="BZ767" s="640"/>
      <c r="CA767" s="640"/>
      <c r="CB767" s="640"/>
      <c r="CC767" s="640"/>
      <c r="CD767" s="640"/>
      <c r="CE767" s="640"/>
      <c r="CF767" s="640"/>
      <c r="CG767" s="640"/>
      <c r="CH767" s="641"/>
      <c r="CI767" s="627"/>
      <c r="CJ767" s="628"/>
      <c r="CK767" s="628"/>
      <c r="CL767" s="628"/>
      <c r="CM767" s="628"/>
      <c r="CN767" s="628"/>
      <c r="CO767" s="628"/>
      <c r="CP767" s="628"/>
      <c r="CQ767" s="628"/>
      <c r="CR767" s="628"/>
      <c r="CS767" s="628"/>
      <c r="CT767" s="628"/>
      <c r="CU767" s="628"/>
      <c r="CV767" s="628"/>
      <c r="CW767" s="628"/>
      <c r="CX767" s="628"/>
      <c r="CY767" s="628"/>
      <c r="CZ767" s="629"/>
      <c r="DA767" s="214"/>
    </row>
    <row r="768" spans="1:105" s="16" customFormat="1" ht="15" hidden="1" customHeight="1" x14ac:dyDescent="0.3">
      <c r="A768" s="630" t="s">
        <v>762</v>
      </c>
      <c r="B768" s="631"/>
      <c r="C768" s="631"/>
      <c r="D768" s="631"/>
      <c r="E768" s="631"/>
      <c r="F768" s="631"/>
      <c r="G768" s="632"/>
      <c r="H768" s="584" t="s">
        <v>763</v>
      </c>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5"/>
      <c r="AL768" s="585"/>
      <c r="AM768" s="585"/>
      <c r="AN768" s="585"/>
      <c r="AO768" s="585"/>
      <c r="AP768" s="585"/>
      <c r="AQ768" s="585"/>
      <c r="AR768" s="585"/>
      <c r="AS768" s="585"/>
      <c r="AT768" s="586"/>
      <c r="AU768" s="475" t="s">
        <v>734</v>
      </c>
      <c r="AV768" s="476"/>
      <c r="AW768" s="476"/>
      <c r="AX768" s="476"/>
      <c r="AY768" s="476"/>
      <c r="AZ768" s="476"/>
      <c r="BA768" s="476"/>
      <c r="BB768" s="477"/>
      <c r="BC768" s="544">
        <v>10</v>
      </c>
      <c r="BD768" s="545"/>
      <c r="BE768" s="545"/>
      <c r="BF768" s="545"/>
      <c r="BG768" s="545"/>
      <c r="BH768" s="545"/>
      <c r="BI768" s="545"/>
      <c r="BJ768" s="545"/>
      <c r="BK768" s="545"/>
      <c r="BL768" s="545"/>
      <c r="BM768" s="545"/>
      <c r="BN768" s="545"/>
      <c r="BO768" s="545"/>
      <c r="BP768" s="545"/>
      <c r="BQ768" s="545"/>
      <c r="BR768" s="546"/>
      <c r="BS768" s="639">
        <v>12.25</v>
      </c>
      <c r="BT768" s="640"/>
      <c r="BU768" s="640"/>
      <c r="BV768" s="640"/>
      <c r="BW768" s="640"/>
      <c r="BX768" s="640"/>
      <c r="BY768" s="640"/>
      <c r="BZ768" s="640"/>
      <c r="CA768" s="640"/>
      <c r="CB768" s="640"/>
      <c r="CC768" s="640"/>
      <c r="CD768" s="640"/>
      <c r="CE768" s="640"/>
      <c r="CF768" s="640"/>
      <c r="CG768" s="640"/>
      <c r="CH768" s="641"/>
      <c r="CI768" s="627"/>
      <c r="CJ768" s="628"/>
      <c r="CK768" s="628"/>
      <c r="CL768" s="628"/>
      <c r="CM768" s="628"/>
      <c r="CN768" s="628"/>
      <c r="CO768" s="628"/>
      <c r="CP768" s="628"/>
      <c r="CQ768" s="628"/>
      <c r="CR768" s="628"/>
      <c r="CS768" s="628"/>
      <c r="CT768" s="628"/>
      <c r="CU768" s="628"/>
      <c r="CV768" s="628"/>
      <c r="CW768" s="628"/>
      <c r="CX768" s="628"/>
      <c r="CY768" s="628"/>
      <c r="CZ768" s="629"/>
      <c r="DA768" s="214"/>
    </row>
    <row r="769" spans="1:105" s="16" customFormat="1" ht="15" hidden="1" customHeight="1" x14ac:dyDescent="0.3">
      <c r="A769" s="630" t="s">
        <v>764</v>
      </c>
      <c r="B769" s="631"/>
      <c r="C769" s="631"/>
      <c r="D769" s="631"/>
      <c r="E769" s="631"/>
      <c r="F769" s="631"/>
      <c r="G769" s="632"/>
      <c r="H769" s="584" t="s">
        <v>765</v>
      </c>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5"/>
      <c r="AL769" s="585"/>
      <c r="AM769" s="585"/>
      <c r="AN769" s="585"/>
      <c r="AO769" s="585"/>
      <c r="AP769" s="585"/>
      <c r="AQ769" s="585"/>
      <c r="AR769" s="585"/>
      <c r="AS769" s="585"/>
      <c r="AT769" s="586"/>
      <c r="AU769" s="475" t="s">
        <v>690</v>
      </c>
      <c r="AV769" s="476"/>
      <c r="AW769" s="476"/>
      <c r="AX769" s="476"/>
      <c r="AY769" s="476"/>
      <c r="AZ769" s="476"/>
      <c r="BA769" s="476"/>
      <c r="BB769" s="477"/>
      <c r="BC769" s="544">
        <v>600</v>
      </c>
      <c r="BD769" s="545"/>
      <c r="BE769" s="545"/>
      <c r="BF769" s="545"/>
      <c r="BG769" s="545"/>
      <c r="BH769" s="545"/>
      <c r="BI769" s="545"/>
      <c r="BJ769" s="545"/>
      <c r="BK769" s="545"/>
      <c r="BL769" s="545"/>
      <c r="BM769" s="545"/>
      <c r="BN769" s="545"/>
      <c r="BO769" s="545"/>
      <c r="BP769" s="545"/>
      <c r="BQ769" s="545"/>
      <c r="BR769" s="546"/>
      <c r="BS769" s="639">
        <v>5.2</v>
      </c>
      <c r="BT769" s="640"/>
      <c r="BU769" s="640"/>
      <c r="BV769" s="640"/>
      <c r="BW769" s="640"/>
      <c r="BX769" s="640"/>
      <c r="BY769" s="640"/>
      <c r="BZ769" s="640"/>
      <c r="CA769" s="640"/>
      <c r="CB769" s="640"/>
      <c r="CC769" s="640"/>
      <c r="CD769" s="640"/>
      <c r="CE769" s="640"/>
      <c r="CF769" s="640"/>
      <c r="CG769" s="640"/>
      <c r="CH769" s="641"/>
      <c r="CI769" s="627"/>
      <c r="CJ769" s="628"/>
      <c r="CK769" s="628"/>
      <c r="CL769" s="628"/>
      <c r="CM769" s="628"/>
      <c r="CN769" s="628"/>
      <c r="CO769" s="628"/>
      <c r="CP769" s="628"/>
      <c r="CQ769" s="628"/>
      <c r="CR769" s="628"/>
      <c r="CS769" s="628"/>
      <c r="CT769" s="628"/>
      <c r="CU769" s="628"/>
      <c r="CV769" s="628"/>
      <c r="CW769" s="628"/>
      <c r="CX769" s="628"/>
      <c r="CY769" s="628"/>
      <c r="CZ769" s="629"/>
      <c r="DA769" s="214"/>
    </row>
    <row r="770" spans="1:105" s="16" customFormat="1" ht="15" hidden="1" customHeight="1" x14ac:dyDescent="0.3">
      <c r="A770" s="630" t="s">
        <v>766</v>
      </c>
      <c r="B770" s="631"/>
      <c r="C770" s="631"/>
      <c r="D770" s="631"/>
      <c r="E770" s="631"/>
      <c r="F770" s="631"/>
      <c r="G770" s="632"/>
      <c r="H770" s="584" t="s">
        <v>767</v>
      </c>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5"/>
      <c r="AL770" s="585"/>
      <c r="AM770" s="585"/>
      <c r="AN770" s="585"/>
      <c r="AO770" s="585"/>
      <c r="AP770" s="585"/>
      <c r="AQ770" s="585"/>
      <c r="AR770" s="585"/>
      <c r="AS770" s="585"/>
      <c r="AT770" s="586"/>
      <c r="AU770" s="475" t="s">
        <v>730</v>
      </c>
      <c r="AV770" s="476"/>
      <c r="AW770" s="476"/>
      <c r="AX770" s="476"/>
      <c r="AY770" s="476"/>
      <c r="AZ770" s="476"/>
      <c r="BA770" s="476"/>
      <c r="BB770" s="477"/>
      <c r="BC770" s="544">
        <v>10</v>
      </c>
      <c r="BD770" s="545"/>
      <c r="BE770" s="545"/>
      <c r="BF770" s="545"/>
      <c r="BG770" s="545"/>
      <c r="BH770" s="545"/>
      <c r="BI770" s="545"/>
      <c r="BJ770" s="545"/>
      <c r="BK770" s="545"/>
      <c r="BL770" s="545"/>
      <c r="BM770" s="545"/>
      <c r="BN770" s="545"/>
      <c r="BO770" s="545"/>
      <c r="BP770" s="545"/>
      <c r="BQ770" s="545"/>
      <c r="BR770" s="546"/>
      <c r="BS770" s="639">
        <v>180</v>
      </c>
      <c r="BT770" s="640"/>
      <c r="BU770" s="640"/>
      <c r="BV770" s="640"/>
      <c r="BW770" s="640"/>
      <c r="BX770" s="640"/>
      <c r="BY770" s="640"/>
      <c r="BZ770" s="640"/>
      <c r="CA770" s="640"/>
      <c r="CB770" s="640"/>
      <c r="CC770" s="640"/>
      <c r="CD770" s="640"/>
      <c r="CE770" s="640"/>
      <c r="CF770" s="640"/>
      <c r="CG770" s="640"/>
      <c r="CH770" s="641"/>
      <c r="CI770" s="627"/>
      <c r="CJ770" s="628"/>
      <c r="CK770" s="628"/>
      <c r="CL770" s="628"/>
      <c r="CM770" s="628"/>
      <c r="CN770" s="628"/>
      <c r="CO770" s="628"/>
      <c r="CP770" s="628"/>
      <c r="CQ770" s="628"/>
      <c r="CR770" s="628"/>
      <c r="CS770" s="628"/>
      <c r="CT770" s="628"/>
      <c r="CU770" s="628"/>
      <c r="CV770" s="628"/>
      <c r="CW770" s="628"/>
      <c r="CX770" s="628"/>
      <c r="CY770" s="628"/>
      <c r="CZ770" s="629"/>
      <c r="DA770" s="214"/>
    </row>
    <row r="771" spans="1:105" s="16" customFormat="1" ht="15" hidden="1" customHeight="1" x14ac:dyDescent="0.3">
      <c r="A771" s="630" t="s">
        <v>768</v>
      </c>
      <c r="B771" s="631"/>
      <c r="C771" s="631"/>
      <c r="D771" s="631"/>
      <c r="E771" s="631"/>
      <c r="F771" s="631"/>
      <c r="G771" s="632"/>
      <c r="H771" s="584" t="s">
        <v>769</v>
      </c>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5"/>
      <c r="AL771" s="585"/>
      <c r="AM771" s="585"/>
      <c r="AN771" s="585"/>
      <c r="AO771" s="585"/>
      <c r="AP771" s="585"/>
      <c r="AQ771" s="585"/>
      <c r="AR771" s="585"/>
      <c r="AS771" s="585"/>
      <c r="AT771" s="586"/>
      <c r="AU771" s="475" t="s">
        <v>734</v>
      </c>
      <c r="AV771" s="476"/>
      <c r="AW771" s="476"/>
      <c r="AX771" s="476"/>
      <c r="AY771" s="476"/>
      <c r="AZ771" s="476"/>
      <c r="BA771" s="476"/>
      <c r="BB771" s="477"/>
      <c r="BC771" s="544">
        <v>20</v>
      </c>
      <c r="BD771" s="545"/>
      <c r="BE771" s="545"/>
      <c r="BF771" s="545"/>
      <c r="BG771" s="545"/>
      <c r="BH771" s="545"/>
      <c r="BI771" s="545"/>
      <c r="BJ771" s="545"/>
      <c r="BK771" s="545"/>
      <c r="BL771" s="545"/>
      <c r="BM771" s="545"/>
      <c r="BN771" s="545"/>
      <c r="BO771" s="545"/>
      <c r="BP771" s="545"/>
      <c r="BQ771" s="545"/>
      <c r="BR771" s="546"/>
      <c r="BS771" s="639">
        <v>10.199999999999999</v>
      </c>
      <c r="BT771" s="640"/>
      <c r="BU771" s="640"/>
      <c r="BV771" s="640"/>
      <c r="BW771" s="640"/>
      <c r="BX771" s="640"/>
      <c r="BY771" s="640"/>
      <c r="BZ771" s="640"/>
      <c r="CA771" s="640"/>
      <c r="CB771" s="640"/>
      <c r="CC771" s="640"/>
      <c r="CD771" s="640"/>
      <c r="CE771" s="640"/>
      <c r="CF771" s="640"/>
      <c r="CG771" s="640"/>
      <c r="CH771" s="641"/>
      <c r="CI771" s="627"/>
      <c r="CJ771" s="628"/>
      <c r="CK771" s="628"/>
      <c r="CL771" s="628"/>
      <c r="CM771" s="628"/>
      <c r="CN771" s="628"/>
      <c r="CO771" s="628"/>
      <c r="CP771" s="628"/>
      <c r="CQ771" s="628"/>
      <c r="CR771" s="628"/>
      <c r="CS771" s="628"/>
      <c r="CT771" s="628"/>
      <c r="CU771" s="628"/>
      <c r="CV771" s="628"/>
      <c r="CW771" s="628"/>
      <c r="CX771" s="628"/>
      <c r="CY771" s="628"/>
      <c r="CZ771" s="629"/>
      <c r="DA771" s="214"/>
    </row>
    <row r="772" spans="1:105" s="16" customFormat="1" ht="15" hidden="1" customHeight="1" x14ac:dyDescent="0.3">
      <c r="A772" s="630" t="s">
        <v>770</v>
      </c>
      <c r="B772" s="631"/>
      <c r="C772" s="631"/>
      <c r="D772" s="631"/>
      <c r="E772" s="631"/>
      <c r="F772" s="631"/>
      <c r="G772" s="632"/>
      <c r="H772" s="584" t="s">
        <v>771</v>
      </c>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5"/>
      <c r="AL772" s="585"/>
      <c r="AM772" s="585"/>
      <c r="AN772" s="585"/>
      <c r="AO772" s="585"/>
      <c r="AP772" s="585"/>
      <c r="AQ772" s="585"/>
      <c r="AR772" s="585"/>
      <c r="AS772" s="585"/>
      <c r="AT772" s="586"/>
      <c r="AU772" s="475" t="s">
        <v>734</v>
      </c>
      <c r="AV772" s="476"/>
      <c r="AW772" s="476"/>
      <c r="AX772" s="476"/>
      <c r="AY772" s="476"/>
      <c r="AZ772" s="476"/>
      <c r="BA772" s="476"/>
      <c r="BB772" s="477"/>
      <c r="BC772" s="544">
        <v>6</v>
      </c>
      <c r="BD772" s="545"/>
      <c r="BE772" s="545"/>
      <c r="BF772" s="545"/>
      <c r="BG772" s="545"/>
      <c r="BH772" s="545"/>
      <c r="BI772" s="545"/>
      <c r="BJ772" s="545"/>
      <c r="BK772" s="545"/>
      <c r="BL772" s="545"/>
      <c r="BM772" s="545"/>
      <c r="BN772" s="545"/>
      <c r="BO772" s="545"/>
      <c r="BP772" s="545"/>
      <c r="BQ772" s="545"/>
      <c r="BR772" s="546"/>
      <c r="BS772" s="639">
        <v>18.96</v>
      </c>
      <c r="BT772" s="640"/>
      <c r="BU772" s="640"/>
      <c r="BV772" s="640"/>
      <c r="BW772" s="640"/>
      <c r="BX772" s="640"/>
      <c r="BY772" s="640"/>
      <c r="BZ772" s="640"/>
      <c r="CA772" s="640"/>
      <c r="CB772" s="640"/>
      <c r="CC772" s="640"/>
      <c r="CD772" s="640"/>
      <c r="CE772" s="640"/>
      <c r="CF772" s="640"/>
      <c r="CG772" s="640"/>
      <c r="CH772" s="641"/>
      <c r="CI772" s="627"/>
      <c r="CJ772" s="628"/>
      <c r="CK772" s="628"/>
      <c r="CL772" s="628"/>
      <c r="CM772" s="628"/>
      <c r="CN772" s="628"/>
      <c r="CO772" s="628"/>
      <c r="CP772" s="628"/>
      <c r="CQ772" s="628"/>
      <c r="CR772" s="628"/>
      <c r="CS772" s="628"/>
      <c r="CT772" s="628"/>
      <c r="CU772" s="628"/>
      <c r="CV772" s="628"/>
      <c r="CW772" s="628"/>
      <c r="CX772" s="628"/>
      <c r="CY772" s="628"/>
      <c r="CZ772" s="629"/>
      <c r="DA772" s="214"/>
    </row>
    <row r="773" spans="1:105" s="16" customFormat="1" ht="15" hidden="1" customHeight="1" x14ac:dyDescent="0.3">
      <c r="A773" s="630" t="s">
        <v>772</v>
      </c>
      <c r="B773" s="631"/>
      <c r="C773" s="631"/>
      <c r="D773" s="631"/>
      <c r="E773" s="631"/>
      <c r="F773" s="631"/>
      <c r="G773" s="632"/>
      <c r="H773" s="584" t="s">
        <v>773</v>
      </c>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5"/>
      <c r="AL773" s="585"/>
      <c r="AM773" s="585"/>
      <c r="AN773" s="585"/>
      <c r="AO773" s="585"/>
      <c r="AP773" s="585"/>
      <c r="AQ773" s="585"/>
      <c r="AR773" s="585"/>
      <c r="AS773" s="585"/>
      <c r="AT773" s="586"/>
      <c r="AU773" s="475"/>
      <c r="AV773" s="476"/>
      <c r="AW773" s="476"/>
      <c r="AX773" s="476"/>
      <c r="AY773" s="476"/>
      <c r="AZ773" s="476"/>
      <c r="BA773" s="476"/>
      <c r="BB773" s="477"/>
      <c r="BC773" s="544">
        <v>15</v>
      </c>
      <c r="BD773" s="545"/>
      <c r="BE773" s="545"/>
      <c r="BF773" s="545"/>
      <c r="BG773" s="545"/>
      <c r="BH773" s="545"/>
      <c r="BI773" s="545"/>
      <c r="BJ773" s="545"/>
      <c r="BK773" s="545"/>
      <c r="BL773" s="545"/>
      <c r="BM773" s="545"/>
      <c r="BN773" s="545"/>
      <c r="BO773" s="545"/>
      <c r="BP773" s="545"/>
      <c r="BQ773" s="545"/>
      <c r="BR773" s="546"/>
      <c r="BS773" s="639">
        <v>25.886666666666667</v>
      </c>
      <c r="BT773" s="640"/>
      <c r="BU773" s="640"/>
      <c r="BV773" s="640"/>
      <c r="BW773" s="640"/>
      <c r="BX773" s="640"/>
      <c r="BY773" s="640"/>
      <c r="BZ773" s="640"/>
      <c r="CA773" s="640"/>
      <c r="CB773" s="640"/>
      <c r="CC773" s="640"/>
      <c r="CD773" s="640"/>
      <c r="CE773" s="640"/>
      <c r="CF773" s="640"/>
      <c r="CG773" s="640"/>
      <c r="CH773" s="641"/>
      <c r="CI773" s="627"/>
      <c r="CJ773" s="628"/>
      <c r="CK773" s="628"/>
      <c r="CL773" s="628"/>
      <c r="CM773" s="628"/>
      <c r="CN773" s="628"/>
      <c r="CO773" s="628"/>
      <c r="CP773" s="628"/>
      <c r="CQ773" s="628"/>
      <c r="CR773" s="628"/>
      <c r="CS773" s="628"/>
      <c r="CT773" s="628"/>
      <c r="CU773" s="628"/>
      <c r="CV773" s="628"/>
      <c r="CW773" s="628"/>
      <c r="CX773" s="628"/>
      <c r="CY773" s="628"/>
      <c r="CZ773" s="629"/>
      <c r="DA773" s="214"/>
    </row>
    <row r="774" spans="1:105" s="16" customFormat="1" ht="15" hidden="1" customHeight="1" x14ac:dyDescent="0.3">
      <c r="A774" s="630" t="s">
        <v>774</v>
      </c>
      <c r="B774" s="631"/>
      <c r="C774" s="631"/>
      <c r="D774" s="631"/>
      <c r="E774" s="631"/>
      <c r="F774" s="631"/>
      <c r="G774" s="632"/>
      <c r="H774" s="584" t="s">
        <v>775</v>
      </c>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5"/>
      <c r="AL774" s="585"/>
      <c r="AM774" s="585"/>
      <c r="AN774" s="585"/>
      <c r="AO774" s="585"/>
      <c r="AP774" s="585"/>
      <c r="AQ774" s="585"/>
      <c r="AR774" s="585"/>
      <c r="AS774" s="585"/>
      <c r="AT774" s="586"/>
      <c r="AU774" s="475" t="s">
        <v>730</v>
      </c>
      <c r="AV774" s="476"/>
      <c r="AW774" s="476"/>
      <c r="AX774" s="476"/>
      <c r="AY774" s="476"/>
      <c r="AZ774" s="476"/>
      <c r="BA774" s="476"/>
      <c r="BB774" s="477"/>
      <c r="BC774" s="544">
        <v>10</v>
      </c>
      <c r="BD774" s="545"/>
      <c r="BE774" s="545"/>
      <c r="BF774" s="545"/>
      <c r="BG774" s="545"/>
      <c r="BH774" s="545"/>
      <c r="BI774" s="545"/>
      <c r="BJ774" s="545"/>
      <c r="BK774" s="545"/>
      <c r="BL774" s="545"/>
      <c r="BM774" s="545"/>
      <c r="BN774" s="545"/>
      <c r="BO774" s="545"/>
      <c r="BP774" s="545"/>
      <c r="BQ774" s="545"/>
      <c r="BR774" s="546"/>
      <c r="BS774" s="639">
        <v>153</v>
      </c>
      <c r="BT774" s="640"/>
      <c r="BU774" s="640"/>
      <c r="BV774" s="640"/>
      <c r="BW774" s="640"/>
      <c r="BX774" s="640"/>
      <c r="BY774" s="640"/>
      <c r="BZ774" s="640"/>
      <c r="CA774" s="640"/>
      <c r="CB774" s="640"/>
      <c r="CC774" s="640"/>
      <c r="CD774" s="640"/>
      <c r="CE774" s="640"/>
      <c r="CF774" s="640"/>
      <c r="CG774" s="640"/>
      <c r="CH774" s="641"/>
      <c r="CI774" s="627"/>
      <c r="CJ774" s="628"/>
      <c r="CK774" s="628"/>
      <c r="CL774" s="628"/>
      <c r="CM774" s="628"/>
      <c r="CN774" s="628"/>
      <c r="CO774" s="628"/>
      <c r="CP774" s="628"/>
      <c r="CQ774" s="628"/>
      <c r="CR774" s="628"/>
      <c r="CS774" s="628"/>
      <c r="CT774" s="628"/>
      <c r="CU774" s="628"/>
      <c r="CV774" s="628"/>
      <c r="CW774" s="628"/>
      <c r="CX774" s="628"/>
      <c r="CY774" s="628"/>
      <c r="CZ774" s="629"/>
      <c r="DA774" s="214"/>
    </row>
    <row r="775" spans="1:105" s="16" customFormat="1" ht="15" hidden="1" customHeight="1" x14ac:dyDescent="0.3">
      <c r="A775" s="630" t="s">
        <v>776</v>
      </c>
      <c r="B775" s="631"/>
      <c r="C775" s="631"/>
      <c r="D775" s="631"/>
      <c r="E775" s="631"/>
      <c r="F775" s="631"/>
      <c r="G775" s="632"/>
      <c r="H775" s="584" t="s">
        <v>777</v>
      </c>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5"/>
      <c r="AL775" s="585"/>
      <c r="AM775" s="585"/>
      <c r="AN775" s="585"/>
      <c r="AO775" s="585"/>
      <c r="AP775" s="585"/>
      <c r="AQ775" s="585"/>
      <c r="AR775" s="585"/>
      <c r="AS775" s="585"/>
      <c r="AT775" s="586"/>
      <c r="AU775" s="475" t="s">
        <v>730</v>
      </c>
      <c r="AV775" s="476"/>
      <c r="AW775" s="476"/>
      <c r="AX775" s="476"/>
      <c r="AY775" s="476"/>
      <c r="AZ775" s="476"/>
      <c r="BA775" s="476"/>
      <c r="BB775" s="477"/>
      <c r="BC775" s="544">
        <v>3</v>
      </c>
      <c r="BD775" s="545"/>
      <c r="BE775" s="545"/>
      <c r="BF775" s="545"/>
      <c r="BG775" s="545"/>
      <c r="BH775" s="545"/>
      <c r="BI775" s="545"/>
      <c r="BJ775" s="545"/>
      <c r="BK775" s="545"/>
      <c r="BL775" s="545"/>
      <c r="BM775" s="545"/>
      <c r="BN775" s="545"/>
      <c r="BO775" s="545"/>
      <c r="BP775" s="545"/>
      <c r="BQ775" s="545"/>
      <c r="BR775" s="546"/>
      <c r="BS775" s="639">
        <v>260</v>
      </c>
      <c r="BT775" s="640"/>
      <c r="BU775" s="640"/>
      <c r="BV775" s="640"/>
      <c r="BW775" s="640"/>
      <c r="BX775" s="640"/>
      <c r="BY775" s="640"/>
      <c r="BZ775" s="640"/>
      <c r="CA775" s="640"/>
      <c r="CB775" s="640"/>
      <c r="CC775" s="640"/>
      <c r="CD775" s="640"/>
      <c r="CE775" s="640"/>
      <c r="CF775" s="640"/>
      <c r="CG775" s="640"/>
      <c r="CH775" s="641"/>
      <c r="CI775" s="627"/>
      <c r="CJ775" s="628"/>
      <c r="CK775" s="628"/>
      <c r="CL775" s="628"/>
      <c r="CM775" s="628"/>
      <c r="CN775" s="628"/>
      <c r="CO775" s="628"/>
      <c r="CP775" s="628"/>
      <c r="CQ775" s="628"/>
      <c r="CR775" s="628"/>
      <c r="CS775" s="628"/>
      <c r="CT775" s="628"/>
      <c r="CU775" s="628"/>
      <c r="CV775" s="628"/>
      <c r="CW775" s="628"/>
      <c r="CX775" s="628"/>
      <c r="CY775" s="628"/>
      <c r="CZ775" s="629"/>
      <c r="DA775" s="214"/>
    </row>
    <row r="776" spans="1:105" s="16" customFormat="1" ht="15" hidden="1" customHeight="1" x14ac:dyDescent="0.3">
      <c r="A776" s="630" t="s">
        <v>778</v>
      </c>
      <c r="B776" s="631"/>
      <c r="C776" s="631"/>
      <c r="D776" s="631"/>
      <c r="E776" s="631"/>
      <c r="F776" s="631"/>
      <c r="G776" s="632"/>
      <c r="H776" s="584" t="s">
        <v>779</v>
      </c>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5"/>
      <c r="AL776" s="585"/>
      <c r="AM776" s="585"/>
      <c r="AN776" s="585"/>
      <c r="AO776" s="585"/>
      <c r="AP776" s="585"/>
      <c r="AQ776" s="585"/>
      <c r="AR776" s="585"/>
      <c r="AS776" s="585"/>
      <c r="AT776" s="586"/>
      <c r="AU776" s="475" t="s">
        <v>730</v>
      </c>
      <c r="AV776" s="476"/>
      <c r="AW776" s="476"/>
      <c r="AX776" s="476"/>
      <c r="AY776" s="476"/>
      <c r="AZ776" s="476"/>
      <c r="BA776" s="476"/>
      <c r="BB776" s="477"/>
      <c r="BC776" s="544">
        <v>2</v>
      </c>
      <c r="BD776" s="545"/>
      <c r="BE776" s="545"/>
      <c r="BF776" s="545"/>
      <c r="BG776" s="545"/>
      <c r="BH776" s="545"/>
      <c r="BI776" s="545"/>
      <c r="BJ776" s="545"/>
      <c r="BK776" s="545"/>
      <c r="BL776" s="545"/>
      <c r="BM776" s="545"/>
      <c r="BN776" s="545"/>
      <c r="BO776" s="545"/>
      <c r="BP776" s="545"/>
      <c r="BQ776" s="545"/>
      <c r="BR776" s="546"/>
      <c r="BS776" s="639">
        <v>430</v>
      </c>
      <c r="BT776" s="640"/>
      <c r="BU776" s="640"/>
      <c r="BV776" s="640"/>
      <c r="BW776" s="640"/>
      <c r="BX776" s="640"/>
      <c r="BY776" s="640"/>
      <c r="BZ776" s="640"/>
      <c r="CA776" s="640"/>
      <c r="CB776" s="640"/>
      <c r="CC776" s="640"/>
      <c r="CD776" s="640"/>
      <c r="CE776" s="640"/>
      <c r="CF776" s="640"/>
      <c r="CG776" s="640"/>
      <c r="CH776" s="641"/>
      <c r="CI776" s="627"/>
      <c r="CJ776" s="628"/>
      <c r="CK776" s="628"/>
      <c r="CL776" s="628"/>
      <c r="CM776" s="628"/>
      <c r="CN776" s="628"/>
      <c r="CO776" s="628"/>
      <c r="CP776" s="628"/>
      <c r="CQ776" s="628"/>
      <c r="CR776" s="628"/>
      <c r="CS776" s="628"/>
      <c r="CT776" s="628"/>
      <c r="CU776" s="628"/>
      <c r="CV776" s="628"/>
      <c r="CW776" s="628"/>
      <c r="CX776" s="628"/>
      <c r="CY776" s="628"/>
      <c r="CZ776" s="629"/>
      <c r="DA776" s="214"/>
    </row>
    <row r="777" spans="1:105" s="16" customFormat="1" ht="15" hidden="1" customHeight="1" x14ac:dyDescent="0.3">
      <c r="A777" s="630" t="s">
        <v>780</v>
      </c>
      <c r="B777" s="631"/>
      <c r="C777" s="631"/>
      <c r="D777" s="631"/>
      <c r="E777" s="631"/>
      <c r="F777" s="631"/>
      <c r="G777" s="632"/>
      <c r="H777" s="584" t="s">
        <v>781</v>
      </c>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5"/>
      <c r="AL777" s="585"/>
      <c r="AM777" s="585"/>
      <c r="AN777" s="585"/>
      <c r="AO777" s="585"/>
      <c r="AP777" s="585"/>
      <c r="AQ777" s="585"/>
      <c r="AR777" s="585"/>
      <c r="AS777" s="585"/>
      <c r="AT777" s="586"/>
      <c r="AU777" s="475" t="s">
        <v>730</v>
      </c>
      <c r="AV777" s="476"/>
      <c r="AW777" s="476"/>
      <c r="AX777" s="476"/>
      <c r="AY777" s="476"/>
      <c r="AZ777" s="476"/>
      <c r="BA777" s="476"/>
      <c r="BB777" s="477"/>
      <c r="BC777" s="544">
        <v>3</v>
      </c>
      <c r="BD777" s="545"/>
      <c r="BE777" s="545"/>
      <c r="BF777" s="545"/>
      <c r="BG777" s="545"/>
      <c r="BH777" s="545"/>
      <c r="BI777" s="545"/>
      <c r="BJ777" s="545"/>
      <c r="BK777" s="545"/>
      <c r="BL777" s="545"/>
      <c r="BM777" s="545"/>
      <c r="BN777" s="545"/>
      <c r="BO777" s="545"/>
      <c r="BP777" s="545"/>
      <c r="BQ777" s="545"/>
      <c r="BR777" s="546"/>
      <c r="BS777" s="639">
        <v>44.18</v>
      </c>
      <c r="BT777" s="640"/>
      <c r="BU777" s="640"/>
      <c r="BV777" s="640"/>
      <c r="BW777" s="640"/>
      <c r="BX777" s="640"/>
      <c r="BY777" s="640"/>
      <c r="BZ777" s="640"/>
      <c r="CA777" s="640"/>
      <c r="CB777" s="640"/>
      <c r="CC777" s="640"/>
      <c r="CD777" s="640"/>
      <c r="CE777" s="640"/>
      <c r="CF777" s="640"/>
      <c r="CG777" s="640"/>
      <c r="CH777" s="641"/>
      <c r="CI777" s="627"/>
      <c r="CJ777" s="628"/>
      <c r="CK777" s="628"/>
      <c r="CL777" s="628"/>
      <c r="CM777" s="628"/>
      <c r="CN777" s="628"/>
      <c r="CO777" s="628"/>
      <c r="CP777" s="628"/>
      <c r="CQ777" s="628"/>
      <c r="CR777" s="628"/>
      <c r="CS777" s="628"/>
      <c r="CT777" s="628"/>
      <c r="CU777" s="628"/>
      <c r="CV777" s="628"/>
      <c r="CW777" s="628"/>
      <c r="CX777" s="628"/>
      <c r="CY777" s="628"/>
      <c r="CZ777" s="629"/>
      <c r="DA777" s="214"/>
    </row>
    <row r="778" spans="1:105" s="16" customFormat="1" ht="15" hidden="1" customHeight="1" x14ac:dyDescent="0.3">
      <c r="A778" s="630" t="s">
        <v>782</v>
      </c>
      <c r="B778" s="631"/>
      <c r="C778" s="631"/>
      <c r="D778" s="631"/>
      <c r="E778" s="631"/>
      <c r="F778" s="631"/>
      <c r="G778" s="632"/>
      <c r="H778" s="584" t="s">
        <v>783</v>
      </c>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5"/>
      <c r="AL778" s="585"/>
      <c r="AM778" s="585"/>
      <c r="AN778" s="585"/>
      <c r="AO778" s="585"/>
      <c r="AP778" s="585"/>
      <c r="AQ778" s="585"/>
      <c r="AR778" s="585"/>
      <c r="AS778" s="585"/>
      <c r="AT778" s="586"/>
      <c r="AU778" s="475" t="s">
        <v>730</v>
      </c>
      <c r="AV778" s="476"/>
      <c r="AW778" s="476"/>
      <c r="AX778" s="476"/>
      <c r="AY778" s="476"/>
      <c r="AZ778" s="476"/>
      <c r="BA778" s="476"/>
      <c r="BB778" s="477"/>
      <c r="BC778" s="544">
        <v>10</v>
      </c>
      <c r="BD778" s="545"/>
      <c r="BE778" s="545"/>
      <c r="BF778" s="545"/>
      <c r="BG778" s="545"/>
      <c r="BH778" s="545"/>
      <c r="BI778" s="545"/>
      <c r="BJ778" s="545"/>
      <c r="BK778" s="545"/>
      <c r="BL778" s="545"/>
      <c r="BM778" s="545"/>
      <c r="BN778" s="545"/>
      <c r="BO778" s="545"/>
      <c r="BP778" s="545"/>
      <c r="BQ778" s="545"/>
      <c r="BR778" s="546"/>
      <c r="BS778" s="639">
        <v>2.65</v>
      </c>
      <c r="BT778" s="640"/>
      <c r="BU778" s="640"/>
      <c r="BV778" s="640"/>
      <c r="BW778" s="640"/>
      <c r="BX778" s="640"/>
      <c r="BY778" s="640"/>
      <c r="BZ778" s="640"/>
      <c r="CA778" s="640"/>
      <c r="CB778" s="640"/>
      <c r="CC778" s="640"/>
      <c r="CD778" s="640"/>
      <c r="CE778" s="640"/>
      <c r="CF778" s="640"/>
      <c r="CG778" s="640"/>
      <c r="CH778" s="641"/>
      <c r="CI778" s="627"/>
      <c r="CJ778" s="628"/>
      <c r="CK778" s="628"/>
      <c r="CL778" s="628"/>
      <c r="CM778" s="628"/>
      <c r="CN778" s="628"/>
      <c r="CO778" s="628"/>
      <c r="CP778" s="628"/>
      <c r="CQ778" s="628"/>
      <c r="CR778" s="628"/>
      <c r="CS778" s="628"/>
      <c r="CT778" s="628"/>
      <c r="CU778" s="628"/>
      <c r="CV778" s="628"/>
      <c r="CW778" s="628"/>
      <c r="CX778" s="628"/>
      <c r="CY778" s="628"/>
      <c r="CZ778" s="629"/>
      <c r="DA778" s="214"/>
    </row>
    <row r="779" spans="1:105" s="16" customFormat="1" ht="15" hidden="1" customHeight="1" x14ac:dyDescent="0.3">
      <c r="A779" s="630" t="s">
        <v>784</v>
      </c>
      <c r="B779" s="631"/>
      <c r="C779" s="631"/>
      <c r="D779" s="631"/>
      <c r="E779" s="631"/>
      <c r="F779" s="631"/>
      <c r="G779" s="632"/>
      <c r="H779" s="584" t="s">
        <v>785</v>
      </c>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5"/>
      <c r="AL779" s="585"/>
      <c r="AM779" s="585"/>
      <c r="AN779" s="585"/>
      <c r="AO779" s="585"/>
      <c r="AP779" s="585"/>
      <c r="AQ779" s="585"/>
      <c r="AR779" s="585"/>
      <c r="AS779" s="585"/>
      <c r="AT779" s="586"/>
      <c r="AU779" s="475" t="s">
        <v>730</v>
      </c>
      <c r="AV779" s="476"/>
      <c r="AW779" s="476"/>
      <c r="AX779" s="476"/>
      <c r="AY779" s="476"/>
      <c r="AZ779" s="476"/>
      <c r="BA779" s="476"/>
      <c r="BB779" s="477"/>
      <c r="BC779" s="544">
        <v>15</v>
      </c>
      <c r="BD779" s="545"/>
      <c r="BE779" s="545"/>
      <c r="BF779" s="545"/>
      <c r="BG779" s="545"/>
      <c r="BH779" s="545"/>
      <c r="BI779" s="545"/>
      <c r="BJ779" s="545"/>
      <c r="BK779" s="545"/>
      <c r="BL779" s="545"/>
      <c r="BM779" s="545"/>
      <c r="BN779" s="545"/>
      <c r="BO779" s="545"/>
      <c r="BP779" s="545"/>
      <c r="BQ779" s="545"/>
      <c r="BR779" s="546"/>
      <c r="BS779" s="639">
        <v>27.6</v>
      </c>
      <c r="BT779" s="640"/>
      <c r="BU779" s="640"/>
      <c r="BV779" s="640"/>
      <c r="BW779" s="640"/>
      <c r="BX779" s="640"/>
      <c r="BY779" s="640"/>
      <c r="BZ779" s="640"/>
      <c r="CA779" s="640"/>
      <c r="CB779" s="640"/>
      <c r="CC779" s="640"/>
      <c r="CD779" s="640"/>
      <c r="CE779" s="640"/>
      <c r="CF779" s="640"/>
      <c r="CG779" s="640"/>
      <c r="CH779" s="641"/>
      <c r="CI779" s="627"/>
      <c r="CJ779" s="628"/>
      <c r="CK779" s="628"/>
      <c r="CL779" s="628"/>
      <c r="CM779" s="628"/>
      <c r="CN779" s="628"/>
      <c r="CO779" s="628"/>
      <c r="CP779" s="628"/>
      <c r="CQ779" s="628"/>
      <c r="CR779" s="628"/>
      <c r="CS779" s="628"/>
      <c r="CT779" s="628"/>
      <c r="CU779" s="628"/>
      <c r="CV779" s="628"/>
      <c r="CW779" s="628"/>
      <c r="CX779" s="628"/>
      <c r="CY779" s="628"/>
      <c r="CZ779" s="629"/>
      <c r="DA779" s="214"/>
    </row>
    <row r="780" spans="1:105" s="16" customFormat="1" ht="15" hidden="1" customHeight="1" x14ac:dyDescent="0.3">
      <c r="A780" s="630" t="s">
        <v>786</v>
      </c>
      <c r="B780" s="631"/>
      <c r="C780" s="631"/>
      <c r="D780" s="631"/>
      <c r="E780" s="631"/>
      <c r="F780" s="631"/>
      <c r="G780" s="632"/>
      <c r="H780" s="584" t="s">
        <v>787</v>
      </c>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5"/>
      <c r="AL780" s="585"/>
      <c r="AM780" s="585"/>
      <c r="AN780" s="585"/>
      <c r="AO780" s="585"/>
      <c r="AP780" s="585"/>
      <c r="AQ780" s="585"/>
      <c r="AR780" s="585"/>
      <c r="AS780" s="585"/>
      <c r="AT780" s="586"/>
      <c r="AU780" s="475" t="s">
        <v>730</v>
      </c>
      <c r="AV780" s="476"/>
      <c r="AW780" s="476"/>
      <c r="AX780" s="476"/>
      <c r="AY780" s="476"/>
      <c r="AZ780" s="476"/>
      <c r="BA780" s="476"/>
      <c r="BB780" s="477"/>
      <c r="BC780" s="544">
        <v>36</v>
      </c>
      <c r="BD780" s="545"/>
      <c r="BE780" s="545"/>
      <c r="BF780" s="545"/>
      <c r="BG780" s="545"/>
      <c r="BH780" s="545"/>
      <c r="BI780" s="545"/>
      <c r="BJ780" s="545"/>
      <c r="BK780" s="545"/>
      <c r="BL780" s="545"/>
      <c r="BM780" s="545"/>
      <c r="BN780" s="545"/>
      <c r="BO780" s="545"/>
      <c r="BP780" s="545"/>
      <c r="BQ780" s="545"/>
      <c r="BR780" s="546"/>
      <c r="BS780" s="639">
        <v>7.8000000000000007</v>
      </c>
      <c r="BT780" s="640"/>
      <c r="BU780" s="640"/>
      <c r="BV780" s="640"/>
      <c r="BW780" s="640"/>
      <c r="BX780" s="640"/>
      <c r="BY780" s="640"/>
      <c r="BZ780" s="640"/>
      <c r="CA780" s="640"/>
      <c r="CB780" s="640"/>
      <c r="CC780" s="640"/>
      <c r="CD780" s="640"/>
      <c r="CE780" s="640"/>
      <c r="CF780" s="640"/>
      <c r="CG780" s="640"/>
      <c r="CH780" s="641"/>
      <c r="CI780" s="627"/>
      <c r="CJ780" s="628"/>
      <c r="CK780" s="628"/>
      <c r="CL780" s="628"/>
      <c r="CM780" s="628"/>
      <c r="CN780" s="628"/>
      <c r="CO780" s="628"/>
      <c r="CP780" s="628"/>
      <c r="CQ780" s="628"/>
      <c r="CR780" s="628"/>
      <c r="CS780" s="628"/>
      <c r="CT780" s="628"/>
      <c r="CU780" s="628"/>
      <c r="CV780" s="628"/>
      <c r="CW780" s="628"/>
      <c r="CX780" s="628"/>
      <c r="CY780" s="628"/>
      <c r="CZ780" s="629"/>
      <c r="DA780" s="214"/>
    </row>
    <row r="781" spans="1:105" s="16" customFormat="1" ht="15" hidden="1" customHeight="1" x14ac:dyDescent="0.3">
      <c r="A781" s="630" t="s">
        <v>788</v>
      </c>
      <c r="B781" s="631"/>
      <c r="C781" s="631"/>
      <c r="D781" s="631"/>
      <c r="E781" s="631"/>
      <c r="F781" s="631"/>
      <c r="G781" s="632"/>
      <c r="H781" s="584" t="s">
        <v>789</v>
      </c>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c r="AN781" s="585"/>
      <c r="AO781" s="585"/>
      <c r="AP781" s="585"/>
      <c r="AQ781" s="585"/>
      <c r="AR781" s="585"/>
      <c r="AS781" s="585"/>
      <c r="AT781" s="586"/>
      <c r="AU781" s="475" t="s">
        <v>730</v>
      </c>
      <c r="AV781" s="476"/>
      <c r="AW781" s="476"/>
      <c r="AX781" s="476"/>
      <c r="AY781" s="476"/>
      <c r="AZ781" s="476"/>
      <c r="BA781" s="476"/>
      <c r="BB781" s="477"/>
      <c r="BC781" s="544">
        <v>10</v>
      </c>
      <c r="BD781" s="545"/>
      <c r="BE781" s="545"/>
      <c r="BF781" s="545"/>
      <c r="BG781" s="545"/>
      <c r="BH781" s="545"/>
      <c r="BI781" s="545"/>
      <c r="BJ781" s="545"/>
      <c r="BK781" s="545"/>
      <c r="BL781" s="545"/>
      <c r="BM781" s="545"/>
      <c r="BN781" s="545"/>
      <c r="BO781" s="545"/>
      <c r="BP781" s="545"/>
      <c r="BQ781" s="545"/>
      <c r="BR781" s="546"/>
      <c r="BS781" s="639">
        <v>19.73</v>
      </c>
      <c r="BT781" s="640"/>
      <c r="BU781" s="640"/>
      <c r="BV781" s="640"/>
      <c r="BW781" s="640"/>
      <c r="BX781" s="640"/>
      <c r="BY781" s="640"/>
      <c r="BZ781" s="640"/>
      <c r="CA781" s="640"/>
      <c r="CB781" s="640"/>
      <c r="CC781" s="640"/>
      <c r="CD781" s="640"/>
      <c r="CE781" s="640"/>
      <c r="CF781" s="640"/>
      <c r="CG781" s="640"/>
      <c r="CH781" s="641"/>
      <c r="CI781" s="627"/>
      <c r="CJ781" s="628"/>
      <c r="CK781" s="628"/>
      <c r="CL781" s="628"/>
      <c r="CM781" s="628"/>
      <c r="CN781" s="628"/>
      <c r="CO781" s="628"/>
      <c r="CP781" s="628"/>
      <c r="CQ781" s="628"/>
      <c r="CR781" s="628"/>
      <c r="CS781" s="628"/>
      <c r="CT781" s="628"/>
      <c r="CU781" s="628"/>
      <c r="CV781" s="628"/>
      <c r="CW781" s="628"/>
      <c r="CX781" s="628"/>
      <c r="CY781" s="628"/>
      <c r="CZ781" s="629"/>
      <c r="DA781" s="214"/>
    </row>
    <row r="782" spans="1:105" s="16" customFormat="1" ht="15" hidden="1" customHeight="1" x14ac:dyDescent="0.3">
      <c r="A782" s="630" t="s">
        <v>790</v>
      </c>
      <c r="B782" s="631"/>
      <c r="C782" s="631"/>
      <c r="D782" s="631"/>
      <c r="E782" s="631"/>
      <c r="F782" s="631"/>
      <c r="G782" s="632"/>
      <c r="H782" s="584" t="s">
        <v>791</v>
      </c>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5"/>
      <c r="AL782" s="585"/>
      <c r="AM782" s="585"/>
      <c r="AN782" s="585"/>
      <c r="AO782" s="585"/>
      <c r="AP782" s="585"/>
      <c r="AQ782" s="585"/>
      <c r="AR782" s="585"/>
      <c r="AS782" s="585"/>
      <c r="AT782" s="586"/>
      <c r="AU782" s="475" t="s">
        <v>730</v>
      </c>
      <c r="AV782" s="476"/>
      <c r="AW782" s="476"/>
      <c r="AX782" s="476"/>
      <c r="AY782" s="476"/>
      <c r="AZ782" s="476"/>
      <c r="BA782" s="476"/>
      <c r="BB782" s="477"/>
      <c r="BC782" s="544">
        <v>10</v>
      </c>
      <c r="BD782" s="545"/>
      <c r="BE782" s="545"/>
      <c r="BF782" s="545"/>
      <c r="BG782" s="545"/>
      <c r="BH782" s="545"/>
      <c r="BI782" s="545"/>
      <c r="BJ782" s="545"/>
      <c r="BK782" s="545"/>
      <c r="BL782" s="545"/>
      <c r="BM782" s="545"/>
      <c r="BN782" s="545"/>
      <c r="BO782" s="545"/>
      <c r="BP782" s="545"/>
      <c r="BQ782" s="545"/>
      <c r="BR782" s="546"/>
      <c r="BS782" s="639">
        <v>5.08</v>
      </c>
      <c r="BT782" s="640"/>
      <c r="BU782" s="640"/>
      <c r="BV782" s="640"/>
      <c r="BW782" s="640"/>
      <c r="BX782" s="640"/>
      <c r="BY782" s="640"/>
      <c r="BZ782" s="640"/>
      <c r="CA782" s="640"/>
      <c r="CB782" s="640"/>
      <c r="CC782" s="640"/>
      <c r="CD782" s="640"/>
      <c r="CE782" s="640"/>
      <c r="CF782" s="640"/>
      <c r="CG782" s="640"/>
      <c r="CH782" s="641"/>
      <c r="CI782" s="627"/>
      <c r="CJ782" s="628"/>
      <c r="CK782" s="628"/>
      <c r="CL782" s="628"/>
      <c r="CM782" s="628"/>
      <c r="CN782" s="628"/>
      <c r="CO782" s="628"/>
      <c r="CP782" s="628"/>
      <c r="CQ782" s="628"/>
      <c r="CR782" s="628"/>
      <c r="CS782" s="628"/>
      <c r="CT782" s="628"/>
      <c r="CU782" s="628"/>
      <c r="CV782" s="628"/>
      <c r="CW782" s="628"/>
      <c r="CX782" s="628"/>
      <c r="CY782" s="628"/>
      <c r="CZ782" s="629"/>
      <c r="DA782" s="214"/>
    </row>
    <row r="783" spans="1:105" s="16" customFormat="1" ht="15" hidden="1" customHeight="1" x14ac:dyDescent="0.3">
      <c r="A783" s="630" t="s">
        <v>792</v>
      </c>
      <c r="B783" s="631"/>
      <c r="C783" s="631"/>
      <c r="D783" s="631"/>
      <c r="E783" s="631"/>
      <c r="F783" s="631"/>
      <c r="G783" s="632"/>
      <c r="H783" s="584" t="s">
        <v>793</v>
      </c>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5"/>
      <c r="AL783" s="585"/>
      <c r="AM783" s="585"/>
      <c r="AN783" s="585"/>
      <c r="AO783" s="585"/>
      <c r="AP783" s="585"/>
      <c r="AQ783" s="585"/>
      <c r="AR783" s="585"/>
      <c r="AS783" s="585"/>
      <c r="AT783" s="586"/>
      <c r="AU783" s="475" t="s">
        <v>690</v>
      </c>
      <c r="AV783" s="476"/>
      <c r="AW783" s="476"/>
      <c r="AX783" s="476"/>
      <c r="AY783" s="476"/>
      <c r="AZ783" s="476"/>
      <c r="BA783" s="476"/>
      <c r="BB783" s="477"/>
      <c r="BC783" s="544">
        <v>15</v>
      </c>
      <c r="BD783" s="545"/>
      <c r="BE783" s="545"/>
      <c r="BF783" s="545"/>
      <c r="BG783" s="545"/>
      <c r="BH783" s="545"/>
      <c r="BI783" s="545"/>
      <c r="BJ783" s="545"/>
      <c r="BK783" s="545"/>
      <c r="BL783" s="545"/>
      <c r="BM783" s="545"/>
      <c r="BN783" s="545"/>
      <c r="BO783" s="545"/>
      <c r="BP783" s="545"/>
      <c r="BQ783" s="545"/>
      <c r="BR783" s="546"/>
      <c r="BS783" s="639">
        <v>6.5</v>
      </c>
      <c r="BT783" s="640"/>
      <c r="BU783" s="640"/>
      <c r="BV783" s="640"/>
      <c r="BW783" s="640"/>
      <c r="BX783" s="640"/>
      <c r="BY783" s="640"/>
      <c r="BZ783" s="640"/>
      <c r="CA783" s="640"/>
      <c r="CB783" s="640"/>
      <c r="CC783" s="640"/>
      <c r="CD783" s="640"/>
      <c r="CE783" s="640"/>
      <c r="CF783" s="640"/>
      <c r="CG783" s="640"/>
      <c r="CH783" s="641"/>
      <c r="CI783" s="627"/>
      <c r="CJ783" s="628"/>
      <c r="CK783" s="628"/>
      <c r="CL783" s="628"/>
      <c r="CM783" s="628"/>
      <c r="CN783" s="628"/>
      <c r="CO783" s="628"/>
      <c r="CP783" s="628"/>
      <c r="CQ783" s="628"/>
      <c r="CR783" s="628"/>
      <c r="CS783" s="628"/>
      <c r="CT783" s="628"/>
      <c r="CU783" s="628"/>
      <c r="CV783" s="628"/>
      <c r="CW783" s="628"/>
      <c r="CX783" s="628"/>
      <c r="CY783" s="628"/>
      <c r="CZ783" s="629"/>
      <c r="DA783" s="214"/>
    </row>
    <row r="784" spans="1:105" s="16" customFormat="1" ht="15" hidden="1" customHeight="1" x14ac:dyDescent="0.3">
      <c r="A784" s="630" t="s">
        <v>794</v>
      </c>
      <c r="B784" s="631"/>
      <c r="C784" s="631"/>
      <c r="D784" s="631"/>
      <c r="E784" s="631"/>
      <c r="F784" s="631"/>
      <c r="G784" s="632"/>
      <c r="H784" s="584" t="s">
        <v>795</v>
      </c>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5"/>
      <c r="AL784" s="585"/>
      <c r="AM784" s="585"/>
      <c r="AN784" s="585"/>
      <c r="AO784" s="585"/>
      <c r="AP784" s="585"/>
      <c r="AQ784" s="585"/>
      <c r="AR784" s="585"/>
      <c r="AS784" s="585"/>
      <c r="AT784" s="586"/>
      <c r="AU784" s="475" t="s">
        <v>690</v>
      </c>
      <c r="AV784" s="476"/>
      <c r="AW784" s="476"/>
      <c r="AX784" s="476"/>
      <c r="AY784" s="476"/>
      <c r="AZ784" s="476"/>
      <c r="BA784" s="476"/>
      <c r="BB784" s="477"/>
      <c r="BC784" s="544">
        <v>45</v>
      </c>
      <c r="BD784" s="545"/>
      <c r="BE784" s="545"/>
      <c r="BF784" s="545"/>
      <c r="BG784" s="545"/>
      <c r="BH784" s="545"/>
      <c r="BI784" s="545"/>
      <c r="BJ784" s="545"/>
      <c r="BK784" s="545"/>
      <c r="BL784" s="545"/>
      <c r="BM784" s="545"/>
      <c r="BN784" s="545"/>
      <c r="BO784" s="545"/>
      <c r="BP784" s="545"/>
      <c r="BQ784" s="545"/>
      <c r="BR784" s="546"/>
      <c r="BS784" s="639">
        <v>2.5714285714285716</v>
      </c>
      <c r="BT784" s="640"/>
      <c r="BU784" s="640"/>
      <c r="BV784" s="640"/>
      <c r="BW784" s="640"/>
      <c r="BX784" s="640"/>
      <c r="BY784" s="640"/>
      <c r="BZ784" s="640"/>
      <c r="CA784" s="640"/>
      <c r="CB784" s="640"/>
      <c r="CC784" s="640"/>
      <c r="CD784" s="640"/>
      <c r="CE784" s="640"/>
      <c r="CF784" s="640"/>
      <c r="CG784" s="640"/>
      <c r="CH784" s="641"/>
      <c r="CI784" s="627"/>
      <c r="CJ784" s="628"/>
      <c r="CK784" s="628"/>
      <c r="CL784" s="628"/>
      <c r="CM784" s="628"/>
      <c r="CN784" s="628"/>
      <c r="CO784" s="628"/>
      <c r="CP784" s="628"/>
      <c r="CQ784" s="628"/>
      <c r="CR784" s="628"/>
      <c r="CS784" s="628"/>
      <c r="CT784" s="628"/>
      <c r="CU784" s="628"/>
      <c r="CV784" s="628"/>
      <c r="CW784" s="628"/>
      <c r="CX784" s="628"/>
      <c r="CY784" s="628"/>
      <c r="CZ784" s="629"/>
      <c r="DA784" s="214"/>
    </row>
    <row r="785" spans="1:105" s="16" customFormat="1" ht="15" hidden="1" customHeight="1" x14ac:dyDescent="0.3">
      <c r="A785" s="630" t="s">
        <v>796</v>
      </c>
      <c r="B785" s="631"/>
      <c r="C785" s="631"/>
      <c r="D785" s="631"/>
      <c r="E785" s="631"/>
      <c r="F785" s="631"/>
      <c r="G785" s="632"/>
      <c r="H785" s="584" t="s">
        <v>797</v>
      </c>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5"/>
      <c r="AL785" s="585"/>
      <c r="AM785" s="585"/>
      <c r="AN785" s="585"/>
      <c r="AO785" s="585"/>
      <c r="AP785" s="585"/>
      <c r="AQ785" s="585"/>
      <c r="AR785" s="585"/>
      <c r="AS785" s="585"/>
      <c r="AT785" s="586"/>
      <c r="AU785" s="475" t="s">
        <v>730</v>
      </c>
      <c r="AV785" s="476"/>
      <c r="AW785" s="476"/>
      <c r="AX785" s="476"/>
      <c r="AY785" s="476"/>
      <c r="AZ785" s="476"/>
      <c r="BA785" s="476"/>
      <c r="BB785" s="477"/>
      <c r="BC785" s="544">
        <v>5</v>
      </c>
      <c r="BD785" s="545"/>
      <c r="BE785" s="545"/>
      <c r="BF785" s="545"/>
      <c r="BG785" s="545"/>
      <c r="BH785" s="545"/>
      <c r="BI785" s="545"/>
      <c r="BJ785" s="545"/>
      <c r="BK785" s="545"/>
      <c r="BL785" s="545"/>
      <c r="BM785" s="545"/>
      <c r="BN785" s="545"/>
      <c r="BO785" s="545"/>
      <c r="BP785" s="545"/>
      <c r="BQ785" s="545"/>
      <c r="BR785" s="546"/>
      <c r="BS785" s="639">
        <v>37.619999999999997</v>
      </c>
      <c r="BT785" s="640"/>
      <c r="BU785" s="640"/>
      <c r="BV785" s="640"/>
      <c r="BW785" s="640"/>
      <c r="BX785" s="640"/>
      <c r="BY785" s="640"/>
      <c r="BZ785" s="640"/>
      <c r="CA785" s="640"/>
      <c r="CB785" s="640"/>
      <c r="CC785" s="640"/>
      <c r="CD785" s="640"/>
      <c r="CE785" s="640"/>
      <c r="CF785" s="640"/>
      <c r="CG785" s="640"/>
      <c r="CH785" s="641"/>
      <c r="CI785" s="627"/>
      <c r="CJ785" s="628"/>
      <c r="CK785" s="628"/>
      <c r="CL785" s="628"/>
      <c r="CM785" s="628"/>
      <c r="CN785" s="628"/>
      <c r="CO785" s="628"/>
      <c r="CP785" s="628"/>
      <c r="CQ785" s="628"/>
      <c r="CR785" s="628"/>
      <c r="CS785" s="628"/>
      <c r="CT785" s="628"/>
      <c r="CU785" s="628"/>
      <c r="CV785" s="628"/>
      <c r="CW785" s="628"/>
      <c r="CX785" s="628"/>
      <c r="CY785" s="628"/>
      <c r="CZ785" s="629"/>
      <c r="DA785" s="214"/>
    </row>
    <row r="786" spans="1:105" s="16" customFormat="1" ht="15" hidden="1" customHeight="1" x14ac:dyDescent="0.3">
      <c r="A786" s="630"/>
      <c r="B786" s="631"/>
      <c r="C786" s="631"/>
      <c r="D786" s="631"/>
      <c r="E786" s="631"/>
      <c r="F786" s="631"/>
      <c r="G786" s="632"/>
      <c r="H786" s="651"/>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52"/>
      <c r="AL786" s="652"/>
      <c r="AM786" s="652"/>
      <c r="AN786" s="652"/>
      <c r="AO786" s="652"/>
      <c r="AP786" s="652"/>
      <c r="AQ786" s="652"/>
      <c r="AR786" s="652"/>
      <c r="AS786" s="652"/>
      <c r="AT786" s="653"/>
      <c r="AU786" s="475"/>
      <c r="AV786" s="476"/>
      <c r="AW786" s="476"/>
      <c r="AX786" s="476"/>
      <c r="AY786" s="476"/>
      <c r="AZ786" s="476"/>
      <c r="BA786" s="476"/>
      <c r="BB786" s="477"/>
      <c r="BC786" s="544"/>
      <c r="BD786" s="545"/>
      <c r="BE786" s="545"/>
      <c r="BF786" s="545"/>
      <c r="BG786" s="545"/>
      <c r="BH786" s="545"/>
      <c r="BI786" s="545"/>
      <c r="BJ786" s="545"/>
      <c r="BK786" s="545"/>
      <c r="BL786" s="545"/>
      <c r="BM786" s="545"/>
      <c r="BN786" s="545"/>
      <c r="BO786" s="545"/>
      <c r="BP786" s="545"/>
      <c r="BQ786" s="545"/>
      <c r="BR786" s="546"/>
      <c r="BS786" s="639"/>
      <c r="BT786" s="640"/>
      <c r="BU786" s="640"/>
      <c r="BV786" s="640"/>
      <c r="BW786" s="640"/>
      <c r="BX786" s="640"/>
      <c r="BY786" s="640"/>
      <c r="BZ786" s="640"/>
      <c r="CA786" s="640"/>
      <c r="CB786" s="640"/>
      <c r="CC786" s="640"/>
      <c r="CD786" s="640"/>
      <c r="CE786" s="640"/>
      <c r="CF786" s="640"/>
      <c r="CG786" s="640"/>
      <c r="CH786" s="641"/>
      <c r="CI786" s="627"/>
      <c r="CJ786" s="628"/>
      <c r="CK786" s="628"/>
      <c r="CL786" s="628"/>
      <c r="CM786" s="628"/>
      <c r="CN786" s="628"/>
      <c r="CO786" s="628"/>
      <c r="CP786" s="628"/>
      <c r="CQ786" s="628"/>
      <c r="CR786" s="628"/>
      <c r="CS786" s="628"/>
      <c r="CT786" s="628"/>
      <c r="CU786" s="628"/>
      <c r="CV786" s="628"/>
      <c r="CW786" s="628"/>
      <c r="CX786" s="628"/>
      <c r="CY786" s="628"/>
      <c r="CZ786" s="629"/>
      <c r="DA786" s="214"/>
    </row>
    <row r="787" spans="1:105" s="16" customFormat="1" ht="15" hidden="1" customHeight="1" x14ac:dyDescent="0.3">
      <c r="A787" s="630"/>
      <c r="B787" s="631"/>
      <c r="C787" s="631"/>
      <c r="D787" s="631"/>
      <c r="E787" s="631"/>
      <c r="F787" s="631"/>
      <c r="G787" s="632"/>
      <c r="H787" s="651" t="s">
        <v>691</v>
      </c>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52"/>
      <c r="AL787" s="652"/>
      <c r="AM787" s="652"/>
      <c r="AN787" s="652"/>
      <c r="AO787" s="652"/>
      <c r="AP787" s="652"/>
      <c r="AQ787" s="652"/>
      <c r="AR787" s="652"/>
      <c r="AS787" s="652"/>
      <c r="AT787" s="653"/>
      <c r="AU787" s="475"/>
      <c r="AV787" s="476"/>
      <c r="AW787" s="476"/>
      <c r="AX787" s="476"/>
      <c r="AY787" s="476"/>
      <c r="AZ787" s="476"/>
      <c r="BA787" s="476"/>
      <c r="BB787" s="477"/>
      <c r="BC787" s="647">
        <f>SUM(BC788:BR803)</f>
        <v>0</v>
      </c>
      <c r="BD787" s="637"/>
      <c r="BE787" s="637"/>
      <c r="BF787" s="637"/>
      <c r="BG787" s="637"/>
      <c r="BH787" s="637"/>
      <c r="BI787" s="637"/>
      <c r="BJ787" s="637"/>
      <c r="BK787" s="637"/>
      <c r="BL787" s="637"/>
      <c r="BM787" s="637"/>
      <c r="BN787" s="637"/>
      <c r="BO787" s="637"/>
      <c r="BP787" s="637"/>
      <c r="BQ787" s="637"/>
      <c r="BR787" s="638"/>
      <c r="BS787" s="644">
        <v>0</v>
      </c>
      <c r="BT787" s="645"/>
      <c r="BU787" s="645"/>
      <c r="BV787" s="645"/>
      <c r="BW787" s="645"/>
      <c r="BX787" s="645"/>
      <c r="BY787" s="645"/>
      <c r="BZ787" s="645"/>
      <c r="CA787" s="645"/>
      <c r="CB787" s="645"/>
      <c r="CC787" s="645"/>
      <c r="CD787" s="645"/>
      <c r="CE787" s="645"/>
      <c r="CF787" s="645"/>
      <c r="CG787" s="645"/>
      <c r="CH787" s="646"/>
      <c r="CI787" s="636"/>
      <c r="CJ787" s="654"/>
      <c r="CK787" s="654"/>
      <c r="CL787" s="654"/>
      <c r="CM787" s="654"/>
      <c r="CN787" s="654"/>
      <c r="CO787" s="654"/>
      <c r="CP787" s="654"/>
      <c r="CQ787" s="654"/>
      <c r="CR787" s="654"/>
      <c r="CS787" s="654"/>
      <c r="CT787" s="654"/>
      <c r="CU787" s="654"/>
      <c r="CV787" s="654"/>
      <c r="CW787" s="654"/>
      <c r="CX787" s="654"/>
      <c r="CY787" s="654"/>
      <c r="CZ787" s="655"/>
      <c r="DA787" s="214"/>
    </row>
    <row r="788" spans="1:105" s="16" customFormat="1" ht="15" hidden="1" customHeight="1" x14ac:dyDescent="0.3">
      <c r="A788" s="630"/>
      <c r="B788" s="631"/>
      <c r="C788" s="631"/>
      <c r="D788" s="631"/>
      <c r="E788" s="631"/>
      <c r="F788" s="631"/>
      <c r="G788" s="632"/>
      <c r="H788" s="584" t="s">
        <v>932</v>
      </c>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5"/>
      <c r="AL788" s="585"/>
      <c r="AM788" s="585"/>
      <c r="AN788" s="585"/>
      <c r="AO788" s="585"/>
      <c r="AP788" s="585"/>
      <c r="AQ788" s="585"/>
      <c r="AR788" s="585"/>
      <c r="AS788" s="585"/>
      <c r="AT788" s="586"/>
      <c r="AU788" s="475" t="s">
        <v>690</v>
      </c>
      <c r="AV788" s="476"/>
      <c r="AW788" s="476"/>
      <c r="AX788" s="476"/>
      <c r="AY788" s="476"/>
      <c r="AZ788" s="476"/>
      <c r="BA788" s="476"/>
      <c r="BB788" s="477"/>
      <c r="BC788" s="627">
        <v>0</v>
      </c>
      <c r="BD788" s="628"/>
      <c r="BE788" s="628"/>
      <c r="BF788" s="628"/>
      <c r="BG788" s="628"/>
      <c r="BH788" s="628"/>
      <c r="BI788" s="628"/>
      <c r="BJ788" s="628"/>
      <c r="BK788" s="628"/>
      <c r="BL788" s="628"/>
      <c r="BM788" s="628"/>
      <c r="BN788" s="628"/>
      <c r="BO788" s="628"/>
      <c r="BP788" s="628"/>
      <c r="BQ788" s="628"/>
      <c r="BR788" s="629"/>
      <c r="BS788" s="681" t="e">
        <f t="shared" ref="BS788:BS797" si="14">CI788/BC788</f>
        <v>#DIV/0!</v>
      </c>
      <c r="BT788" s="681"/>
      <c r="BU788" s="681"/>
      <c r="BV788" s="681"/>
      <c r="BW788" s="681"/>
      <c r="BX788" s="681"/>
      <c r="BY788" s="681"/>
      <c r="BZ788" s="681"/>
      <c r="CA788" s="681"/>
      <c r="CB788" s="681"/>
      <c r="CC788" s="681"/>
      <c r="CD788" s="681"/>
      <c r="CE788" s="681"/>
      <c r="CF788" s="681"/>
      <c r="CG788" s="681"/>
      <c r="CH788" s="681"/>
      <c r="CI788" s="627"/>
      <c r="CJ788" s="628"/>
      <c r="CK788" s="628"/>
      <c r="CL788" s="628"/>
      <c r="CM788" s="628"/>
      <c r="CN788" s="628"/>
      <c r="CO788" s="628"/>
      <c r="CP788" s="628"/>
      <c r="CQ788" s="628"/>
      <c r="CR788" s="628"/>
      <c r="CS788" s="628"/>
      <c r="CT788" s="628"/>
      <c r="CU788" s="628"/>
      <c r="CV788" s="628"/>
      <c r="CW788" s="628"/>
      <c r="CX788" s="628"/>
      <c r="CY788" s="628"/>
      <c r="CZ788" s="629"/>
      <c r="DA788" s="214"/>
    </row>
    <row r="789" spans="1:105" s="16" customFormat="1" ht="15" hidden="1" customHeight="1" x14ac:dyDescent="0.3">
      <c r="A789" s="630"/>
      <c r="B789" s="631"/>
      <c r="C789" s="631"/>
      <c r="D789" s="631"/>
      <c r="E789" s="631"/>
      <c r="F789" s="631"/>
      <c r="G789" s="632"/>
      <c r="H789" s="584" t="s">
        <v>933</v>
      </c>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5"/>
      <c r="AL789" s="585"/>
      <c r="AM789" s="585"/>
      <c r="AN789" s="585"/>
      <c r="AO789" s="585"/>
      <c r="AP789" s="585"/>
      <c r="AQ789" s="585"/>
      <c r="AR789" s="585"/>
      <c r="AS789" s="585"/>
      <c r="AT789" s="586"/>
      <c r="AU789" s="475" t="s">
        <v>459</v>
      </c>
      <c r="AV789" s="476"/>
      <c r="AW789" s="476"/>
      <c r="AX789" s="476"/>
      <c r="AY789" s="476"/>
      <c r="AZ789" s="476"/>
      <c r="BA789" s="476"/>
      <c r="BB789" s="477"/>
      <c r="BC789" s="627">
        <v>0</v>
      </c>
      <c r="BD789" s="628"/>
      <c r="BE789" s="628"/>
      <c r="BF789" s="628"/>
      <c r="BG789" s="628"/>
      <c r="BH789" s="628"/>
      <c r="BI789" s="628"/>
      <c r="BJ789" s="628"/>
      <c r="BK789" s="628"/>
      <c r="BL789" s="628"/>
      <c r="BM789" s="628"/>
      <c r="BN789" s="628"/>
      <c r="BO789" s="628"/>
      <c r="BP789" s="628"/>
      <c r="BQ789" s="628"/>
      <c r="BR789" s="629"/>
      <c r="BS789" s="681" t="e">
        <f t="shared" si="14"/>
        <v>#DIV/0!</v>
      </c>
      <c r="BT789" s="681"/>
      <c r="BU789" s="681"/>
      <c r="BV789" s="681"/>
      <c r="BW789" s="681"/>
      <c r="BX789" s="681"/>
      <c r="BY789" s="681"/>
      <c r="BZ789" s="681"/>
      <c r="CA789" s="681"/>
      <c r="CB789" s="681"/>
      <c r="CC789" s="681"/>
      <c r="CD789" s="681"/>
      <c r="CE789" s="681"/>
      <c r="CF789" s="681"/>
      <c r="CG789" s="681"/>
      <c r="CH789" s="681"/>
      <c r="CI789" s="627"/>
      <c r="CJ789" s="628"/>
      <c r="CK789" s="628"/>
      <c r="CL789" s="628"/>
      <c r="CM789" s="628"/>
      <c r="CN789" s="628"/>
      <c r="CO789" s="628"/>
      <c r="CP789" s="628"/>
      <c r="CQ789" s="628"/>
      <c r="CR789" s="628"/>
      <c r="CS789" s="628"/>
      <c r="CT789" s="628"/>
      <c r="CU789" s="628"/>
      <c r="CV789" s="628"/>
      <c r="CW789" s="628"/>
      <c r="CX789" s="628"/>
      <c r="CY789" s="628"/>
      <c r="CZ789" s="629"/>
      <c r="DA789" s="214"/>
    </row>
    <row r="790" spans="1:105" s="16" customFormat="1" ht="15" hidden="1" customHeight="1" x14ac:dyDescent="0.3">
      <c r="A790" s="630"/>
      <c r="B790" s="631"/>
      <c r="C790" s="631"/>
      <c r="D790" s="631"/>
      <c r="E790" s="631"/>
      <c r="F790" s="631"/>
      <c r="G790" s="632"/>
      <c r="H790" s="584" t="s">
        <v>934</v>
      </c>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5"/>
      <c r="AL790" s="585"/>
      <c r="AM790" s="585"/>
      <c r="AN790" s="585"/>
      <c r="AO790" s="585"/>
      <c r="AP790" s="585"/>
      <c r="AQ790" s="585"/>
      <c r="AR790" s="585"/>
      <c r="AS790" s="585"/>
      <c r="AT790" s="586"/>
      <c r="AU790" s="475" t="s">
        <v>690</v>
      </c>
      <c r="AV790" s="476"/>
      <c r="AW790" s="476"/>
      <c r="AX790" s="476"/>
      <c r="AY790" s="476"/>
      <c r="AZ790" s="476"/>
      <c r="BA790" s="476"/>
      <c r="BB790" s="477"/>
      <c r="BC790" s="627">
        <v>0</v>
      </c>
      <c r="BD790" s="628"/>
      <c r="BE790" s="628"/>
      <c r="BF790" s="628"/>
      <c r="BG790" s="628"/>
      <c r="BH790" s="628"/>
      <c r="BI790" s="628"/>
      <c r="BJ790" s="628"/>
      <c r="BK790" s="628"/>
      <c r="BL790" s="628"/>
      <c r="BM790" s="628"/>
      <c r="BN790" s="628"/>
      <c r="BO790" s="628"/>
      <c r="BP790" s="628"/>
      <c r="BQ790" s="628"/>
      <c r="BR790" s="629"/>
      <c r="BS790" s="681" t="e">
        <f t="shared" si="14"/>
        <v>#DIV/0!</v>
      </c>
      <c r="BT790" s="681"/>
      <c r="BU790" s="681"/>
      <c r="BV790" s="681"/>
      <c r="BW790" s="681"/>
      <c r="BX790" s="681"/>
      <c r="BY790" s="681"/>
      <c r="BZ790" s="681"/>
      <c r="CA790" s="681"/>
      <c r="CB790" s="681"/>
      <c r="CC790" s="681"/>
      <c r="CD790" s="681"/>
      <c r="CE790" s="681"/>
      <c r="CF790" s="681"/>
      <c r="CG790" s="681"/>
      <c r="CH790" s="681"/>
      <c r="CI790" s="627"/>
      <c r="CJ790" s="628"/>
      <c r="CK790" s="628"/>
      <c r="CL790" s="628"/>
      <c r="CM790" s="628"/>
      <c r="CN790" s="628"/>
      <c r="CO790" s="628"/>
      <c r="CP790" s="628"/>
      <c r="CQ790" s="628"/>
      <c r="CR790" s="628"/>
      <c r="CS790" s="628"/>
      <c r="CT790" s="628"/>
      <c r="CU790" s="628"/>
      <c r="CV790" s="628"/>
      <c r="CW790" s="628"/>
      <c r="CX790" s="628"/>
      <c r="CY790" s="628"/>
      <c r="CZ790" s="629"/>
      <c r="DA790" s="214"/>
    </row>
    <row r="791" spans="1:105" s="16" customFormat="1" ht="15" hidden="1" customHeight="1" x14ac:dyDescent="0.3">
      <c r="A791" s="630"/>
      <c r="B791" s="631"/>
      <c r="C791" s="631"/>
      <c r="D791" s="631"/>
      <c r="E791" s="631"/>
      <c r="F791" s="631"/>
      <c r="G791" s="632"/>
      <c r="H791" s="584" t="s">
        <v>935</v>
      </c>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5"/>
      <c r="AL791" s="585"/>
      <c r="AM791" s="585"/>
      <c r="AN791" s="585"/>
      <c r="AO791" s="585"/>
      <c r="AP791" s="585"/>
      <c r="AQ791" s="585"/>
      <c r="AR791" s="585"/>
      <c r="AS791" s="585"/>
      <c r="AT791" s="586"/>
      <c r="AU791" s="475" t="s">
        <v>459</v>
      </c>
      <c r="AV791" s="476"/>
      <c r="AW791" s="476"/>
      <c r="AX791" s="476"/>
      <c r="AY791" s="476"/>
      <c r="AZ791" s="476"/>
      <c r="BA791" s="476"/>
      <c r="BB791" s="477"/>
      <c r="BC791" s="627">
        <v>0</v>
      </c>
      <c r="BD791" s="628"/>
      <c r="BE791" s="628"/>
      <c r="BF791" s="628"/>
      <c r="BG791" s="628"/>
      <c r="BH791" s="628"/>
      <c r="BI791" s="628"/>
      <c r="BJ791" s="628"/>
      <c r="BK791" s="628"/>
      <c r="BL791" s="628"/>
      <c r="BM791" s="628"/>
      <c r="BN791" s="628"/>
      <c r="BO791" s="628"/>
      <c r="BP791" s="628"/>
      <c r="BQ791" s="628"/>
      <c r="BR791" s="629"/>
      <c r="BS791" s="681" t="e">
        <f t="shared" si="14"/>
        <v>#DIV/0!</v>
      </c>
      <c r="BT791" s="681"/>
      <c r="BU791" s="681"/>
      <c r="BV791" s="681"/>
      <c r="BW791" s="681"/>
      <c r="BX791" s="681"/>
      <c r="BY791" s="681"/>
      <c r="BZ791" s="681"/>
      <c r="CA791" s="681"/>
      <c r="CB791" s="681"/>
      <c r="CC791" s="681"/>
      <c r="CD791" s="681"/>
      <c r="CE791" s="681"/>
      <c r="CF791" s="681"/>
      <c r="CG791" s="681"/>
      <c r="CH791" s="681"/>
      <c r="CI791" s="627"/>
      <c r="CJ791" s="628"/>
      <c r="CK791" s="628"/>
      <c r="CL791" s="628"/>
      <c r="CM791" s="628"/>
      <c r="CN791" s="628"/>
      <c r="CO791" s="628"/>
      <c r="CP791" s="628"/>
      <c r="CQ791" s="628"/>
      <c r="CR791" s="628"/>
      <c r="CS791" s="628"/>
      <c r="CT791" s="628"/>
      <c r="CU791" s="628"/>
      <c r="CV791" s="628"/>
      <c r="CW791" s="628"/>
      <c r="CX791" s="628"/>
      <c r="CY791" s="628"/>
      <c r="CZ791" s="629"/>
      <c r="DA791" s="214"/>
    </row>
    <row r="792" spans="1:105" s="16" customFormat="1" ht="15" hidden="1" customHeight="1" x14ac:dyDescent="0.3">
      <c r="A792" s="630"/>
      <c r="B792" s="631"/>
      <c r="C792" s="631"/>
      <c r="D792" s="631"/>
      <c r="E792" s="631"/>
      <c r="F792" s="631"/>
      <c r="G792" s="632"/>
      <c r="H792" s="584" t="s">
        <v>936</v>
      </c>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5"/>
      <c r="AL792" s="585"/>
      <c r="AM792" s="585"/>
      <c r="AN792" s="585"/>
      <c r="AO792" s="585"/>
      <c r="AP792" s="585"/>
      <c r="AQ792" s="585"/>
      <c r="AR792" s="585"/>
      <c r="AS792" s="585"/>
      <c r="AT792" s="586"/>
      <c r="AU792" s="475" t="s">
        <v>690</v>
      </c>
      <c r="AV792" s="476"/>
      <c r="AW792" s="476"/>
      <c r="AX792" s="476"/>
      <c r="AY792" s="476"/>
      <c r="AZ792" s="476"/>
      <c r="BA792" s="476"/>
      <c r="BB792" s="477"/>
      <c r="BC792" s="627">
        <v>0</v>
      </c>
      <c r="BD792" s="628"/>
      <c r="BE792" s="628"/>
      <c r="BF792" s="628"/>
      <c r="BG792" s="628"/>
      <c r="BH792" s="628"/>
      <c r="BI792" s="628"/>
      <c r="BJ792" s="628"/>
      <c r="BK792" s="628"/>
      <c r="BL792" s="628"/>
      <c r="BM792" s="628"/>
      <c r="BN792" s="628"/>
      <c r="BO792" s="628"/>
      <c r="BP792" s="628"/>
      <c r="BQ792" s="628"/>
      <c r="BR792" s="629"/>
      <c r="BS792" s="681" t="e">
        <f t="shared" si="14"/>
        <v>#DIV/0!</v>
      </c>
      <c r="BT792" s="681"/>
      <c r="BU792" s="681"/>
      <c r="BV792" s="681"/>
      <c r="BW792" s="681"/>
      <c r="BX792" s="681"/>
      <c r="BY792" s="681"/>
      <c r="BZ792" s="681"/>
      <c r="CA792" s="681"/>
      <c r="CB792" s="681"/>
      <c r="CC792" s="681"/>
      <c r="CD792" s="681"/>
      <c r="CE792" s="681"/>
      <c r="CF792" s="681"/>
      <c r="CG792" s="681"/>
      <c r="CH792" s="681"/>
      <c r="CI792" s="627"/>
      <c r="CJ792" s="628"/>
      <c r="CK792" s="628"/>
      <c r="CL792" s="628"/>
      <c r="CM792" s="628"/>
      <c r="CN792" s="628"/>
      <c r="CO792" s="628"/>
      <c r="CP792" s="628"/>
      <c r="CQ792" s="628"/>
      <c r="CR792" s="628"/>
      <c r="CS792" s="628"/>
      <c r="CT792" s="628"/>
      <c r="CU792" s="628"/>
      <c r="CV792" s="628"/>
      <c r="CW792" s="628"/>
      <c r="CX792" s="628"/>
      <c r="CY792" s="628"/>
      <c r="CZ792" s="629"/>
      <c r="DA792" s="214"/>
    </row>
    <row r="793" spans="1:105" s="16" customFormat="1" ht="15" hidden="1" customHeight="1" x14ac:dyDescent="0.3">
      <c r="A793" s="630"/>
      <c r="B793" s="631"/>
      <c r="C793" s="631"/>
      <c r="D793" s="631"/>
      <c r="E793" s="631"/>
      <c r="F793" s="631"/>
      <c r="G793" s="632"/>
      <c r="H793" s="584" t="s">
        <v>937</v>
      </c>
      <c r="I793" s="585"/>
      <c r="J793" s="585"/>
      <c r="K793" s="585"/>
      <c r="L793" s="585"/>
      <c r="M793" s="585"/>
      <c r="N793" s="585"/>
      <c r="O793" s="585"/>
      <c r="P793" s="585"/>
      <c r="Q793" s="585"/>
      <c r="R793" s="585"/>
      <c r="S793" s="585"/>
      <c r="T793" s="585"/>
      <c r="U793" s="585"/>
      <c r="V793" s="585"/>
      <c r="W793" s="585"/>
      <c r="X793" s="585"/>
      <c r="Y793" s="585"/>
      <c r="Z793" s="585"/>
      <c r="AA793" s="585"/>
      <c r="AB793" s="585"/>
      <c r="AC793" s="585"/>
      <c r="AD793" s="585"/>
      <c r="AE793" s="585"/>
      <c r="AF793" s="585"/>
      <c r="AG793" s="585"/>
      <c r="AH793" s="585"/>
      <c r="AI793" s="585"/>
      <c r="AJ793" s="585"/>
      <c r="AK793" s="585"/>
      <c r="AL793" s="585"/>
      <c r="AM793" s="585"/>
      <c r="AN793" s="585"/>
      <c r="AO793" s="585"/>
      <c r="AP793" s="585"/>
      <c r="AQ793" s="585"/>
      <c r="AR793" s="585"/>
      <c r="AS793" s="585"/>
      <c r="AT793" s="586"/>
      <c r="AU793" s="475" t="s">
        <v>690</v>
      </c>
      <c r="AV793" s="476"/>
      <c r="AW793" s="476"/>
      <c r="AX793" s="476"/>
      <c r="AY793" s="476"/>
      <c r="AZ793" s="476"/>
      <c r="BA793" s="476"/>
      <c r="BB793" s="477"/>
      <c r="BC793" s="627">
        <v>0</v>
      </c>
      <c r="BD793" s="628"/>
      <c r="BE793" s="628"/>
      <c r="BF793" s="628"/>
      <c r="BG793" s="628"/>
      <c r="BH793" s="628"/>
      <c r="BI793" s="628"/>
      <c r="BJ793" s="628"/>
      <c r="BK793" s="628"/>
      <c r="BL793" s="628"/>
      <c r="BM793" s="628"/>
      <c r="BN793" s="628"/>
      <c r="BO793" s="628"/>
      <c r="BP793" s="628"/>
      <c r="BQ793" s="628"/>
      <c r="BR793" s="629"/>
      <c r="BS793" s="681" t="e">
        <f t="shared" si="14"/>
        <v>#DIV/0!</v>
      </c>
      <c r="BT793" s="681"/>
      <c r="BU793" s="681"/>
      <c r="BV793" s="681"/>
      <c r="BW793" s="681"/>
      <c r="BX793" s="681"/>
      <c r="BY793" s="681"/>
      <c r="BZ793" s="681"/>
      <c r="CA793" s="681"/>
      <c r="CB793" s="681"/>
      <c r="CC793" s="681"/>
      <c r="CD793" s="681"/>
      <c r="CE793" s="681"/>
      <c r="CF793" s="681"/>
      <c r="CG793" s="681"/>
      <c r="CH793" s="681"/>
      <c r="CI793" s="627"/>
      <c r="CJ793" s="628"/>
      <c r="CK793" s="628"/>
      <c r="CL793" s="628"/>
      <c r="CM793" s="628"/>
      <c r="CN793" s="628"/>
      <c r="CO793" s="628"/>
      <c r="CP793" s="628"/>
      <c r="CQ793" s="628"/>
      <c r="CR793" s="628"/>
      <c r="CS793" s="628"/>
      <c r="CT793" s="628"/>
      <c r="CU793" s="628"/>
      <c r="CV793" s="628"/>
      <c r="CW793" s="628"/>
      <c r="CX793" s="628"/>
      <c r="CY793" s="628"/>
      <c r="CZ793" s="629"/>
      <c r="DA793" s="214"/>
    </row>
    <row r="794" spans="1:105" s="16" customFormat="1" ht="15" hidden="1" customHeight="1" x14ac:dyDescent="0.3">
      <c r="A794" s="630"/>
      <c r="B794" s="631"/>
      <c r="C794" s="631"/>
      <c r="D794" s="631"/>
      <c r="E794" s="631"/>
      <c r="F794" s="631"/>
      <c r="G794" s="632"/>
      <c r="H794" s="584" t="s">
        <v>930</v>
      </c>
      <c r="I794" s="585"/>
      <c r="J794" s="585"/>
      <c r="K794" s="585"/>
      <c r="L794" s="585"/>
      <c r="M794" s="585"/>
      <c r="N794" s="585"/>
      <c r="O794" s="585"/>
      <c r="P794" s="585"/>
      <c r="Q794" s="585"/>
      <c r="R794" s="585"/>
      <c r="S794" s="585"/>
      <c r="T794" s="585"/>
      <c r="U794" s="585"/>
      <c r="V794" s="585"/>
      <c r="W794" s="585"/>
      <c r="X794" s="585"/>
      <c r="Y794" s="585"/>
      <c r="Z794" s="585"/>
      <c r="AA794" s="585"/>
      <c r="AB794" s="585"/>
      <c r="AC794" s="585"/>
      <c r="AD794" s="585"/>
      <c r="AE794" s="585"/>
      <c r="AF794" s="585"/>
      <c r="AG794" s="585"/>
      <c r="AH794" s="585"/>
      <c r="AI794" s="585"/>
      <c r="AJ794" s="585"/>
      <c r="AK794" s="585"/>
      <c r="AL794" s="585"/>
      <c r="AM794" s="585"/>
      <c r="AN794" s="585"/>
      <c r="AO794" s="585"/>
      <c r="AP794" s="585"/>
      <c r="AQ794" s="585"/>
      <c r="AR794" s="585"/>
      <c r="AS794" s="585"/>
      <c r="AT794" s="586"/>
      <c r="AU794" s="475" t="s">
        <v>690</v>
      </c>
      <c r="AV794" s="476"/>
      <c r="AW794" s="476"/>
      <c r="AX794" s="476"/>
      <c r="AY794" s="476"/>
      <c r="AZ794" s="476"/>
      <c r="BA794" s="476"/>
      <c r="BB794" s="477"/>
      <c r="BC794" s="627">
        <v>0</v>
      </c>
      <c r="BD794" s="628"/>
      <c r="BE794" s="628"/>
      <c r="BF794" s="628"/>
      <c r="BG794" s="628"/>
      <c r="BH794" s="628"/>
      <c r="BI794" s="628"/>
      <c r="BJ794" s="628"/>
      <c r="BK794" s="628"/>
      <c r="BL794" s="628"/>
      <c r="BM794" s="628"/>
      <c r="BN794" s="628"/>
      <c r="BO794" s="628"/>
      <c r="BP794" s="628"/>
      <c r="BQ794" s="628"/>
      <c r="BR794" s="629"/>
      <c r="BS794" s="681" t="e">
        <f t="shared" si="14"/>
        <v>#DIV/0!</v>
      </c>
      <c r="BT794" s="681"/>
      <c r="BU794" s="681"/>
      <c r="BV794" s="681"/>
      <c r="BW794" s="681"/>
      <c r="BX794" s="681"/>
      <c r="BY794" s="681"/>
      <c r="BZ794" s="681"/>
      <c r="CA794" s="681"/>
      <c r="CB794" s="681"/>
      <c r="CC794" s="681"/>
      <c r="CD794" s="681"/>
      <c r="CE794" s="681"/>
      <c r="CF794" s="681"/>
      <c r="CG794" s="681"/>
      <c r="CH794" s="681"/>
      <c r="CI794" s="627"/>
      <c r="CJ794" s="628"/>
      <c r="CK794" s="628"/>
      <c r="CL794" s="628"/>
      <c r="CM794" s="628"/>
      <c r="CN794" s="628"/>
      <c r="CO794" s="628"/>
      <c r="CP794" s="628"/>
      <c r="CQ794" s="628"/>
      <c r="CR794" s="628"/>
      <c r="CS794" s="628"/>
      <c r="CT794" s="628"/>
      <c r="CU794" s="628"/>
      <c r="CV794" s="628"/>
      <c r="CW794" s="628"/>
      <c r="CX794" s="628"/>
      <c r="CY794" s="628"/>
      <c r="CZ794" s="629"/>
      <c r="DA794" s="214"/>
    </row>
    <row r="795" spans="1:105" s="16" customFormat="1" ht="15" hidden="1" customHeight="1" x14ac:dyDescent="0.3">
      <c r="A795" s="630"/>
      <c r="B795" s="631"/>
      <c r="C795" s="631"/>
      <c r="D795" s="631"/>
      <c r="E795" s="631"/>
      <c r="F795" s="631"/>
      <c r="G795" s="632"/>
      <c r="H795" s="584" t="s">
        <v>694</v>
      </c>
      <c r="I795" s="585"/>
      <c r="J795" s="585"/>
      <c r="K795" s="585"/>
      <c r="L795" s="585"/>
      <c r="M795" s="585"/>
      <c r="N795" s="585"/>
      <c r="O795" s="585"/>
      <c r="P795" s="585"/>
      <c r="Q795" s="585"/>
      <c r="R795" s="585"/>
      <c r="S795" s="585"/>
      <c r="T795" s="585"/>
      <c r="U795" s="585"/>
      <c r="V795" s="585"/>
      <c r="W795" s="585"/>
      <c r="X795" s="585"/>
      <c r="Y795" s="585"/>
      <c r="Z795" s="585"/>
      <c r="AA795" s="585"/>
      <c r="AB795" s="585"/>
      <c r="AC795" s="585"/>
      <c r="AD795" s="585"/>
      <c r="AE795" s="585"/>
      <c r="AF795" s="585"/>
      <c r="AG795" s="585"/>
      <c r="AH795" s="585"/>
      <c r="AI795" s="585"/>
      <c r="AJ795" s="585"/>
      <c r="AK795" s="585"/>
      <c r="AL795" s="585"/>
      <c r="AM795" s="585"/>
      <c r="AN795" s="585"/>
      <c r="AO795" s="585"/>
      <c r="AP795" s="585"/>
      <c r="AQ795" s="585"/>
      <c r="AR795" s="585"/>
      <c r="AS795" s="585"/>
      <c r="AT795" s="586"/>
      <c r="AU795" s="475" t="s">
        <v>459</v>
      </c>
      <c r="AV795" s="476"/>
      <c r="AW795" s="476"/>
      <c r="AX795" s="476"/>
      <c r="AY795" s="476"/>
      <c r="AZ795" s="476"/>
      <c r="BA795" s="476"/>
      <c r="BB795" s="477"/>
      <c r="BC795" s="627">
        <v>0</v>
      </c>
      <c r="BD795" s="628"/>
      <c r="BE795" s="628"/>
      <c r="BF795" s="628"/>
      <c r="BG795" s="628"/>
      <c r="BH795" s="628"/>
      <c r="BI795" s="628"/>
      <c r="BJ795" s="628"/>
      <c r="BK795" s="628"/>
      <c r="BL795" s="628"/>
      <c r="BM795" s="628"/>
      <c r="BN795" s="628"/>
      <c r="BO795" s="628"/>
      <c r="BP795" s="628"/>
      <c r="BQ795" s="628"/>
      <c r="BR795" s="629"/>
      <c r="BS795" s="681" t="e">
        <f t="shared" si="14"/>
        <v>#DIV/0!</v>
      </c>
      <c r="BT795" s="681"/>
      <c r="BU795" s="681"/>
      <c r="BV795" s="681"/>
      <c r="BW795" s="681"/>
      <c r="BX795" s="681"/>
      <c r="BY795" s="681"/>
      <c r="BZ795" s="681"/>
      <c r="CA795" s="681"/>
      <c r="CB795" s="681"/>
      <c r="CC795" s="681"/>
      <c r="CD795" s="681"/>
      <c r="CE795" s="681"/>
      <c r="CF795" s="681"/>
      <c r="CG795" s="681"/>
      <c r="CH795" s="681"/>
      <c r="CI795" s="627"/>
      <c r="CJ795" s="628"/>
      <c r="CK795" s="628"/>
      <c r="CL795" s="628"/>
      <c r="CM795" s="628"/>
      <c r="CN795" s="628"/>
      <c r="CO795" s="628"/>
      <c r="CP795" s="628"/>
      <c r="CQ795" s="628"/>
      <c r="CR795" s="628"/>
      <c r="CS795" s="628"/>
      <c r="CT795" s="628"/>
      <c r="CU795" s="628"/>
      <c r="CV795" s="628"/>
      <c r="CW795" s="628"/>
      <c r="CX795" s="628"/>
      <c r="CY795" s="628"/>
      <c r="CZ795" s="629"/>
      <c r="DA795" s="214"/>
    </row>
    <row r="796" spans="1:105" s="16" customFormat="1" ht="15" hidden="1" customHeight="1" x14ac:dyDescent="0.3">
      <c r="A796" s="630"/>
      <c r="B796" s="631"/>
      <c r="C796" s="631"/>
      <c r="D796" s="631"/>
      <c r="E796" s="631"/>
      <c r="F796" s="631"/>
      <c r="G796" s="632"/>
      <c r="H796" s="584" t="s">
        <v>938</v>
      </c>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5"/>
      <c r="AL796" s="585"/>
      <c r="AM796" s="585"/>
      <c r="AN796" s="585"/>
      <c r="AO796" s="585"/>
      <c r="AP796" s="585"/>
      <c r="AQ796" s="585"/>
      <c r="AR796" s="585"/>
      <c r="AS796" s="585"/>
      <c r="AT796" s="586"/>
      <c r="AU796" s="475" t="s">
        <v>459</v>
      </c>
      <c r="AV796" s="476"/>
      <c r="AW796" s="476"/>
      <c r="AX796" s="476"/>
      <c r="AY796" s="476"/>
      <c r="AZ796" s="476"/>
      <c r="BA796" s="476"/>
      <c r="BB796" s="477"/>
      <c r="BC796" s="627">
        <v>0</v>
      </c>
      <c r="BD796" s="628"/>
      <c r="BE796" s="628"/>
      <c r="BF796" s="628"/>
      <c r="BG796" s="628"/>
      <c r="BH796" s="628"/>
      <c r="BI796" s="628"/>
      <c r="BJ796" s="628"/>
      <c r="BK796" s="628"/>
      <c r="BL796" s="628"/>
      <c r="BM796" s="628"/>
      <c r="BN796" s="628"/>
      <c r="BO796" s="628"/>
      <c r="BP796" s="628"/>
      <c r="BQ796" s="628"/>
      <c r="BR796" s="629"/>
      <c r="BS796" s="681" t="e">
        <f t="shared" si="14"/>
        <v>#DIV/0!</v>
      </c>
      <c r="BT796" s="681"/>
      <c r="BU796" s="681"/>
      <c r="BV796" s="681"/>
      <c r="BW796" s="681"/>
      <c r="BX796" s="681"/>
      <c r="BY796" s="681"/>
      <c r="BZ796" s="681"/>
      <c r="CA796" s="681"/>
      <c r="CB796" s="681"/>
      <c r="CC796" s="681"/>
      <c r="CD796" s="681"/>
      <c r="CE796" s="681"/>
      <c r="CF796" s="681"/>
      <c r="CG796" s="681"/>
      <c r="CH796" s="681"/>
      <c r="CI796" s="627"/>
      <c r="CJ796" s="628"/>
      <c r="CK796" s="628"/>
      <c r="CL796" s="628"/>
      <c r="CM796" s="628"/>
      <c r="CN796" s="628"/>
      <c r="CO796" s="628"/>
      <c r="CP796" s="628"/>
      <c r="CQ796" s="628"/>
      <c r="CR796" s="628"/>
      <c r="CS796" s="628"/>
      <c r="CT796" s="628"/>
      <c r="CU796" s="628"/>
      <c r="CV796" s="628"/>
      <c r="CW796" s="628"/>
      <c r="CX796" s="628"/>
      <c r="CY796" s="628"/>
      <c r="CZ796" s="629"/>
      <c r="DA796" s="214"/>
    </row>
    <row r="797" spans="1:105" s="16" customFormat="1" ht="15" hidden="1" customHeight="1" x14ac:dyDescent="0.3">
      <c r="A797" s="630"/>
      <c r="B797" s="631"/>
      <c r="C797" s="631"/>
      <c r="D797" s="631"/>
      <c r="E797" s="631"/>
      <c r="F797" s="631"/>
      <c r="G797" s="632"/>
      <c r="H797" s="584" t="s">
        <v>939</v>
      </c>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5"/>
      <c r="AL797" s="585"/>
      <c r="AM797" s="585"/>
      <c r="AN797" s="585"/>
      <c r="AO797" s="585"/>
      <c r="AP797" s="585"/>
      <c r="AQ797" s="585"/>
      <c r="AR797" s="585"/>
      <c r="AS797" s="585"/>
      <c r="AT797" s="586"/>
      <c r="AU797" s="475" t="s">
        <v>690</v>
      </c>
      <c r="AV797" s="476"/>
      <c r="AW797" s="476"/>
      <c r="AX797" s="476"/>
      <c r="AY797" s="476"/>
      <c r="AZ797" s="476"/>
      <c r="BA797" s="476"/>
      <c r="BB797" s="477"/>
      <c r="BC797" s="627">
        <v>0</v>
      </c>
      <c r="BD797" s="628"/>
      <c r="BE797" s="628"/>
      <c r="BF797" s="628"/>
      <c r="BG797" s="628"/>
      <c r="BH797" s="628"/>
      <c r="BI797" s="628"/>
      <c r="BJ797" s="628"/>
      <c r="BK797" s="628"/>
      <c r="BL797" s="628"/>
      <c r="BM797" s="628"/>
      <c r="BN797" s="628"/>
      <c r="BO797" s="628"/>
      <c r="BP797" s="628"/>
      <c r="BQ797" s="628"/>
      <c r="BR797" s="629"/>
      <c r="BS797" s="681" t="e">
        <f t="shared" si="14"/>
        <v>#DIV/0!</v>
      </c>
      <c r="BT797" s="681"/>
      <c r="BU797" s="681"/>
      <c r="BV797" s="681"/>
      <c r="BW797" s="681"/>
      <c r="BX797" s="681"/>
      <c r="BY797" s="681"/>
      <c r="BZ797" s="681"/>
      <c r="CA797" s="681"/>
      <c r="CB797" s="681"/>
      <c r="CC797" s="681"/>
      <c r="CD797" s="681"/>
      <c r="CE797" s="681"/>
      <c r="CF797" s="681"/>
      <c r="CG797" s="681"/>
      <c r="CH797" s="681"/>
      <c r="CI797" s="627"/>
      <c r="CJ797" s="628"/>
      <c r="CK797" s="628"/>
      <c r="CL797" s="628"/>
      <c r="CM797" s="628"/>
      <c r="CN797" s="628"/>
      <c r="CO797" s="628"/>
      <c r="CP797" s="628"/>
      <c r="CQ797" s="628"/>
      <c r="CR797" s="628"/>
      <c r="CS797" s="628"/>
      <c r="CT797" s="628"/>
      <c r="CU797" s="628"/>
      <c r="CV797" s="628"/>
      <c r="CW797" s="628"/>
      <c r="CX797" s="628"/>
      <c r="CY797" s="628"/>
      <c r="CZ797" s="629"/>
      <c r="DA797" s="214"/>
    </row>
    <row r="798" spans="1:105" s="16" customFormat="1" ht="15" hidden="1" customHeight="1" x14ac:dyDescent="0.3">
      <c r="A798" s="630"/>
      <c r="B798" s="631"/>
      <c r="C798" s="631"/>
      <c r="D798" s="631"/>
      <c r="E798" s="631"/>
      <c r="F798" s="631"/>
      <c r="G798" s="632"/>
      <c r="H798" s="584"/>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5"/>
      <c r="AL798" s="585"/>
      <c r="AM798" s="585"/>
      <c r="AN798" s="585"/>
      <c r="AO798" s="585"/>
      <c r="AP798" s="585"/>
      <c r="AQ798" s="585"/>
      <c r="AR798" s="585"/>
      <c r="AS798" s="585"/>
      <c r="AT798" s="586"/>
      <c r="AU798" s="475"/>
      <c r="AV798" s="476"/>
      <c r="AW798" s="476"/>
      <c r="AX798" s="476"/>
      <c r="AY798" s="476"/>
      <c r="AZ798" s="476"/>
      <c r="BA798" s="476"/>
      <c r="BB798" s="477"/>
      <c r="BC798" s="627">
        <v>0</v>
      </c>
      <c r="BD798" s="628"/>
      <c r="BE798" s="628"/>
      <c r="BF798" s="628"/>
      <c r="BG798" s="628"/>
      <c r="BH798" s="628"/>
      <c r="BI798" s="628"/>
      <c r="BJ798" s="628"/>
      <c r="BK798" s="628"/>
      <c r="BL798" s="628"/>
      <c r="BM798" s="628"/>
      <c r="BN798" s="628"/>
      <c r="BO798" s="628"/>
      <c r="BP798" s="628"/>
      <c r="BQ798" s="628"/>
      <c r="BR798" s="629"/>
      <c r="BS798" s="681"/>
      <c r="BT798" s="681"/>
      <c r="BU798" s="681"/>
      <c r="BV798" s="681"/>
      <c r="BW798" s="681"/>
      <c r="BX798" s="681"/>
      <c r="BY798" s="681"/>
      <c r="BZ798" s="681"/>
      <c r="CA798" s="681"/>
      <c r="CB798" s="681"/>
      <c r="CC798" s="681"/>
      <c r="CD798" s="681"/>
      <c r="CE798" s="681"/>
      <c r="CF798" s="681"/>
      <c r="CG798" s="681"/>
      <c r="CH798" s="681"/>
      <c r="CI798" s="627"/>
      <c r="CJ798" s="628"/>
      <c r="CK798" s="628"/>
      <c r="CL798" s="628"/>
      <c r="CM798" s="628"/>
      <c r="CN798" s="628"/>
      <c r="CO798" s="628"/>
      <c r="CP798" s="628"/>
      <c r="CQ798" s="628"/>
      <c r="CR798" s="628"/>
      <c r="CS798" s="628"/>
      <c r="CT798" s="628"/>
      <c r="CU798" s="628"/>
      <c r="CV798" s="628"/>
      <c r="CW798" s="628"/>
      <c r="CX798" s="628"/>
      <c r="CY798" s="628"/>
      <c r="CZ798" s="629"/>
      <c r="DA798" s="214"/>
    </row>
    <row r="799" spans="1:105" s="16" customFormat="1" ht="15" hidden="1" customHeight="1" x14ac:dyDescent="0.3">
      <c r="A799" s="630"/>
      <c r="B799" s="631"/>
      <c r="C799" s="631"/>
      <c r="D799" s="631"/>
      <c r="E799" s="631"/>
      <c r="F799" s="631"/>
      <c r="G799" s="632"/>
      <c r="H799" s="584"/>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5"/>
      <c r="AL799" s="585"/>
      <c r="AM799" s="585"/>
      <c r="AN799" s="585"/>
      <c r="AO799" s="585"/>
      <c r="AP799" s="585"/>
      <c r="AQ799" s="585"/>
      <c r="AR799" s="585"/>
      <c r="AS799" s="585"/>
      <c r="AT799" s="586"/>
      <c r="AU799" s="475"/>
      <c r="AV799" s="476"/>
      <c r="AW799" s="476"/>
      <c r="AX799" s="476"/>
      <c r="AY799" s="476"/>
      <c r="AZ799" s="476"/>
      <c r="BA799" s="476"/>
      <c r="BB799" s="477"/>
      <c r="BC799" s="627">
        <v>0</v>
      </c>
      <c r="BD799" s="628"/>
      <c r="BE799" s="628"/>
      <c r="BF799" s="628"/>
      <c r="BG799" s="628"/>
      <c r="BH799" s="628"/>
      <c r="BI799" s="628"/>
      <c r="BJ799" s="628"/>
      <c r="BK799" s="628"/>
      <c r="BL799" s="628"/>
      <c r="BM799" s="628"/>
      <c r="BN799" s="628"/>
      <c r="BO799" s="628"/>
      <c r="BP799" s="628"/>
      <c r="BQ799" s="628"/>
      <c r="BR799" s="629"/>
      <c r="BS799" s="681"/>
      <c r="BT799" s="681"/>
      <c r="BU799" s="681"/>
      <c r="BV799" s="681"/>
      <c r="BW799" s="681"/>
      <c r="BX799" s="681"/>
      <c r="BY799" s="681"/>
      <c r="BZ799" s="681"/>
      <c r="CA799" s="681"/>
      <c r="CB799" s="681"/>
      <c r="CC799" s="681"/>
      <c r="CD799" s="681"/>
      <c r="CE799" s="681"/>
      <c r="CF799" s="681"/>
      <c r="CG799" s="681"/>
      <c r="CH799" s="681"/>
      <c r="CI799" s="627"/>
      <c r="CJ799" s="628"/>
      <c r="CK799" s="628"/>
      <c r="CL799" s="628"/>
      <c r="CM799" s="628"/>
      <c r="CN799" s="628"/>
      <c r="CO799" s="628"/>
      <c r="CP799" s="628"/>
      <c r="CQ799" s="628"/>
      <c r="CR799" s="628"/>
      <c r="CS799" s="628"/>
      <c r="CT799" s="628"/>
      <c r="CU799" s="628"/>
      <c r="CV799" s="628"/>
      <c r="CW799" s="628"/>
      <c r="CX799" s="628"/>
      <c r="CY799" s="628"/>
      <c r="CZ799" s="629"/>
      <c r="DA799" s="214"/>
    </row>
    <row r="800" spans="1:105" s="16" customFormat="1" ht="15" hidden="1" customHeight="1" x14ac:dyDescent="0.3">
      <c r="A800" s="630"/>
      <c r="B800" s="631"/>
      <c r="C800" s="631"/>
      <c r="D800" s="631"/>
      <c r="E800" s="631"/>
      <c r="F800" s="631"/>
      <c r="G800" s="632"/>
      <c r="H800" s="584"/>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5"/>
      <c r="AL800" s="585"/>
      <c r="AM800" s="585"/>
      <c r="AN800" s="585"/>
      <c r="AO800" s="585"/>
      <c r="AP800" s="585"/>
      <c r="AQ800" s="585"/>
      <c r="AR800" s="585"/>
      <c r="AS800" s="585"/>
      <c r="AT800" s="586"/>
      <c r="AU800" s="475"/>
      <c r="AV800" s="476"/>
      <c r="AW800" s="476"/>
      <c r="AX800" s="476"/>
      <c r="AY800" s="476"/>
      <c r="AZ800" s="476"/>
      <c r="BA800" s="476"/>
      <c r="BB800" s="477"/>
      <c r="BC800" s="627">
        <v>0</v>
      </c>
      <c r="BD800" s="628"/>
      <c r="BE800" s="628"/>
      <c r="BF800" s="628"/>
      <c r="BG800" s="628"/>
      <c r="BH800" s="628"/>
      <c r="BI800" s="628"/>
      <c r="BJ800" s="628"/>
      <c r="BK800" s="628"/>
      <c r="BL800" s="628"/>
      <c r="BM800" s="628"/>
      <c r="BN800" s="628"/>
      <c r="BO800" s="628"/>
      <c r="BP800" s="628"/>
      <c r="BQ800" s="628"/>
      <c r="BR800" s="629"/>
      <c r="BS800" s="681"/>
      <c r="BT800" s="681"/>
      <c r="BU800" s="681"/>
      <c r="BV800" s="681"/>
      <c r="BW800" s="681"/>
      <c r="BX800" s="681"/>
      <c r="BY800" s="681"/>
      <c r="BZ800" s="681"/>
      <c r="CA800" s="681"/>
      <c r="CB800" s="681"/>
      <c r="CC800" s="681"/>
      <c r="CD800" s="681"/>
      <c r="CE800" s="681"/>
      <c r="CF800" s="681"/>
      <c r="CG800" s="681"/>
      <c r="CH800" s="681"/>
      <c r="CI800" s="627"/>
      <c r="CJ800" s="628"/>
      <c r="CK800" s="628"/>
      <c r="CL800" s="628"/>
      <c r="CM800" s="628"/>
      <c r="CN800" s="628"/>
      <c r="CO800" s="628"/>
      <c r="CP800" s="628"/>
      <c r="CQ800" s="628"/>
      <c r="CR800" s="628"/>
      <c r="CS800" s="628"/>
      <c r="CT800" s="628"/>
      <c r="CU800" s="628"/>
      <c r="CV800" s="628"/>
      <c r="CW800" s="628"/>
      <c r="CX800" s="628"/>
      <c r="CY800" s="628"/>
      <c r="CZ800" s="629"/>
      <c r="DA800" s="214"/>
    </row>
    <row r="801" spans="1:105" s="16" customFormat="1" ht="24" hidden="1" customHeight="1" x14ac:dyDescent="0.3">
      <c r="A801" s="630"/>
      <c r="B801" s="631"/>
      <c r="C801" s="631"/>
      <c r="D801" s="631"/>
      <c r="E801" s="631"/>
      <c r="F801" s="631"/>
      <c r="G801" s="632"/>
      <c r="H801" s="584"/>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5"/>
      <c r="AL801" s="585"/>
      <c r="AM801" s="585"/>
      <c r="AN801" s="585"/>
      <c r="AO801" s="585"/>
      <c r="AP801" s="585"/>
      <c r="AQ801" s="585"/>
      <c r="AR801" s="585"/>
      <c r="AS801" s="585"/>
      <c r="AT801" s="586"/>
      <c r="AU801" s="475"/>
      <c r="AV801" s="476"/>
      <c r="AW801" s="476"/>
      <c r="AX801" s="476"/>
      <c r="AY801" s="476"/>
      <c r="AZ801" s="476"/>
      <c r="BA801" s="476"/>
      <c r="BB801" s="477"/>
      <c r="BC801" s="627">
        <v>0</v>
      </c>
      <c r="BD801" s="628"/>
      <c r="BE801" s="628"/>
      <c r="BF801" s="628"/>
      <c r="BG801" s="628"/>
      <c r="BH801" s="628"/>
      <c r="BI801" s="628"/>
      <c r="BJ801" s="628"/>
      <c r="BK801" s="628"/>
      <c r="BL801" s="628"/>
      <c r="BM801" s="628"/>
      <c r="BN801" s="628"/>
      <c r="BO801" s="628"/>
      <c r="BP801" s="628"/>
      <c r="BQ801" s="628"/>
      <c r="BR801" s="629"/>
      <c r="BS801" s="681"/>
      <c r="BT801" s="681"/>
      <c r="BU801" s="681"/>
      <c r="BV801" s="681"/>
      <c r="BW801" s="681"/>
      <c r="BX801" s="681"/>
      <c r="BY801" s="681"/>
      <c r="BZ801" s="681"/>
      <c r="CA801" s="681"/>
      <c r="CB801" s="681"/>
      <c r="CC801" s="681"/>
      <c r="CD801" s="681"/>
      <c r="CE801" s="681"/>
      <c r="CF801" s="681"/>
      <c r="CG801" s="681"/>
      <c r="CH801" s="681"/>
      <c r="CI801" s="627"/>
      <c r="CJ801" s="628"/>
      <c r="CK801" s="628"/>
      <c r="CL801" s="628"/>
      <c r="CM801" s="628"/>
      <c r="CN801" s="628"/>
      <c r="CO801" s="628"/>
      <c r="CP801" s="628"/>
      <c r="CQ801" s="628"/>
      <c r="CR801" s="628"/>
      <c r="CS801" s="628"/>
      <c r="CT801" s="628"/>
      <c r="CU801" s="628"/>
      <c r="CV801" s="628"/>
      <c r="CW801" s="628"/>
      <c r="CX801" s="628"/>
      <c r="CY801" s="628"/>
      <c r="CZ801" s="629"/>
      <c r="DA801" s="214"/>
    </row>
    <row r="802" spans="1:105" s="16" customFormat="1" ht="15" hidden="1" customHeight="1" x14ac:dyDescent="0.3">
      <c r="A802" s="630"/>
      <c r="B802" s="631"/>
      <c r="C802" s="631"/>
      <c r="D802" s="631"/>
      <c r="E802" s="631"/>
      <c r="F802" s="631"/>
      <c r="G802" s="632"/>
      <c r="H802" s="584"/>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5"/>
      <c r="AL802" s="585"/>
      <c r="AM802" s="585"/>
      <c r="AN802" s="585"/>
      <c r="AO802" s="585"/>
      <c r="AP802" s="585"/>
      <c r="AQ802" s="585"/>
      <c r="AR802" s="585"/>
      <c r="AS802" s="585"/>
      <c r="AT802" s="586"/>
      <c r="AU802" s="475"/>
      <c r="AV802" s="476"/>
      <c r="AW802" s="476"/>
      <c r="AX802" s="476"/>
      <c r="AY802" s="476"/>
      <c r="AZ802" s="476"/>
      <c r="BA802" s="476"/>
      <c r="BB802" s="477"/>
      <c r="BC802" s="627">
        <v>0</v>
      </c>
      <c r="BD802" s="628"/>
      <c r="BE802" s="628"/>
      <c r="BF802" s="628"/>
      <c r="BG802" s="628"/>
      <c r="BH802" s="628"/>
      <c r="BI802" s="628"/>
      <c r="BJ802" s="628"/>
      <c r="BK802" s="628"/>
      <c r="BL802" s="628"/>
      <c r="BM802" s="628"/>
      <c r="BN802" s="628"/>
      <c r="BO802" s="628"/>
      <c r="BP802" s="628"/>
      <c r="BQ802" s="628"/>
      <c r="BR802" s="629"/>
      <c r="BS802" s="681"/>
      <c r="BT802" s="681"/>
      <c r="BU802" s="681"/>
      <c r="BV802" s="681"/>
      <c r="BW802" s="681"/>
      <c r="BX802" s="681"/>
      <c r="BY802" s="681"/>
      <c r="BZ802" s="681"/>
      <c r="CA802" s="681"/>
      <c r="CB802" s="681"/>
      <c r="CC802" s="681"/>
      <c r="CD802" s="681"/>
      <c r="CE802" s="681"/>
      <c r="CF802" s="681"/>
      <c r="CG802" s="681"/>
      <c r="CH802" s="681"/>
      <c r="CI802" s="627"/>
      <c r="CJ802" s="628"/>
      <c r="CK802" s="628"/>
      <c r="CL802" s="628"/>
      <c r="CM802" s="628"/>
      <c r="CN802" s="628"/>
      <c r="CO802" s="628"/>
      <c r="CP802" s="628"/>
      <c r="CQ802" s="628"/>
      <c r="CR802" s="628"/>
      <c r="CS802" s="628"/>
      <c r="CT802" s="628"/>
      <c r="CU802" s="628"/>
      <c r="CV802" s="628"/>
      <c r="CW802" s="628"/>
      <c r="CX802" s="628"/>
      <c r="CY802" s="628"/>
      <c r="CZ802" s="629"/>
      <c r="DA802" s="214"/>
    </row>
    <row r="803" spans="1:105" s="16" customFormat="1" ht="15" hidden="1" customHeight="1" x14ac:dyDescent="0.3">
      <c r="A803" s="630"/>
      <c r="B803" s="631"/>
      <c r="C803" s="631"/>
      <c r="D803" s="631"/>
      <c r="E803" s="631"/>
      <c r="F803" s="631"/>
      <c r="G803" s="632"/>
      <c r="H803" s="584"/>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5"/>
      <c r="AL803" s="585"/>
      <c r="AM803" s="585"/>
      <c r="AN803" s="585"/>
      <c r="AO803" s="585"/>
      <c r="AP803" s="585"/>
      <c r="AQ803" s="585"/>
      <c r="AR803" s="585"/>
      <c r="AS803" s="585"/>
      <c r="AT803" s="586"/>
      <c r="AU803" s="475"/>
      <c r="AV803" s="476"/>
      <c r="AW803" s="476"/>
      <c r="AX803" s="476"/>
      <c r="AY803" s="476"/>
      <c r="AZ803" s="476"/>
      <c r="BA803" s="476"/>
      <c r="BB803" s="477"/>
      <c r="BC803" s="627">
        <v>0</v>
      </c>
      <c r="BD803" s="628"/>
      <c r="BE803" s="628"/>
      <c r="BF803" s="628"/>
      <c r="BG803" s="628"/>
      <c r="BH803" s="628"/>
      <c r="BI803" s="628"/>
      <c r="BJ803" s="628"/>
      <c r="BK803" s="628"/>
      <c r="BL803" s="628"/>
      <c r="BM803" s="628"/>
      <c r="BN803" s="628"/>
      <c r="BO803" s="628"/>
      <c r="BP803" s="628"/>
      <c r="BQ803" s="628"/>
      <c r="BR803" s="629"/>
      <c r="BS803" s="681"/>
      <c r="BT803" s="681"/>
      <c r="BU803" s="681"/>
      <c r="BV803" s="681"/>
      <c r="BW803" s="681"/>
      <c r="BX803" s="681"/>
      <c r="BY803" s="681"/>
      <c r="BZ803" s="681"/>
      <c r="CA803" s="681"/>
      <c r="CB803" s="681"/>
      <c r="CC803" s="681"/>
      <c r="CD803" s="681"/>
      <c r="CE803" s="681"/>
      <c r="CF803" s="681"/>
      <c r="CG803" s="681"/>
      <c r="CH803" s="681"/>
      <c r="CI803" s="627"/>
      <c r="CJ803" s="628"/>
      <c r="CK803" s="628"/>
      <c r="CL803" s="628"/>
      <c r="CM803" s="628"/>
      <c r="CN803" s="628"/>
      <c r="CO803" s="628"/>
      <c r="CP803" s="628"/>
      <c r="CQ803" s="628"/>
      <c r="CR803" s="628"/>
      <c r="CS803" s="628"/>
      <c r="CT803" s="628"/>
      <c r="CU803" s="628"/>
      <c r="CV803" s="628"/>
      <c r="CW803" s="628"/>
      <c r="CX803" s="628"/>
      <c r="CY803" s="628"/>
      <c r="CZ803" s="629"/>
      <c r="DA803" s="214"/>
    </row>
    <row r="804" spans="1:105" s="16" customFormat="1" ht="15" hidden="1" customHeight="1" x14ac:dyDescent="0.3">
      <c r="A804" s="630"/>
      <c r="B804" s="631"/>
      <c r="C804" s="631"/>
      <c r="D804" s="631"/>
      <c r="E804" s="631"/>
      <c r="F804" s="631"/>
      <c r="G804" s="632"/>
      <c r="H804" s="651"/>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c r="AI804" s="652"/>
      <c r="AJ804" s="652"/>
      <c r="AK804" s="652"/>
      <c r="AL804" s="652"/>
      <c r="AM804" s="652"/>
      <c r="AN804" s="652"/>
      <c r="AO804" s="652"/>
      <c r="AP804" s="652"/>
      <c r="AQ804" s="652"/>
      <c r="AR804" s="652"/>
      <c r="AS804" s="652"/>
      <c r="AT804" s="653"/>
      <c r="AU804" s="541"/>
      <c r="AV804" s="542"/>
      <c r="AW804" s="542"/>
      <c r="AX804" s="542"/>
      <c r="AY804" s="542"/>
      <c r="AZ804" s="542"/>
      <c r="BA804" s="542"/>
      <c r="BB804" s="543"/>
      <c r="BC804" s="647"/>
      <c r="BD804" s="637"/>
      <c r="BE804" s="637"/>
      <c r="BF804" s="637"/>
      <c r="BG804" s="637"/>
      <c r="BH804" s="637"/>
      <c r="BI804" s="637"/>
      <c r="BJ804" s="637"/>
      <c r="BK804" s="637"/>
      <c r="BL804" s="637"/>
      <c r="BM804" s="637"/>
      <c r="BN804" s="637"/>
      <c r="BO804" s="637"/>
      <c r="BP804" s="637"/>
      <c r="BQ804" s="637"/>
      <c r="BR804" s="638"/>
      <c r="BS804" s="644"/>
      <c r="BT804" s="645"/>
      <c r="BU804" s="645"/>
      <c r="BV804" s="645"/>
      <c r="BW804" s="645"/>
      <c r="BX804" s="645"/>
      <c r="BY804" s="645"/>
      <c r="BZ804" s="645"/>
      <c r="CA804" s="645"/>
      <c r="CB804" s="645"/>
      <c r="CC804" s="645"/>
      <c r="CD804" s="645"/>
      <c r="CE804" s="645"/>
      <c r="CF804" s="645"/>
      <c r="CG804" s="645"/>
      <c r="CH804" s="646"/>
      <c r="CI804" s="636"/>
      <c r="CJ804" s="654"/>
      <c r="CK804" s="654"/>
      <c r="CL804" s="654"/>
      <c r="CM804" s="654"/>
      <c r="CN804" s="654"/>
      <c r="CO804" s="654"/>
      <c r="CP804" s="654"/>
      <c r="CQ804" s="654"/>
      <c r="CR804" s="654"/>
      <c r="CS804" s="654"/>
      <c r="CT804" s="654"/>
      <c r="CU804" s="654"/>
      <c r="CV804" s="654"/>
      <c r="CW804" s="654"/>
      <c r="CX804" s="654"/>
      <c r="CY804" s="654"/>
      <c r="CZ804" s="655"/>
      <c r="DA804" s="214"/>
    </row>
    <row r="805" spans="1:105" s="16" customFormat="1" ht="15" customHeight="1" x14ac:dyDescent="0.3">
      <c r="A805" s="630"/>
      <c r="B805" s="631"/>
      <c r="C805" s="631"/>
      <c r="D805" s="631"/>
      <c r="E805" s="631"/>
      <c r="F805" s="631"/>
      <c r="G805" s="632"/>
      <c r="H805" s="651" t="s">
        <v>710</v>
      </c>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c r="AI805" s="652"/>
      <c r="AJ805" s="652"/>
      <c r="AK805" s="652"/>
      <c r="AL805" s="652"/>
      <c r="AM805" s="652"/>
      <c r="AN805" s="652"/>
      <c r="AO805" s="652"/>
      <c r="AP805" s="652"/>
      <c r="AQ805" s="652"/>
      <c r="AR805" s="652"/>
      <c r="AS805" s="652"/>
      <c r="AT805" s="653"/>
      <c r="AU805" s="541" t="s">
        <v>697</v>
      </c>
      <c r="AV805" s="542"/>
      <c r="AW805" s="542"/>
      <c r="AX805" s="542"/>
      <c r="AY805" s="542"/>
      <c r="AZ805" s="542"/>
      <c r="BA805" s="542"/>
      <c r="BB805" s="543"/>
      <c r="BC805" s="678">
        <v>350</v>
      </c>
      <c r="BD805" s="679"/>
      <c r="BE805" s="679"/>
      <c r="BF805" s="679"/>
      <c r="BG805" s="679"/>
      <c r="BH805" s="679"/>
      <c r="BI805" s="679"/>
      <c r="BJ805" s="679"/>
      <c r="BK805" s="679"/>
      <c r="BL805" s="679"/>
      <c r="BM805" s="679"/>
      <c r="BN805" s="679"/>
      <c r="BO805" s="679"/>
      <c r="BP805" s="679"/>
      <c r="BQ805" s="679"/>
      <c r="BR805" s="680"/>
      <c r="BS805" s="644">
        <f>CI805/BC805</f>
        <v>0</v>
      </c>
      <c r="BT805" s="645"/>
      <c r="BU805" s="645"/>
      <c r="BV805" s="645"/>
      <c r="BW805" s="645"/>
      <c r="BX805" s="645"/>
      <c r="BY805" s="645"/>
      <c r="BZ805" s="645"/>
      <c r="CA805" s="645"/>
      <c r="CB805" s="645"/>
      <c r="CC805" s="645"/>
      <c r="CD805" s="645"/>
      <c r="CE805" s="645"/>
      <c r="CF805" s="645"/>
      <c r="CG805" s="645"/>
      <c r="CH805" s="646"/>
      <c r="CI805" s="636"/>
      <c r="CJ805" s="654"/>
      <c r="CK805" s="654"/>
      <c r="CL805" s="654"/>
      <c r="CM805" s="654"/>
      <c r="CN805" s="654"/>
      <c r="CO805" s="654"/>
      <c r="CP805" s="654"/>
      <c r="CQ805" s="654"/>
      <c r="CR805" s="654"/>
      <c r="CS805" s="654"/>
      <c r="CT805" s="654"/>
      <c r="CU805" s="654"/>
      <c r="CV805" s="654"/>
      <c r="CW805" s="654"/>
      <c r="CX805" s="654"/>
      <c r="CY805" s="654"/>
      <c r="CZ805" s="655"/>
      <c r="DA805" s="214"/>
    </row>
    <row r="806" spans="1:105" s="16" customFormat="1" ht="15" customHeight="1" x14ac:dyDescent="0.3">
      <c r="A806" s="630"/>
      <c r="B806" s="631"/>
      <c r="C806" s="631"/>
      <c r="D806" s="631"/>
      <c r="E806" s="631"/>
      <c r="F806" s="631"/>
      <c r="G806" s="632"/>
      <c r="H806" s="651"/>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52"/>
      <c r="AL806" s="652"/>
      <c r="AM806" s="652"/>
      <c r="AN806" s="652"/>
      <c r="AO806" s="652"/>
      <c r="AP806" s="652"/>
      <c r="AQ806" s="652"/>
      <c r="AR806" s="652"/>
      <c r="AS806" s="652"/>
      <c r="AT806" s="653"/>
      <c r="AU806" s="475"/>
      <c r="AV806" s="476"/>
      <c r="AW806" s="476"/>
      <c r="AX806" s="476"/>
      <c r="AY806" s="476"/>
      <c r="AZ806" s="476"/>
      <c r="BA806" s="476"/>
      <c r="BB806" s="477"/>
      <c r="BC806" s="544"/>
      <c r="BD806" s="545"/>
      <c r="BE806" s="545"/>
      <c r="BF806" s="545"/>
      <c r="BG806" s="545"/>
      <c r="BH806" s="545"/>
      <c r="BI806" s="545"/>
      <c r="BJ806" s="545"/>
      <c r="BK806" s="545"/>
      <c r="BL806" s="545"/>
      <c r="BM806" s="545"/>
      <c r="BN806" s="545"/>
      <c r="BO806" s="545"/>
      <c r="BP806" s="545"/>
      <c r="BQ806" s="545"/>
      <c r="BR806" s="546"/>
      <c r="BS806" s="639"/>
      <c r="BT806" s="640"/>
      <c r="BU806" s="640"/>
      <c r="BV806" s="640"/>
      <c r="BW806" s="640"/>
      <c r="BX806" s="640"/>
      <c r="BY806" s="640"/>
      <c r="BZ806" s="640"/>
      <c r="CA806" s="640"/>
      <c r="CB806" s="640"/>
      <c r="CC806" s="640"/>
      <c r="CD806" s="640"/>
      <c r="CE806" s="640"/>
      <c r="CF806" s="640"/>
      <c r="CG806" s="640"/>
      <c r="CH806" s="641"/>
      <c r="CI806" s="627"/>
      <c r="CJ806" s="628"/>
      <c r="CK806" s="628"/>
      <c r="CL806" s="628"/>
      <c r="CM806" s="628"/>
      <c r="CN806" s="628"/>
      <c r="CO806" s="628"/>
      <c r="CP806" s="628"/>
      <c r="CQ806" s="628"/>
      <c r="CR806" s="628"/>
      <c r="CS806" s="628"/>
      <c r="CT806" s="628"/>
      <c r="CU806" s="628"/>
      <c r="CV806" s="628"/>
      <c r="CW806" s="628"/>
      <c r="CX806" s="628"/>
      <c r="CY806" s="628"/>
      <c r="CZ806" s="629"/>
      <c r="DA806" s="214"/>
    </row>
    <row r="807" spans="1:105" s="16" customFormat="1" ht="28.5" customHeight="1" x14ac:dyDescent="0.3">
      <c r="A807" s="630"/>
      <c r="B807" s="631"/>
      <c r="C807" s="631"/>
      <c r="D807" s="631"/>
      <c r="E807" s="631"/>
      <c r="F807" s="631"/>
      <c r="G807" s="632"/>
      <c r="H807" s="584" t="s">
        <v>798</v>
      </c>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5"/>
      <c r="AL807" s="585"/>
      <c r="AM807" s="585"/>
      <c r="AN807" s="585"/>
      <c r="AO807" s="585"/>
      <c r="AP807" s="585"/>
      <c r="AQ807" s="585"/>
      <c r="AR807" s="585"/>
      <c r="AS807" s="585"/>
      <c r="AT807" s="586"/>
      <c r="AU807" s="475"/>
      <c r="AV807" s="476"/>
      <c r="AW807" s="476"/>
      <c r="AX807" s="476"/>
      <c r="AY807" s="476"/>
      <c r="AZ807" s="476"/>
      <c r="BA807" s="476"/>
      <c r="BB807" s="477"/>
      <c r="BC807" s="647">
        <f>SUM(BC808:BQ820)</f>
        <v>1253</v>
      </c>
      <c r="BD807" s="637"/>
      <c r="BE807" s="637"/>
      <c r="BF807" s="637"/>
      <c r="BG807" s="637"/>
      <c r="BH807" s="637"/>
      <c r="BI807" s="637"/>
      <c r="BJ807" s="637"/>
      <c r="BK807" s="637"/>
      <c r="BL807" s="637"/>
      <c r="BM807" s="637"/>
      <c r="BN807" s="637"/>
      <c r="BO807" s="637"/>
      <c r="BP807" s="637"/>
      <c r="BQ807" s="637"/>
      <c r="BR807" s="638"/>
      <c r="BS807" s="644">
        <f>CI807/BC807</f>
        <v>50.694333599361535</v>
      </c>
      <c r="BT807" s="645"/>
      <c r="BU807" s="645"/>
      <c r="BV807" s="645"/>
      <c r="BW807" s="645"/>
      <c r="BX807" s="645"/>
      <c r="BY807" s="645"/>
      <c r="BZ807" s="645"/>
      <c r="CA807" s="645"/>
      <c r="CB807" s="645"/>
      <c r="CC807" s="645"/>
      <c r="CD807" s="645"/>
      <c r="CE807" s="645"/>
      <c r="CF807" s="645"/>
      <c r="CG807" s="645"/>
      <c r="CH807" s="646"/>
      <c r="CI807" s="636">
        <f>CI808+CI809+CI810+CI811+CI812+CI813+CI814+CI815+CI816+CI817+CI818+CI819+CI820+CI821+CI822+CI823+CI824+CI825+CI826+CI827+CI828</f>
        <v>63520</v>
      </c>
      <c r="CJ807" s="654"/>
      <c r="CK807" s="654"/>
      <c r="CL807" s="654"/>
      <c r="CM807" s="654"/>
      <c r="CN807" s="654"/>
      <c r="CO807" s="654"/>
      <c r="CP807" s="654"/>
      <c r="CQ807" s="654"/>
      <c r="CR807" s="654"/>
      <c r="CS807" s="654"/>
      <c r="CT807" s="654"/>
      <c r="CU807" s="654"/>
      <c r="CV807" s="654"/>
      <c r="CW807" s="654"/>
      <c r="CX807" s="654"/>
      <c r="CY807" s="654"/>
      <c r="CZ807" s="655"/>
      <c r="DA807" s="214"/>
    </row>
    <row r="808" spans="1:105" s="16" customFormat="1" ht="15" hidden="1" customHeight="1" x14ac:dyDescent="0.3">
      <c r="A808" s="630" t="s">
        <v>441</v>
      </c>
      <c r="B808" s="631"/>
      <c r="C808" s="631"/>
      <c r="D808" s="631"/>
      <c r="E808" s="631"/>
      <c r="F808" s="631"/>
      <c r="G808" s="632"/>
      <c r="H808" s="584" t="s">
        <v>982</v>
      </c>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5"/>
      <c r="AL808" s="585"/>
      <c r="AM808" s="585"/>
      <c r="AN808" s="585"/>
      <c r="AO808" s="585"/>
      <c r="AP808" s="585"/>
      <c r="AQ808" s="585"/>
      <c r="AR808" s="585"/>
      <c r="AS808" s="585"/>
      <c r="AT808" s="586"/>
      <c r="AU808" s="475" t="s">
        <v>690</v>
      </c>
      <c r="AV808" s="476"/>
      <c r="AW808" s="476"/>
      <c r="AX808" s="476"/>
      <c r="AY808" s="476"/>
      <c r="AZ808" s="476"/>
      <c r="BA808" s="476"/>
      <c r="BB808" s="477"/>
      <c r="BC808" s="544">
        <v>29</v>
      </c>
      <c r="BD808" s="545"/>
      <c r="BE808" s="545"/>
      <c r="BF808" s="545"/>
      <c r="BG808" s="545"/>
      <c r="BH808" s="545"/>
      <c r="BI808" s="545"/>
      <c r="BJ808" s="545"/>
      <c r="BK808" s="545"/>
      <c r="BL808" s="545"/>
      <c r="BM808" s="545"/>
      <c r="BN808" s="545"/>
      <c r="BO808" s="545"/>
      <c r="BP808" s="545"/>
      <c r="BQ808" s="545"/>
      <c r="BR808" s="546"/>
      <c r="BS808" s="639">
        <f>CI808/BC808</f>
        <v>0</v>
      </c>
      <c r="BT808" s="640"/>
      <c r="BU808" s="640"/>
      <c r="BV808" s="640"/>
      <c r="BW808" s="640"/>
      <c r="BX808" s="640"/>
      <c r="BY808" s="640"/>
      <c r="BZ808" s="640"/>
      <c r="CA808" s="640"/>
      <c r="CB808" s="640"/>
      <c r="CC808" s="640"/>
      <c r="CD808" s="640"/>
      <c r="CE808" s="640"/>
      <c r="CF808" s="640"/>
      <c r="CG808" s="640"/>
      <c r="CH808" s="641"/>
      <c r="CI808" s="627"/>
      <c r="CJ808" s="628"/>
      <c r="CK808" s="628"/>
      <c r="CL808" s="628"/>
      <c r="CM808" s="628"/>
      <c r="CN808" s="628"/>
      <c r="CO808" s="628"/>
      <c r="CP808" s="628"/>
      <c r="CQ808" s="628"/>
      <c r="CR808" s="628"/>
      <c r="CS808" s="628"/>
      <c r="CT808" s="628"/>
      <c r="CU808" s="628"/>
      <c r="CV808" s="628"/>
      <c r="CW808" s="628"/>
      <c r="CX808" s="628"/>
      <c r="CY808" s="628"/>
      <c r="CZ808" s="629"/>
      <c r="DA808" s="214"/>
    </row>
    <row r="809" spans="1:105" s="16" customFormat="1" ht="15" hidden="1" customHeight="1" x14ac:dyDescent="0.3">
      <c r="A809" s="630" t="s">
        <v>444</v>
      </c>
      <c r="B809" s="631"/>
      <c r="C809" s="631"/>
      <c r="D809" s="631"/>
      <c r="E809" s="631"/>
      <c r="F809" s="631"/>
      <c r="G809" s="632"/>
      <c r="H809" s="584" t="s">
        <v>979</v>
      </c>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5"/>
      <c r="AL809" s="585"/>
      <c r="AM809" s="585"/>
      <c r="AN809" s="585"/>
      <c r="AO809" s="585"/>
      <c r="AP809" s="585"/>
      <c r="AQ809" s="585"/>
      <c r="AR809" s="585"/>
      <c r="AS809" s="585"/>
      <c r="AT809" s="586"/>
      <c r="AU809" s="475" t="s">
        <v>690</v>
      </c>
      <c r="AV809" s="476"/>
      <c r="AW809" s="476"/>
      <c r="AX809" s="476"/>
      <c r="AY809" s="476"/>
      <c r="AZ809" s="476"/>
      <c r="BA809" s="476"/>
      <c r="BB809" s="477"/>
      <c r="BC809" s="544">
        <v>133</v>
      </c>
      <c r="BD809" s="545"/>
      <c r="BE809" s="545"/>
      <c r="BF809" s="545"/>
      <c r="BG809" s="545"/>
      <c r="BH809" s="545"/>
      <c r="BI809" s="545"/>
      <c r="BJ809" s="545"/>
      <c r="BK809" s="545"/>
      <c r="BL809" s="545"/>
      <c r="BM809" s="545"/>
      <c r="BN809" s="545"/>
      <c r="BO809" s="545"/>
      <c r="BP809" s="545"/>
      <c r="BQ809" s="545"/>
      <c r="BR809" s="546"/>
      <c r="BS809" s="639">
        <f t="shared" ref="BS809:BS823" si="15">CI809/BC809</f>
        <v>0</v>
      </c>
      <c r="BT809" s="640"/>
      <c r="BU809" s="640"/>
      <c r="BV809" s="640"/>
      <c r="BW809" s="640"/>
      <c r="BX809" s="640"/>
      <c r="BY809" s="640"/>
      <c r="BZ809" s="640"/>
      <c r="CA809" s="640"/>
      <c r="CB809" s="640"/>
      <c r="CC809" s="640"/>
      <c r="CD809" s="640"/>
      <c r="CE809" s="640"/>
      <c r="CF809" s="640"/>
      <c r="CG809" s="640"/>
      <c r="CH809" s="641"/>
      <c r="CI809" s="627"/>
      <c r="CJ809" s="628"/>
      <c r="CK809" s="628"/>
      <c r="CL809" s="628"/>
      <c r="CM809" s="628"/>
      <c r="CN809" s="628"/>
      <c r="CO809" s="628"/>
      <c r="CP809" s="628"/>
      <c r="CQ809" s="628"/>
      <c r="CR809" s="628"/>
      <c r="CS809" s="628"/>
      <c r="CT809" s="628"/>
      <c r="CU809" s="628"/>
      <c r="CV809" s="628"/>
      <c r="CW809" s="628"/>
      <c r="CX809" s="628"/>
      <c r="CY809" s="628"/>
      <c r="CZ809" s="629"/>
      <c r="DA809" s="214"/>
    </row>
    <row r="810" spans="1:105" s="16" customFormat="1" ht="15" hidden="1" customHeight="1" x14ac:dyDescent="0.3">
      <c r="A810" s="630" t="s">
        <v>446</v>
      </c>
      <c r="B810" s="631"/>
      <c r="C810" s="631"/>
      <c r="D810" s="631"/>
      <c r="E810" s="631"/>
      <c r="F810" s="631"/>
      <c r="G810" s="632"/>
      <c r="H810" s="584" t="s">
        <v>983</v>
      </c>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5"/>
      <c r="AL810" s="585"/>
      <c r="AM810" s="585"/>
      <c r="AN810" s="585"/>
      <c r="AO810" s="585"/>
      <c r="AP810" s="585"/>
      <c r="AQ810" s="585"/>
      <c r="AR810" s="585"/>
      <c r="AS810" s="585"/>
      <c r="AT810" s="586"/>
      <c r="AU810" s="475" t="s">
        <v>690</v>
      </c>
      <c r="AV810" s="476"/>
      <c r="AW810" s="476"/>
      <c r="AX810" s="476"/>
      <c r="AY810" s="476"/>
      <c r="AZ810" s="476"/>
      <c r="BA810" s="476"/>
      <c r="BB810" s="477"/>
      <c r="BC810" s="544">
        <v>484</v>
      </c>
      <c r="BD810" s="545"/>
      <c r="BE810" s="545"/>
      <c r="BF810" s="545"/>
      <c r="BG810" s="545"/>
      <c r="BH810" s="545"/>
      <c r="BI810" s="545"/>
      <c r="BJ810" s="545"/>
      <c r="BK810" s="545"/>
      <c r="BL810" s="545"/>
      <c r="BM810" s="545"/>
      <c r="BN810" s="545"/>
      <c r="BO810" s="545"/>
      <c r="BP810" s="545"/>
      <c r="BQ810" s="545"/>
      <c r="BR810" s="546"/>
      <c r="BS810" s="639">
        <f t="shared" si="15"/>
        <v>0</v>
      </c>
      <c r="BT810" s="640"/>
      <c r="BU810" s="640"/>
      <c r="BV810" s="640"/>
      <c r="BW810" s="640"/>
      <c r="BX810" s="640"/>
      <c r="BY810" s="640"/>
      <c r="BZ810" s="640"/>
      <c r="CA810" s="640"/>
      <c r="CB810" s="640"/>
      <c r="CC810" s="640"/>
      <c r="CD810" s="640"/>
      <c r="CE810" s="640"/>
      <c r="CF810" s="640"/>
      <c r="CG810" s="640"/>
      <c r="CH810" s="641"/>
      <c r="CI810" s="627"/>
      <c r="CJ810" s="628"/>
      <c r="CK810" s="628"/>
      <c r="CL810" s="628"/>
      <c r="CM810" s="628"/>
      <c r="CN810" s="628"/>
      <c r="CO810" s="628"/>
      <c r="CP810" s="628"/>
      <c r="CQ810" s="628"/>
      <c r="CR810" s="628"/>
      <c r="CS810" s="628"/>
      <c r="CT810" s="628"/>
      <c r="CU810" s="628"/>
      <c r="CV810" s="628"/>
      <c r="CW810" s="628"/>
      <c r="CX810" s="628"/>
      <c r="CY810" s="628"/>
      <c r="CZ810" s="629"/>
      <c r="DA810" s="214"/>
    </row>
    <row r="811" spans="1:105" s="16" customFormat="1" ht="15" customHeight="1" x14ac:dyDescent="0.3">
      <c r="A811" s="630" t="s">
        <v>551</v>
      </c>
      <c r="B811" s="631"/>
      <c r="C811" s="631"/>
      <c r="D811" s="631"/>
      <c r="E811" s="631"/>
      <c r="F811" s="631"/>
      <c r="G811" s="632"/>
      <c r="H811" s="584" t="s">
        <v>716</v>
      </c>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5"/>
      <c r="AL811" s="585"/>
      <c r="AM811" s="585"/>
      <c r="AN811" s="585"/>
      <c r="AO811" s="585"/>
      <c r="AP811" s="585"/>
      <c r="AQ811" s="585"/>
      <c r="AR811" s="585"/>
      <c r="AS811" s="585"/>
      <c r="AT811" s="586"/>
      <c r="AU811" s="475" t="s">
        <v>690</v>
      </c>
      <c r="AV811" s="476"/>
      <c r="AW811" s="476"/>
      <c r="AX811" s="476"/>
      <c r="AY811" s="476"/>
      <c r="AZ811" s="476"/>
      <c r="BA811" s="476"/>
      <c r="BB811" s="477"/>
      <c r="BC811" s="544">
        <v>24</v>
      </c>
      <c r="BD811" s="545"/>
      <c r="BE811" s="545"/>
      <c r="BF811" s="545"/>
      <c r="BG811" s="545"/>
      <c r="BH811" s="545"/>
      <c r="BI811" s="545"/>
      <c r="BJ811" s="545"/>
      <c r="BK811" s="545"/>
      <c r="BL811" s="545"/>
      <c r="BM811" s="545"/>
      <c r="BN811" s="545"/>
      <c r="BO811" s="545"/>
      <c r="BP811" s="545"/>
      <c r="BQ811" s="545"/>
      <c r="BR811" s="546"/>
      <c r="BS811" s="639">
        <f t="shared" si="15"/>
        <v>341.66666666666669</v>
      </c>
      <c r="BT811" s="640"/>
      <c r="BU811" s="640"/>
      <c r="BV811" s="640"/>
      <c r="BW811" s="640"/>
      <c r="BX811" s="640"/>
      <c r="BY811" s="640"/>
      <c r="BZ811" s="640"/>
      <c r="CA811" s="640"/>
      <c r="CB811" s="640"/>
      <c r="CC811" s="640"/>
      <c r="CD811" s="640"/>
      <c r="CE811" s="640"/>
      <c r="CF811" s="640"/>
      <c r="CG811" s="640"/>
      <c r="CH811" s="641"/>
      <c r="CI811" s="627">
        <v>8200</v>
      </c>
      <c r="CJ811" s="628"/>
      <c r="CK811" s="628"/>
      <c r="CL811" s="628"/>
      <c r="CM811" s="628"/>
      <c r="CN811" s="628"/>
      <c r="CO811" s="628"/>
      <c r="CP811" s="628"/>
      <c r="CQ811" s="628"/>
      <c r="CR811" s="628"/>
      <c r="CS811" s="628"/>
      <c r="CT811" s="628"/>
      <c r="CU811" s="628"/>
      <c r="CV811" s="628"/>
      <c r="CW811" s="628"/>
      <c r="CX811" s="628"/>
      <c r="CY811" s="628"/>
      <c r="CZ811" s="629"/>
      <c r="DA811" s="214"/>
    </row>
    <row r="812" spans="1:105" s="16" customFormat="1" ht="15" customHeight="1" x14ac:dyDescent="0.3">
      <c r="A812" s="630" t="s">
        <v>599</v>
      </c>
      <c r="B812" s="631"/>
      <c r="C812" s="631"/>
      <c r="D812" s="631"/>
      <c r="E812" s="631"/>
      <c r="F812" s="631"/>
      <c r="G812" s="632"/>
      <c r="H812" s="584" t="s">
        <v>984</v>
      </c>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5"/>
      <c r="AL812" s="585"/>
      <c r="AM812" s="585"/>
      <c r="AN812" s="585"/>
      <c r="AO812" s="585"/>
      <c r="AP812" s="585"/>
      <c r="AQ812" s="585"/>
      <c r="AR812" s="585"/>
      <c r="AS812" s="585"/>
      <c r="AT812" s="586"/>
      <c r="AU812" s="475" t="s">
        <v>690</v>
      </c>
      <c r="AV812" s="476"/>
      <c r="AW812" s="476"/>
      <c r="AX812" s="476"/>
      <c r="AY812" s="476"/>
      <c r="AZ812" s="476"/>
      <c r="BA812" s="476"/>
      <c r="BB812" s="477"/>
      <c r="BC812" s="544">
        <v>65</v>
      </c>
      <c r="BD812" s="545"/>
      <c r="BE812" s="545"/>
      <c r="BF812" s="545"/>
      <c r="BG812" s="545"/>
      <c r="BH812" s="545"/>
      <c r="BI812" s="545"/>
      <c r="BJ812" s="545"/>
      <c r="BK812" s="545"/>
      <c r="BL812" s="545"/>
      <c r="BM812" s="545"/>
      <c r="BN812" s="545"/>
      <c r="BO812" s="545"/>
      <c r="BP812" s="545"/>
      <c r="BQ812" s="545"/>
      <c r="BR812" s="546"/>
      <c r="BS812" s="639">
        <f t="shared" si="15"/>
        <v>63.07692307692308</v>
      </c>
      <c r="BT812" s="640"/>
      <c r="BU812" s="640"/>
      <c r="BV812" s="640"/>
      <c r="BW812" s="640"/>
      <c r="BX812" s="640"/>
      <c r="BY812" s="640"/>
      <c r="BZ812" s="640"/>
      <c r="CA812" s="640"/>
      <c r="CB812" s="640"/>
      <c r="CC812" s="640"/>
      <c r="CD812" s="640"/>
      <c r="CE812" s="640"/>
      <c r="CF812" s="640"/>
      <c r="CG812" s="640"/>
      <c r="CH812" s="641"/>
      <c r="CI812" s="627">
        <v>4100</v>
      </c>
      <c r="CJ812" s="628"/>
      <c r="CK812" s="628"/>
      <c r="CL812" s="628"/>
      <c r="CM812" s="628"/>
      <c r="CN812" s="628"/>
      <c r="CO812" s="628"/>
      <c r="CP812" s="628"/>
      <c r="CQ812" s="628"/>
      <c r="CR812" s="628"/>
      <c r="CS812" s="628"/>
      <c r="CT812" s="628"/>
      <c r="CU812" s="628"/>
      <c r="CV812" s="628"/>
      <c r="CW812" s="628"/>
      <c r="CX812" s="628"/>
      <c r="CY812" s="628"/>
      <c r="CZ812" s="629"/>
      <c r="DA812" s="214"/>
    </row>
    <row r="813" spans="1:105" s="16" customFormat="1" ht="15" customHeight="1" x14ac:dyDescent="0.3">
      <c r="A813" s="630" t="s">
        <v>642</v>
      </c>
      <c r="B813" s="631"/>
      <c r="C813" s="631"/>
      <c r="D813" s="631"/>
      <c r="E813" s="631"/>
      <c r="F813" s="631"/>
      <c r="G813" s="632"/>
      <c r="H813" s="584" t="s">
        <v>991</v>
      </c>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5"/>
      <c r="AL813" s="585"/>
      <c r="AM813" s="585"/>
      <c r="AN813" s="585"/>
      <c r="AO813" s="585"/>
      <c r="AP813" s="585"/>
      <c r="AQ813" s="585"/>
      <c r="AR813" s="585"/>
      <c r="AS813" s="585"/>
      <c r="AT813" s="586"/>
      <c r="AU813" s="475" t="s">
        <v>690</v>
      </c>
      <c r="AV813" s="476"/>
      <c r="AW813" s="476"/>
      <c r="AX813" s="476"/>
      <c r="AY813" s="476"/>
      <c r="AZ813" s="476"/>
      <c r="BA813" s="476"/>
      <c r="BB813" s="477"/>
      <c r="BC813" s="544">
        <v>93</v>
      </c>
      <c r="BD813" s="545"/>
      <c r="BE813" s="545"/>
      <c r="BF813" s="545"/>
      <c r="BG813" s="545"/>
      <c r="BH813" s="545"/>
      <c r="BI813" s="545"/>
      <c r="BJ813" s="545"/>
      <c r="BK813" s="545"/>
      <c r="BL813" s="545"/>
      <c r="BM813" s="545"/>
      <c r="BN813" s="545"/>
      <c r="BO813" s="545"/>
      <c r="BP813" s="545"/>
      <c r="BQ813" s="545"/>
      <c r="BR813" s="546"/>
      <c r="BS813" s="639">
        <f t="shared" si="15"/>
        <v>24.193548387096776</v>
      </c>
      <c r="BT813" s="640"/>
      <c r="BU813" s="640"/>
      <c r="BV813" s="640"/>
      <c r="BW813" s="640"/>
      <c r="BX813" s="640"/>
      <c r="BY813" s="640"/>
      <c r="BZ813" s="640"/>
      <c r="CA813" s="640"/>
      <c r="CB813" s="640"/>
      <c r="CC813" s="640"/>
      <c r="CD813" s="640"/>
      <c r="CE813" s="640"/>
      <c r="CF813" s="640"/>
      <c r="CG813" s="640"/>
      <c r="CH813" s="641"/>
      <c r="CI813" s="627">
        <v>2250</v>
      </c>
      <c r="CJ813" s="628"/>
      <c r="CK813" s="628"/>
      <c r="CL813" s="628"/>
      <c r="CM813" s="628"/>
      <c r="CN813" s="628"/>
      <c r="CO813" s="628"/>
      <c r="CP813" s="628"/>
      <c r="CQ813" s="628"/>
      <c r="CR813" s="628"/>
      <c r="CS813" s="628"/>
      <c r="CT813" s="628"/>
      <c r="CU813" s="628"/>
      <c r="CV813" s="628"/>
      <c r="CW813" s="628"/>
      <c r="CX813" s="628"/>
      <c r="CY813" s="628"/>
      <c r="CZ813" s="629"/>
      <c r="DA813" s="214"/>
    </row>
    <row r="814" spans="1:105" s="16" customFormat="1" ht="15" customHeight="1" x14ac:dyDescent="0.3">
      <c r="A814" s="630" t="s">
        <v>648</v>
      </c>
      <c r="B814" s="631"/>
      <c r="C814" s="631"/>
      <c r="D814" s="631"/>
      <c r="E814" s="631"/>
      <c r="F814" s="631"/>
      <c r="G814" s="632"/>
      <c r="H814" s="584" t="s">
        <v>985</v>
      </c>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5"/>
      <c r="AL814" s="585"/>
      <c r="AM814" s="585"/>
      <c r="AN814" s="585"/>
      <c r="AO814" s="585"/>
      <c r="AP814" s="585"/>
      <c r="AQ814" s="585"/>
      <c r="AR814" s="585"/>
      <c r="AS814" s="585"/>
      <c r="AT814" s="586"/>
      <c r="AU814" s="475" t="s">
        <v>690</v>
      </c>
      <c r="AV814" s="476"/>
      <c r="AW814" s="476"/>
      <c r="AX814" s="476"/>
      <c r="AY814" s="476"/>
      <c r="AZ814" s="476"/>
      <c r="BA814" s="476"/>
      <c r="BB814" s="477"/>
      <c r="BC814" s="544">
        <v>164</v>
      </c>
      <c r="BD814" s="545"/>
      <c r="BE814" s="545"/>
      <c r="BF814" s="545"/>
      <c r="BG814" s="545"/>
      <c r="BH814" s="545"/>
      <c r="BI814" s="545"/>
      <c r="BJ814" s="545"/>
      <c r="BK814" s="545"/>
      <c r="BL814" s="545"/>
      <c r="BM814" s="545"/>
      <c r="BN814" s="545"/>
      <c r="BO814" s="545"/>
      <c r="BP814" s="545"/>
      <c r="BQ814" s="545"/>
      <c r="BR814" s="546"/>
      <c r="BS814" s="639">
        <f t="shared" si="15"/>
        <v>0.97560975609756095</v>
      </c>
      <c r="BT814" s="640"/>
      <c r="BU814" s="640"/>
      <c r="BV814" s="640"/>
      <c r="BW814" s="640"/>
      <c r="BX814" s="640"/>
      <c r="BY814" s="640"/>
      <c r="BZ814" s="640"/>
      <c r="CA814" s="640"/>
      <c r="CB814" s="640"/>
      <c r="CC814" s="640"/>
      <c r="CD814" s="640"/>
      <c r="CE814" s="640"/>
      <c r="CF814" s="640"/>
      <c r="CG814" s="640"/>
      <c r="CH814" s="641"/>
      <c r="CI814" s="627">
        <v>160</v>
      </c>
      <c r="CJ814" s="628"/>
      <c r="CK814" s="628"/>
      <c r="CL814" s="628"/>
      <c r="CM814" s="628"/>
      <c r="CN814" s="628"/>
      <c r="CO814" s="628"/>
      <c r="CP814" s="628"/>
      <c r="CQ814" s="628"/>
      <c r="CR814" s="628"/>
      <c r="CS814" s="628"/>
      <c r="CT814" s="628"/>
      <c r="CU814" s="628"/>
      <c r="CV814" s="628"/>
      <c r="CW814" s="628"/>
      <c r="CX814" s="628"/>
      <c r="CY814" s="628"/>
      <c r="CZ814" s="629"/>
      <c r="DA814" s="214"/>
    </row>
    <row r="815" spans="1:105" s="16" customFormat="1" ht="15" customHeight="1" x14ac:dyDescent="0.3">
      <c r="A815" s="630" t="s">
        <v>650</v>
      </c>
      <c r="B815" s="631"/>
      <c r="C815" s="631"/>
      <c r="D815" s="631"/>
      <c r="E815" s="631"/>
      <c r="F815" s="631"/>
      <c r="G815" s="632"/>
      <c r="H815" s="584" t="s">
        <v>986</v>
      </c>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5"/>
      <c r="AL815" s="585"/>
      <c r="AM815" s="585"/>
      <c r="AN815" s="585"/>
      <c r="AO815" s="585"/>
      <c r="AP815" s="585"/>
      <c r="AQ815" s="585"/>
      <c r="AR815" s="585"/>
      <c r="AS815" s="585"/>
      <c r="AT815" s="586"/>
      <c r="AU815" s="475" t="s">
        <v>690</v>
      </c>
      <c r="AV815" s="476"/>
      <c r="AW815" s="476"/>
      <c r="AX815" s="476"/>
      <c r="AY815" s="476"/>
      <c r="AZ815" s="476"/>
      <c r="BA815" s="476"/>
      <c r="BB815" s="477"/>
      <c r="BC815" s="544">
        <v>173</v>
      </c>
      <c r="BD815" s="545"/>
      <c r="BE815" s="545"/>
      <c r="BF815" s="545"/>
      <c r="BG815" s="545"/>
      <c r="BH815" s="545"/>
      <c r="BI815" s="545"/>
      <c r="BJ815" s="545"/>
      <c r="BK815" s="545"/>
      <c r="BL815" s="545"/>
      <c r="BM815" s="545"/>
      <c r="BN815" s="545"/>
      <c r="BO815" s="545"/>
      <c r="BP815" s="545"/>
      <c r="BQ815" s="545"/>
      <c r="BR815" s="546"/>
      <c r="BS815" s="639">
        <f t="shared" si="15"/>
        <v>10.751445086705202</v>
      </c>
      <c r="BT815" s="640"/>
      <c r="BU815" s="640"/>
      <c r="BV815" s="640"/>
      <c r="BW815" s="640"/>
      <c r="BX815" s="640"/>
      <c r="BY815" s="640"/>
      <c r="BZ815" s="640"/>
      <c r="CA815" s="640"/>
      <c r="CB815" s="640"/>
      <c r="CC815" s="640"/>
      <c r="CD815" s="640"/>
      <c r="CE815" s="640"/>
      <c r="CF815" s="640"/>
      <c r="CG815" s="640"/>
      <c r="CH815" s="641"/>
      <c r="CI815" s="627">
        <v>1860</v>
      </c>
      <c r="CJ815" s="628"/>
      <c r="CK815" s="628"/>
      <c r="CL815" s="628"/>
      <c r="CM815" s="628"/>
      <c r="CN815" s="628"/>
      <c r="CO815" s="628"/>
      <c r="CP815" s="628"/>
      <c r="CQ815" s="628"/>
      <c r="CR815" s="628"/>
      <c r="CS815" s="628"/>
      <c r="CT815" s="628"/>
      <c r="CU815" s="628"/>
      <c r="CV815" s="628"/>
      <c r="CW815" s="628"/>
      <c r="CX815" s="628"/>
      <c r="CY815" s="628"/>
      <c r="CZ815" s="629"/>
      <c r="DA815" s="214"/>
    </row>
    <row r="816" spans="1:105" s="16" customFormat="1" ht="15" customHeight="1" x14ac:dyDescent="0.3">
      <c r="A816" s="630" t="s">
        <v>651</v>
      </c>
      <c r="B816" s="631"/>
      <c r="C816" s="631"/>
      <c r="D816" s="631"/>
      <c r="E816" s="631"/>
      <c r="F816" s="631"/>
      <c r="G816" s="632"/>
      <c r="H816" s="584" t="s">
        <v>976</v>
      </c>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5"/>
      <c r="AL816" s="585"/>
      <c r="AM816" s="585"/>
      <c r="AN816" s="585"/>
      <c r="AO816" s="585"/>
      <c r="AP816" s="585"/>
      <c r="AQ816" s="585"/>
      <c r="AR816" s="585"/>
      <c r="AS816" s="585"/>
      <c r="AT816" s="586"/>
      <c r="AU816" s="475" t="s">
        <v>690</v>
      </c>
      <c r="AV816" s="476"/>
      <c r="AW816" s="476"/>
      <c r="AX816" s="476"/>
      <c r="AY816" s="476"/>
      <c r="AZ816" s="476"/>
      <c r="BA816" s="476"/>
      <c r="BB816" s="477"/>
      <c r="BC816" s="544">
        <v>27</v>
      </c>
      <c r="BD816" s="545"/>
      <c r="BE816" s="545"/>
      <c r="BF816" s="545"/>
      <c r="BG816" s="545"/>
      <c r="BH816" s="545"/>
      <c r="BI816" s="545"/>
      <c r="BJ816" s="545"/>
      <c r="BK816" s="545"/>
      <c r="BL816" s="545"/>
      <c r="BM816" s="545"/>
      <c r="BN816" s="545"/>
      <c r="BO816" s="545"/>
      <c r="BP816" s="545"/>
      <c r="BQ816" s="545"/>
      <c r="BR816" s="546"/>
      <c r="BS816" s="639">
        <f t="shared" si="15"/>
        <v>187.03703703703704</v>
      </c>
      <c r="BT816" s="640"/>
      <c r="BU816" s="640"/>
      <c r="BV816" s="640"/>
      <c r="BW816" s="640"/>
      <c r="BX816" s="640"/>
      <c r="BY816" s="640"/>
      <c r="BZ816" s="640"/>
      <c r="CA816" s="640"/>
      <c r="CB816" s="640"/>
      <c r="CC816" s="640"/>
      <c r="CD816" s="640"/>
      <c r="CE816" s="640"/>
      <c r="CF816" s="640"/>
      <c r="CG816" s="640"/>
      <c r="CH816" s="641"/>
      <c r="CI816" s="627">
        <v>5050</v>
      </c>
      <c r="CJ816" s="628"/>
      <c r="CK816" s="628"/>
      <c r="CL816" s="628"/>
      <c r="CM816" s="628"/>
      <c r="CN816" s="628"/>
      <c r="CO816" s="628"/>
      <c r="CP816" s="628"/>
      <c r="CQ816" s="628"/>
      <c r="CR816" s="628"/>
      <c r="CS816" s="628"/>
      <c r="CT816" s="628"/>
      <c r="CU816" s="628"/>
      <c r="CV816" s="628"/>
      <c r="CW816" s="628"/>
      <c r="CX816" s="628"/>
      <c r="CY816" s="628"/>
      <c r="CZ816" s="629"/>
      <c r="DA816" s="214"/>
    </row>
    <row r="817" spans="1:105" s="16" customFormat="1" ht="15" customHeight="1" x14ac:dyDescent="0.3">
      <c r="A817" s="630" t="s">
        <v>653</v>
      </c>
      <c r="B817" s="631"/>
      <c r="C817" s="631"/>
      <c r="D817" s="631"/>
      <c r="E817" s="631"/>
      <c r="F817" s="631"/>
      <c r="G817" s="632"/>
      <c r="H817" s="584" t="s">
        <v>987</v>
      </c>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5"/>
      <c r="AL817" s="585"/>
      <c r="AM817" s="585"/>
      <c r="AN817" s="585"/>
      <c r="AO817" s="585"/>
      <c r="AP817" s="585"/>
      <c r="AQ817" s="585"/>
      <c r="AR817" s="585"/>
      <c r="AS817" s="585"/>
      <c r="AT817" s="586"/>
      <c r="AU817" s="475" t="s">
        <v>690</v>
      </c>
      <c r="AV817" s="476"/>
      <c r="AW817" s="476"/>
      <c r="AX817" s="476"/>
      <c r="AY817" s="476"/>
      <c r="AZ817" s="476"/>
      <c r="BA817" s="476"/>
      <c r="BB817" s="477"/>
      <c r="BC817" s="544">
        <v>11</v>
      </c>
      <c r="BD817" s="545"/>
      <c r="BE817" s="545"/>
      <c r="BF817" s="545"/>
      <c r="BG817" s="545"/>
      <c r="BH817" s="545"/>
      <c r="BI817" s="545"/>
      <c r="BJ817" s="545"/>
      <c r="BK817" s="545"/>
      <c r="BL817" s="545"/>
      <c r="BM817" s="545"/>
      <c r="BN817" s="545"/>
      <c r="BO817" s="545"/>
      <c r="BP817" s="545"/>
      <c r="BQ817" s="545"/>
      <c r="BR817" s="546"/>
      <c r="BS817" s="639">
        <f t="shared" si="15"/>
        <v>509.09090909090907</v>
      </c>
      <c r="BT817" s="640"/>
      <c r="BU817" s="640"/>
      <c r="BV817" s="640"/>
      <c r="BW817" s="640"/>
      <c r="BX817" s="640"/>
      <c r="BY817" s="640"/>
      <c r="BZ817" s="640"/>
      <c r="CA817" s="640"/>
      <c r="CB817" s="640"/>
      <c r="CC817" s="640"/>
      <c r="CD817" s="640"/>
      <c r="CE817" s="640"/>
      <c r="CF817" s="640"/>
      <c r="CG817" s="640"/>
      <c r="CH817" s="641"/>
      <c r="CI817" s="627">
        <v>5600</v>
      </c>
      <c r="CJ817" s="628"/>
      <c r="CK817" s="628"/>
      <c r="CL817" s="628"/>
      <c r="CM817" s="628"/>
      <c r="CN817" s="628"/>
      <c r="CO817" s="628"/>
      <c r="CP817" s="628"/>
      <c r="CQ817" s="628"/>
      <c r="CR817" s="628"/>
      <c r="CS817" s="628"/>
      <c r="CT817" s="628"/>
      <c r="CU817" s="628"/>
      <c r="CV817" s="628"/>
      <c r="CW817" s="628"/>
      <c r="CX817" s="628"/>
      <c r="CY817" s="628"/>
      <c r="CZ817" s="629"/>
      <c r="DA817" s="214"/>
    </row>
    <row r="818" spans="1:105" s="16" customFormat="1" ht="15" customHeight="1" x14ac:dyDescent="0.3">
      <c r="A818" s="630" t="s">
        <v>654</v>
      </c>
      <c r="B818" s="631"/>
      <c r="C818" s="631"/>
      <c r="D818" s="631"/>
      <c r="E818" s="631"/>
      <c r="F818" s="631"/>
      <c r="G818" s="632"/>
      <c r="H818" s="584" t="s">
        <v>714</v>
      </c>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5"/>
      <c r="AL818" s="585"/>
      <c r="AM818" s="585"/>
      <c r="AN818" s="585"/>
      <c r="AO818" s="585"/>
      <c r="AP818" s="585"/>
      <c r="AQ818" s="585"/>
      <c r="AR818" s="585"/>
      <c r="AS818" s="585"/>
      <c r="AT818" s="586"/>
      <c r="AU818" s="475" t="s">
        <v>690</v>
      </c>
      <c r="AV818" s="476"/>
      <c r="AW818" s="476"/>
      <c r="AX818" s="476"/>
      <c r="AY818" s="476"/>
      <c r="AZ818" s="476"/>
      <c r="BA818" s="476"/>
      <c r="BB818" s="477"/>
      <c r="BC818" s="544">
        <v>15</v>
      </c>
      <c r="BD818" s="545"/>
      <c r="BE818" s="545"/>
      <c r="BF818" s="545"/>
      <c r="BG818" s="545"/>
      <c r="BH818" s="545"/>
      <c r="BI818" s="545"/>
      <c r="BJ818" s="545"/>
      <c r="BK818" s="545"/>
      <c r="BL818" s="545"/>
      <c r="BM818" s="545"/>
      <c r="BN818" s="545"/>
      <c r="BO818" s="545"/>
      <c r="BP818" s="545"/>
      <c r="BQ818" s="545"/>
      <c r="BR818" s="546"/>
      <c r="BS818" s="639">
        <f t="shared" si="15"/>
        <v>366.66666666666669</v>
      </c>
      <c r="BT818" s="640"/>
      <c r="BU818" s="640"/>
      <c r="BV818" s="640"/>
      <c r="BW818" s="640"/>
      <c r="BX818" s="640"/>
      <c r="BY818" s="640"/>
      <c r="BZ818" s="640"/>
      <c r="CA818" s="640"/>
      <c r="CB818" s="640"/>
      <c r="CC818" s="640"/>
      <c r="CD818" s="640"/>
      <c r="CE818" s="640"/>
      <c r="CF818" s="640"/>
      <c r="CG818" s="640"/>
      <c r="CH818" s="641"/>
      <c r="CI818" s="627">
        <v>5500</v>
      </c>
      <c r="CJ818" s="628"/>
      <c r="CK818" s="628"/>
      <c r="CL818" s="628"/>
      <c r="CM818" s="628"/>
      <c r="CN818" s="628"/>
      <c r="CO818" s="628"/>
      <c r="CP818" s="628"/>
      <c r="CQ818" s="628"/>
      <c r="CR818" s="628"/>
      <c r="CS818" s="628"/>
      <c r="CT818" s="628"/>
      <c r="CU818" s="628"/>
      <c r="CV818" s="628"/>
      <c r="CW818" s="628"/>
      <c r="CX818" s="628"/>
      <c r="CY818" s="628"/>
      <c r="CZ818" s="629"/>
      <c r="DA818" s="214"/>
    </row>
    <row r="819" spans="1:105" s="16" customFormat="1" ht="22.5" customHeight="1" x14ac:dyDescent="0.3">
      <c r="A819" s="630" t="s">
        <v>655</v>
      </c>
      <c r="B819" s="631"/>
      <c r="C819" s="631"/>
      <c r="D819" s="631"/>
      <c r="E819" s="631"/>
      <c r="F819" s="631"/>
      <c r="G819" s="632"/>
      <c r="H819" s="584" t="s">
        <v>919</v>
      </c>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5"/>
      <c r="AL819" s="585"/>
      <c r="AM819" s="585"/>
      <c r="AN819" s="585"/>
      <c r="AO819" s="585"/>
      <c r="AP819" s="585"/>
      <c r="AQ819" s="585"/>
      <c r="AR819" s="585"/>
      <c r="AS819" s="585"/>
      <c r="AT819" s="586"/>
      <c r="AU819" s="475" t="s">
        <v>690</v>
      </c>
      <c r="AV819" s="476"/>
      <c r="AW819" s="476"/>
      <c r="AX819" s="476"/>
      <c r="AY819" s="476"/>
      <c r="AZ819" s="476"/>
      <c r="BA819" s="476"/>
      <c r="BB819" s="477"/>
      <c r="BC819" s="544">
        <v>31</v>
      </c>
      <c r="BD819" s="545"/>
      <c r="BE819" s="545"/>
      <c r="BF819" s="545"/>
      <c r="BG819" s="545"/>
      <c r="BH819" s="545"/>
      <c r="BI819" s="545"/>
      <c r="BJ819" s="545"/>
      <c r="BK819" s="545"/>
      <c r="BL819" s="545"/>
      <c r="BM819" s="545"/>
      <c r="BN819" s="545"/>
      <c r="BO819" s="545"/>
      <c r="BP819" s="545"/>
      <c r="BQ819" s="545"/>
      <c r="BR819" s="546"/>
      <c r="BS819" s="639">
        <f t="shared" si="15"/>
        <v>241.93548387096774</v>
      </c>
      <c r="BT819" s="640"/>
      <c r="BU819" s="640"/>
      <c r="BV819" s="640"/>
      <c r="BW819" s="640"/>
      <c r="BX819" s="640"/>
      <c r="BY819" s="640"/>
      <c r="BZ819" s="640"/>
      <c r="CA819" s="640"/>
      <c r="CB819" s="640"/>
      <c r="CC819" s="640"/>
      <c r="CD819" s="640"/>
      <c r="CE819" s="640"/>
      <c r="CF819" s="640"/>
      <c r="CG819" s="640"/>
      <c r="CH819" s="641"/>
      <c r="CI819" s="627">
        <v>7500</v>
      </c>
      <c r="CJ819" s="628"/>
      <c r="CK819" s="628"/>
      <c r="CL819" s="628"/>
      <c r="CM819" s="628"/>
      <c r="CN819" s="628"/>
      <c r="CO819" s="628"/>
      <c r="CP819" s="628"/>
      <c r="CQ819" s="628"/>
      <c r="CR819" s="628"/>
      <c r="CS819" s="628"/>
      <c r="CT819" s="628"/>
      <c r="CU819" s="628"/>
      <c r="CV819" s="628"/>
      <c r="CW819" s="628"/>
      <c r="CX819" s="628"/>
      <c r="CY819" s="628"/>
      <c r="CZ819" s="629"/>
      <c r="DA819" s="214"/>
    </row>
    <row r="820" spans="1:105" s="16" customFormat="1" ht="15" customHeight="1" x14ac:dyDescent="0.3">
      <c r="A820" s="630" t="s">
        <v>656</v>
      </c>
      <c r="B820" s="631"/>
      <c r="C820" s="631"/>
      <c r="D820" s="631"/>
      <c r="E820" s="631"/>
      <c r="F820" s="631"/>
      <c r="G820" s="632"/>
      <c r="H820" s="584" t="s">
        <v>988</v>
      </c>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5"/>
      <c r="AL820" s="585"/>
      <c r="AM820" s="585"/>
      <c r="AN820" s="585"/>
      <c r="AO820" s="585"/>
      <c r="AP820" s="585"/>
      <c r="AQ820" s="585"/>
      <c r="AR820" s="585"/>
      <c r="AS820" s="585"/>
      <c r="AT820" s="586"/>
      <c r="AU820" s="475" t="s">
        <v>690</v>
      </c>
      <c r="AV820" s="476"/>
      <c r="AW820" s="476"/>
      <c r="AX820" s="476"/>
      <c r="AY820" s="476"/>
      <c r="AZ820" s="476"/>
      <c r="BA820" s="476"/>
      <c r="BB820" s="477"/>
      <c r="BC820" s="544">
        <v>4</v>
      </c>
      <c r="BD820" s="545"/>
      <c r="BE820" s="545"/>
      <c r="BF820" s="545"/>
      <c r="BG820" s="545"/>
      <c r="BH820" s="545"/>
      <c r="BI820" s="545"/>
      <c r="BJ820" s="545"/>
      <c r="BK820" s="545"/>
      <c r="BL820" s="545"/>
      <c r="BM820" s="545"/>
      <c r="BN820" s="545"/>
      <c r="BO820" s="545"/>
      <c r="BP820" s="545"/>
      <c r="BQ820" s="545"/>
      <c r="BR820" s="546"/>
      <c r="BS820" s="639">
        <f t="shared" si="15"/>
        <v>1500</v>
      </c>
      <c r="BT820" s="640"/>
      <c r="BU820" s="640"/>
      <c r="BV820" s="640"/>
      <c r="BW820" s="640"/>
      <c r="BX820" s="640"/>
      <c r="BY820" s="640"/>
      <c r="BZ820" s="640"/>
      <c r="CA820" s="640"/>
      <c r="CB820" s="640"/>
      <c r="CC820" s="640"/>
      <c r="CD820" s="640"/>
      <c r="CE820" s="640"/>
      <c r="CF820" s="640"/>
      <c r="CG820" s="640"/>
      <c r="CH820" s="641"/>
      <c r="CI820" s="627">
        <v>6000</v>
      </c>
      <c r="CJ820" s="628"/>
      <c r="CK820" s="628"/>
      <c r="CL820" s="628"/>
      <c r="CM820" s="628"/>
      <c r="CN820" s="628"/>
      <c r="CO820" s="628"/>
      <c r="CP820" s="628"/>
      <c r="CQ820" s="628"/>
      <c r="CR820" s="628"/>
      <c r="CS820" s="628"/>
      <c r="CT820" s="628"/>
      <c r="CU820" s="628"/>
      <c r="CV820" s="628"/>
      <c r="CW820" s="628"/>
      <c r="CX820" s="628"/>
      <c r="CY820" s="628"/>
      <c r="CZ820" s="629"/>
      <c r="DA820" s="214"/>
    </row>
    <row r="821" spans="1:105" s="16" customFormat="1" ht="24" customHeight="1" x14ac:dyDescent="0.3">
      <c r="A821" s="630" t="s">
        <v>657</v>
      </c>
      <c r="B821" s="631"/>
      <c r="C821" s="631"/>
      <c r="D821" s="631"/>
      <c r="E821" s="631"/>
      <c r="F821" s="631"/>
      <c r="G821" s="632"/>
      <c r="H821" s="584" t="s">
        <v>989</v>
      </c>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5"/>
      <c r="AL821" s="585"/>
      <c r="AM821" s="585"/>
      <c r="AN821" s="585"/>
      <c r="AO821" s="585"/>
      <c r="AP821" s="585"/>
      <c r="AQ821" s="585"/>
      <c r="AR821" s="585"/>
      <c r="AS821" s="585"/>
      <c r="AT821" s="586"/>
      <c r="AU821" s="475" t="s">
        <v>690</v>
      </c>
      <c r="AV821" s="476"/>
      <c r="AW821" s="476"/>
      <c r="AX821" s="476"/>
      <c r="AY821" s="476"/>
      <c r="AZ821" s="476"/>
      <c r="BA821" s="476"/>
      <c r="BB821" s="477"/>
      <c r="BC821" s="544">
        <v>26</v>
      </c>
      <c r="BD821" s="545"/>
      <c r="BE821" s="545"/>
      <c r="BF821" s="545"/>
      <c r="BG821" s="545"/>
      <c r="BH821" s="545"/>
      <c r="BI821" s="545"/>
      <c r="BJ821" s="545"/>
      <c r="BK821" s="545"/>
      <c r="BL821" s="545"/>
      <c r="BM821" s="545"/>
      <c r="BN821" s="545"/>
      <c r="BO821" s="545"/>
      <c r="BP821" s="545"/>
      <c r="BQ821" s="545"/>
      <c r="BR821" s="546"/>
      <c r="BS821" s="639">
        <f t="shared" si="15"/>
        <v>415.38461538461536</v>
      </c>
      <c r="BT821" s="640"/>
      <c r="BU821" s="640"/>
      <c r="BV821" s="640"/>
      <c r="BW821" s="640"/>
      <c r="BX821" s="640"/>
      <c r="BY821" s="640"/>
      <c r="BZ821" s="640"/>
      <c r="CA821" s="640"/>
      <c r="CB821" s="640"/>
      <c r="CC821" s="640"/>
      <c r="CD821" s="640"/>
      <c r="CE821" s="640"/>
      <c r="CF821" s="640"/>
      <c r="CG821" s="640"/>
      <c r="CH821" s="641"/>
      <c r="CI821" s="627">
        <v>10800</v>
      </c>
      <c r="CJ821" s="628"/>
      <c r="CK821" s="628"/>
      <c r="CL821" s="628"/>
      <c r="CM821" s="628"/>
      <c r="CN821" s="628"/>
      <c r="CO821" s="628"/>
      <c r="CP821" s="628"/>
      <c r="CQ821" s="628"/>
      <c r="CR821" s="628"/>
      <c r="CS821" s="628"/>
      <c r="CT821" s="628"/>
      <c r="CU821" s="628"/>
      <c r="CV821" s="628"/>
      <c r="CW821" s="628"/>
      <c r="CX821" s="628"/>
      <c r="CY821" s="628"/>
      <c r="CZ821" s="629"/>
      <c r="DA821" s="214"/>
    </row>
    <row r="822" spans="1:105" s="16" customFormat="1" ht="15" customHeight="1" x14ac:dyDescent="0.3">
      <c r="A822" s="630" t="s">
        <v>659</v>
      </c>
      <c r="B822" s="631"/>
      <c r="C822" s="631"/>
      <c r="D822" s="631"/>
      <c r="E822" s="631"/>
      <c r="F822" s="631"/>
      <c r="G822" s="632"/>
      <c r="H822" s="584" t="s">
        <v>990</v>
      </c>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5"/>
      <c r="AL822" s="585"/>
      <c r="AM822" s="585"/>
      <c r="AN822" s="585"/>
      <c r="AO822" s="585"/>
      <c r="AP822" s="585"/>
      <c r="AQ822" s="585"/>
      <c r="AR822" s="585"/>
      <c r="AS822" s="585"/>
      <c r="AT822" s="586"/>
      <c r="AU822" s="475" t="s">
        <v>690</v>
      </c>
      <c r="AV822" s="476"/>
      <c r="AW822" s="476"/>
      <c r="AX822" s="476"/>
      <c r="AY822" s="476"/>
      <c r="AZ822" s="476"/>
      <c r="BA822" s="476"/>
      <c r="BB822" s="477"/>
      <c r="BC822" s="544">
        <v>9</v>
      </c>
      <c r="BD822" s="545"/>
      <c r="BE822" s="545"/>
      <c r="BF822" s="545"/>
      <c r="BG822" s="545"/>
      <c r="BH822" s="545"/>
      <c r="BI822" s="545"/>
      <c r="BJ822" s="545"/>
      <c r="BK822" s="545"/>
      <c r="BL822" s="545"/>
      <c r="BM822" s="545"/>
      <c r="BN822" s="545"/>
      <c r="BO822" s="545"/>
      <c r="BP822" s="545"/>
      <c r="BQ822" s="545"/>
      <c r="BR822" s="546"/>
      <c r="BS822" s="639">
        <f t="shared" si="15"/>
        <v>388.88888888888891</v>
      </c>
      <c r="BT822" s="640"/>
      <c r="BU822" s="640"/>
      <c r="BV822" s="640"/>
      <c r="BW822" s="640"/>
      <c r="BX822" s="640"/>
      <c r="BY822" s="640"/>
      <c r="BZ822" s="640"/>
      <c r="CA822" s="640"/>
      <c r="CB822" s="640"/>
      <c r="CC822" s="640"/>
      <c r="CD822" s="640"/>
      <c r="CE822" s="640"/>
      <c r="CF822" s="640"/>
      <c r="CG822" s="640"/>
      <c r="CH822" s="641"/>
      <c r="CI822" s="627">
        <v>3500</v>
      </c>
      <c r="CJ822" s="628"/>
      <c r="CK822" s="628"/>
      <c r="CL822" s="628"/>
      <c r="CM822" s="628"/>
      <c r="CN822" s="628"/>
      <c r="CO822" s="628"/>
      <c r="CP822" s="628"/>
      <c r="CQ822" s="628"/>
      <c r="CR822" s="628"/>
      <c r="CS822" s="628"/>
      <c r="CT822" s="628"/>
      <c r="CU822" s="628"/>
      <c r="CV822" s="628"/>
      <c r="CW822" s="628"/>
      <c r="CX822" s="628"/>
      <c r="CY822" s="628"/>
      <c r="CZ822" s="629"/>
      <c r="DA822" s="214"/>
    </row>
    <row r="823" spans="1:105" s="16" customFormat="1" ht="15" customHeight="1" x14ac:dyDescent="0.3">
      <c r="A823" s="630" t="s">
        <v>664</v>
      </c>
      <c r="B823" s="631"/>
      <c r="C823" s="631"/>
      <c r="D823" s="631"/>
      <c r="E823" s="631"/>
      <c r="F823" s="631"/>
      <c r="G823" s="632"/>
      <c r="H823" s="584" t="s">
        <v>973</v>
      </c>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5"/>
      <c r="AL823" s="585"/>
      <c r="AM823" s="585"/>
      <c r="AN823" s="585"/>
      <c r="AO823" s="585"/>
      <c r="AP823" s="585"/>
      <c r="AQ823" s="585"/>
      <c r="AR823" s="585"/>
      <c r="AS823" s="585"/>
      <c r="AT823" s="586"/>
      <c r="AU823" s="475" t="s">
        <v>690</v>
      </c>
      <c r="AV823" s="476"/>
      <c r="AW823" s="476"/>
      <c r="AX823" s="476"/>
      <c r="AY823" s="476"/>
      <c r="AZ823" s="476"/>
      <c r="BA823" s="476"/>
      <c r="BB823" s="477"/>
      <c r="BC823" s="544">
        <v>10</v>
      </c>
      <c r="BD823" s="545"/>
      <c r="BE823" s="545"/>
      <c r="BF823" s="545"/>
      <c r="BG823" s="545"/>
      <c r="BH823" s="545"/>
      <c r="BI823" s="545"/>
      <c r="BJ823" s="545"/>
      <c r="BK823" s="545"/>
      <c r="BL823" s="545"/>
      <c r="BM823" s="545"/>
      <c r="BN823" s="545"/>
      <c r="BO823" s="545"/>
      <c r="BP823" s="545"/>
      <c r="BQ823" s="545"/>
      <c r="BR823" s="546"/>
      <c r="BS823" s="639">
        <f t="shared" si="15"/>
        <v>300</v>
      </c>
      <c r="BT823" s="640"/>
      <c r="BU823" s="640"/>
      <c r="BV823" s="640"/>
      <c r="BW823" s="640"/>
      <c r="BX823" s="640"/>
      <c r="BY823" s="640"/>
      <c r="BZ823" s="640"/>
      <c r="CA823" s="640"/>
      <c r="CB823" s="640"/>
      <c r="CC823" s="640"/>
      <c r="CD823" s="640"/>
      <c r="CE823" s="640"/>
      <c r="CF823" s="640"/>
      <c r="CG823" s="640"/>
      <c r="CH823" s="641"/>
      <c r="CI823" s="627">
        <v>3000</v>
      </c>
      <c r="CJ823" s="628"/>
      <c r="CK823" s="628"/>
      <c r="CL823" s="628"/>
      <c r="CM823" s="628"/>
      <c r="CN823" s="628"/>
      <c r="CO823" s="628"/>
      <c r="CP823" s="628"/>
      <c r="CQ823" s="628"/>
      <c r="CR823" s="628"/>
      <c r="CS823" s="628"/>
      <c r="CT823" s="628"/>
      <c r="CU823" s="628"/>
      <c r="CV823" s="628"/>
      <c r="CW823" s="628"/>
      <c r="CX823" s="628"/>
      <c r="CY823" s="628"/>
      <c r="CZ823" s="629"/>
      <c r="DA823" s="214"/>
    </row>
    <row r="824" spans="1:105" s="16" customFormat="1" ht="15" hidden="1" customHeight="1" x14ac:dyDescent="0.3">
      <c r="A824" s="630" t="s">
        <v>662</v>
      </c>
      <c r="B824" s="631"/>
      <c r="C824" s="631"/>
      <c r="D824" s="631"/>
      <c r="E824" s="631"/>
      <c r="F824" s="631"/>
      <c r="G824" s="632"/>
      <c r="H824" s="584"/>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5"/>
      <c r="AL824" s="585"/>
      <c r="AM824" s="585"/>
      <c r="AN824" s="585"/>
      <c r="AO824" s="585"/>
      <c r="AP824" s="585"/>
      <c r="AQ824" s="585"/>
      <c r="AR824" s="585"/>
      <c r="AS824" s="585"/>
      <c r="AT824" s="586"/>
      <c r="AU824" s="475" t="s">
        <v>690</v>
      </c>
      <c r="AV824" s="476"/>
      <c r="AW824" s="476"/>
      <c r="AX824" s="476"/>
      <c r="AY824" s="476"/>
      <c r="AZ824" s="476"/>
      <c r="BA824" s="476"/>
      <c r="BB824" s="477"/>
      <c r="BC824" s="544"/>
      <c r="BD824" s="545"/>
      <c r="BE824" s="545"/>
      <c r="BF824" s="545"/>
      <c r="BG824" s="545"/>
      <c r="BH824" s="545"/>
      <c r="BI824" s="545"/>
      <c r="BJ824" s="545"/>
      <c r="BK824" s="545"/>
      <c r="BL824" s="545"/>
      <c r="BM824" s="545"/>
      <c r="BN824" s="545"/>
      <c r="BO824" s="545"/>
      <c r="BP824" s="545"/>
      <c r="BQ824" s="545"/>
      <c r="BR824" s="546"/>
      <c r="BS824" s="639"/>
      <c r="BT824" s="640"/>
      <c r="BU824" s="640"/>
      <c r="BV824" s="640"/>
      <c r="BW824" s="640"/>
      <c r="BX824" s="640"/>
      <c r="BY824" s="640"/>
      <c r="BZ824" s="640"/>
      <c r="CA824" s="640"/>
      <c r="CB824" s="640"/>
      <c r="CC824" s="640"/>
      <c r="CD824" s="640"/>
      <c r="CE824" s="640"/>
      <c r="CF824" s="640"/>
      <c r="CG824" s="640"/>
      <c r="CH824" s="641"/>
      <c r="CI824" s="627"/>
      <c r="CJ824" s="628"/>
      <c r="CK824" s="628"/>
      <c r="CL824" s="628"/>
      <c r="CM824" s="628"/>
      <c r="CN824" s="628"/>
      <c r="CO824" s="628"/>
      <c r="CP824" s="628"/>
      <c r="CQ824" s="628"/>
      <c r="CR824" s="628"/>
      <c r="CS824" s="628"/>
      <c r="CT824" s="628"/>
      <c r="CU824" s="628"/>
      <c r="CV824" s="628"/>
      <c r="CW824" s="628"/>
      <c r="CX824" s="628"/>
      <c r="CY824" s="628"/>
      <c r="CZ824" s="629"/>
      <c r="DA824" s="214"/>
    </row>
    <row r="825" spans="1:105" s="16" customFormat="1" ht="15" hidden="1" customHeight="1" x14ac:dyDescent="0.3">
      <c r="A825" s="630" t="s">
        <v>666</v>
      </c>
      <c r="B825" s="631"/>
      <c r="C825" s="631"/>
      <c r="D825" s="631"/>
      <c r="E825" s="631"/>
      <c r="F825" s="631"/>
      <c r="G825" s="632"/>
      <c r="H825" s="584"/>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5"/>
      <c r="AL825" s="585"/>
      <c r="AM825" s="585"/>
      <c r="AN825" s="585"/>
      <c r="AO825" s="585"/>
      <c r="AP825" s="585"/>
      <c r="AQ825" s="585"/>
      <c r="AR825" s="585"/>
      <c r="AS825" s="585"/>
      <c r="AT825" s="586"/>
      <c r="AU825" s="475" t="s">
        <v>690</v>
      </c>
      <c r="AV825" s="476"/>
      <c r="AW825" s="476"/>
      <c r="AX825" s="476"/>
      <c r="AY825" s="476"/>
      <c r="AZ825" s="476"/>
      <c r="BA825" s="476"/>
      <c r="BB825" s="477"/>
      <c r="BC825" s="544"/>
      <c r="BD825" s="545"/>
      <c r="BE825" s="545"/>
      <c r="BF825" s="545"/>
      <c r="BG825" s="545"/>
      <c r="BH825" s="545"/>
      <c r="BI825" s="545"/>
      <c r="BJ825" s="545"/>
      <c r="BK825" s="545"/>
      <c r="BL825" s="545"/>
      <c r="BM825" s="545"/>
      <c r="BN825" s="545"/>
      <c r="BO825" s="545"/>
      <c r="BP825" s="545"/>
      <c r="BQ825" s="545"/>
      <c r="BR825" s="546"/>
      <c r="BS825" s="639"/>
      <c r="BT825" s="640"/>
      <c r="BU825" s="640"/>
      <c r="BV825" s="640"/>
      <c r="BW825" s="640"/>
      <c r="BX825" s="640"/>
      <c r="BY825" s="640"/>
      <c r="BZ825" s="640"/>
      <c r="CA825" s="640"/>
      <c r="CB825" s="640"/>
      <c r="CC825" s="640"/>
      <c r="CD825" s="640"/>
      <c r="CE825" s="640"/>
      <c r="CF825" s="640"/>
      <c r="CG825" s="640"/>
      <c r="CH825" s="641"/>
      <c r="CI825" s="627"/>
      <c r="CJ825" s="628"/>
      <c r="CK825" s="628"/>
      <c r="CL825" s="628"/>
      <c r="CM825" s="628"/>
      <c r="CN825" s="628"/>
      <c r="CO825" s="628"/>
      <c r="CP825" s="628"/>
      <c r="CQ825" s="628"/>
      <c r="CR825" s="628"/>
      <c r="CS825" s="628"/>
      <c r="CT825" s="628"/>
      <c r="CU825" s="628"/>
      <c r="CV825" s="628"/>
      <c r="CW825" s="628"/>
      <c r="CX825" s="628"/>
      <c r="CY825" s="628"/>
      <c r="CZ825" s="629"/>
      <c r="DA825" s="214"/>
    </row>
    <row r="826" spans="1:105" s="16" customFormat="1" ht="15" hidden="1" customHeight="1" x14ac:dyDescent="0.3">
      <c r="A826" s="630" t="s">
        <v>667</v>
      </c>
      <c r="B826" s="631"/>
      <c r="C826" s="631"/>
      <c r="D826" s="631"/>
      <c r="E826" s="631"/>
      <c r="F826" s="631"/>
      <c r="G826" s="632"/>
      <c r="H826" s="584"/>
      <c r="I826" s="585"/>
      <c r="J826" s="585"/>
      <c r="K826" s="585"/>
      <c r="L826" s="585"/>
      <c r="M826" s="585"/>
      <c r="N826" s="585"/>
      <c r="O826" s="585"/>
      <c r="P826" s="585"/>
      <c r="Q826" s="585"/>
      <c r="R826" s="585"/>
      <c r="S826" s="585"/>
      <c r="T826" s="585"/>
      <c r="U826" s="585"/>
      <c r="V826" s="585"/>
      <c r="W826" s="585"/>
      <c r="X826" s="585"/>
      <c r="Y826" s="585"/>
      <c r="Z826" s="585"/>
      <c r="AA826" s="585"/>
      <c r="AB826" s="585"/>
      <c r="AC826" s="585"/>
      <c r="AD826" s="585"/>
      <c r="AE826" s="585"/>
      <c r="AF826" s="585"/>
      <c r="AG826" s="585"/>
      <c r="AH826" s="585"/>
      <c r="AI826" s="585"/>
      <c r="AJ826" s="585"/>
      <c r="AK826" s="585"/>
      <c r="AL826" s="585"/>
      <c r="AM826" s="585"/>
      <c r="AN826" s="585"/>
      <c r="AO826" s="585"/>
      <c r="AP826" s="585"/>
      <c r="AQ826" s="585"/>
      <c r="AR826" s="585"/>
      <c r="AS826" s="585"/>
      <c r="AT826" s="586"/>
      <c r="AU826" s="475" t="s">
        <v>690</v>
      </c>
      <c r="AV826" s="476"/>
      <c r="AW826" s="476"/>
      <c r="AX826" s="476"/>
      <c r="AY826" s="476"/>
      <c r="AZ826" s="476"/>
      <c r="BA826" s="476"/>
      <c r="BB826" s="477"/>
      <c r="BC826" s="544"/>
      <c r="BD826" s="545"/>
      <c r="BE826" s="545"/>
      <c r="BF826" s="545"/>
      <c r="BG826" s="545"/>
      <c r="BH826" s="545"/>
      <c r="BI826" s="545"/>
      <c r="BJ826" s="545"/>
      <c r="BK826" s="545"/>
      <c r="BL826" s="545"/>
      <c r="BM826" s="545"/>
      <c r="BN826" s="545"/>
      <c r="BO826" s="545"/>
      <c r="BP826" s="545"/>
      <c r="BQ826" s="545"/>
      <c r="BR826" s="546"/>
      <c r="BS826" s="639"/>
      <c r="BT826" s="640"/>
      <c r="BU826" s="640"/>
      <c r="BV826" s="640"/>
      <c r="BW826" s="640"/>
      <c r="BX826" s="640"/>
      <c r="BY826" s="640"/>
      <c r="BZ826" s="640"/>
      <c r="CA826" s="640"/>
      <c r="CB826" s="640"/>
      <c r="CC826" s="640"/>
      <c r="CD826" s="640"/>
      <c r="CE826" s="640"/>
      <c r="CF826" s="640"/>
      <c r="CG826" s="640"/>
      <c r="CH826" s="641"/>
      <c r="CI826" s="627"/>
      <c r="CJ826" s="628"/>
      <c r="CK826" s="628"/>
      <c r="CL826" s="628"/>
      <c r="CM826" s="628"/>
      <c r="CN826" s="628"/>
      <c r="CO826" s="628"/>
      <c r="CP826" s="628"/>
      <c r="CQ826" s="628"/>
      <c r="CR826" s="628"/>
      <c r="CS826" s="628"/>
      <c r="CT826" s="628"/>
      <c r="CU826" s="628"/>
      <c r="CV826" s="628"/>
      <c r="CW826" s="628"/>
      <c r="CX826" s="628"/>
      <c r="CY826" s="628"/>
      <c r="CZ826" s="629"/>
      <c r="DA826" s="214"/>
    </row>
    <row r="827" spans="1:105" s="16" customFormat="1" ht="15" hidden="1" customHeight="1" x14ac:dyDescent="0.3">
      <c r="A827" s="630" t="s">
        <v>670</v>
      </c>
      <c r="B827" s="631"/>
      <c r="C827" s="631"/>
      <c r="D827" s="631"/>
      <c r="E827" s="631"/>
      <c r="F827" s="631"/>
      <c r="G827" s="632"/>
      <c r="H827" s="584"/>
      <c r="I827" s="585"/>
      <c r="J827" s="585"/>
      <c r="K827" s="585"/>
      <c r="L827" s="585"/>
      <c r="M827" s="585"/>
      <c r="N827" s="585"/>
      <c r="O827" s="585"/>
      <c r="P827" s="585"/>
      <c r="Q827" s="585"/>
      <c r="R827" s="585"/>
      <c r="S827" s="585"/>
      <c r="T827" s="585"/>
      <c r="U827" s="585"/>
      <c r="V827" s="585"/>
      <c r="W827" s="585"/>
      <c r="X827" s="585"/>
      <c r="Y827" s="585"/>
      <c r="Z827" s="585"/>
      <c r="AA827" s="585"/>
      <c r="AB827" s="585"/>
      <c r="AC827" s="585"/>
      <c r="AD827" s="585"/>
      <c r="AE827" s="585"/>
      <c r="AF827" s="585"/>
      <c r="AG827" s="585"/>
      <c r="AH827" s="585"/>
      <c r="AI827" s="585"/>
      <c r="AJ827" s="585"/>
      <c r="AK827" s="585"/>
      <c r="AL827" s="585"/>
      <c r="AM827" s="585"/>
      <c r="AN827" s="585"/>
      <c r="AO827" s="585"/>
      <c r="AP827" s="585"/>
      <c r="AQ827" s="585"/>
      <c r="AR827" s="585"/>
      <c r="AS827" s="585"/>
      <c r="AT827" s="586"/>
      <c r="AU827" s="475" t="s">
        <v>690</v>
      </c>
      <c r="AV827" s="476"/>
      <c r="AW827" s="476"/>
      <c r="AX827" s="476"/>
      <c r="AY827" s="476"/>
      <c r="AZ827" s="476"/>
      <c r="BA827" s="476"/>
      <c r="BB827" s="477"/>
      <c r="BC827" s="544"/>
      <c r="BD827" s="545"/>
      <c r="BE827" s="545"/>
      <c r="BF827" s="545"/>
      <c r="BG827" s="545"/>
      <c r="BH827" s="545"/>
      <c r="BI827" s="545"/>
      <c r="BJ827" s="545"/>
      <c r="BK827" s="545"/>
      <c r="BL827" s="545"/>
      <c r="BM827" s="545"/>
      <c r="BN827" s="545"/>
      <c r="BO827" s="545"/>
      <c r="BP827" s="545"/>
      <c r="BQ827" s="545"/>
      <c r="BR827" s="546"/>
      <c r="BS827" s="639"/>
      <c r="BT827" s="640"/>
      <c r="BU827" s="640"/>
      <c r="BV827" s="640"/>
      <c r="BW827" s="640"/>
      <c r="BX827" s="640"/>
      <c r="BY827" s="640"/>
      <c r="BZ827" s="640"/>
      <c r="CA827" s="640"/>
      <c r="CB827" s="640"/>
      <c r="CC827" s="640"/>
      <c r="CD827" s="640"/>
      <c r="CE827" s="640"/>
      <c r="CF827" s="640"/>
      <c r="CG827" s="640"/>
      <c r="CH827" s="641"/>
      <c r="CI827" s="627"/>
      <c r="CJ827" s="628"/>
      <c r="CK827" s="628"/>
      <c r="CL827" s="628"/>
      <c r="CM827" s="628"/>
      <c r="CN827" s="628"/>
      <c r="CO827" s="628"/>
      <c r="CP827" s="628"/>
      <c r="CQ827" s="628"/>
      <c r="CR827" s="628"/>
      <c r="CS827" s="628"/>
      <c r="CT827" s="628"/>
      <c r="CU827" s="628"/>
      <c r="CV827" s="628"/>
      <c r="CW827" s="628"/>
      <c r="CX827" s="628"/>
      <c r="CY827" s="628"/>
      <c r="CZ827" s="629"/>
      <c r="DA827" s="220"/>
    </row>
    <row r="828" spans="1:105" s="16" customFormat="1" ht="15" hidden="1" customHeight="1" x14ac:dyDescent="0.3">
      <c r="A828" s="630" t="s">
        <v>672</v>
      </c>
      <c r="B828" s="631"/>
      <c r="C828" s="631"/>
      <c r="D828" s="631"/>
      <c r="E828" s="631"/>
      <c r="F828" s="631"/>
      <c r="G828" s="632"/>
      <c r="H828" s="584"/>
      <c r="I828" s="585"/>
      <c r="J828" s="585"/>
      <c r="K828" s="585"/>
      <c r="L828" s="585"/>
      <c r="M828" s="585"/>
      <c r="N828" s="585"/>
      <c r="O828" s="585"/>
      <c r="P828" s="585"/>
      <c r="Q828" s="585"/>
      <c r="R828" s="585"/>
      <c r="S828" s="585"/>
      <c r="T828" s="585"/>
      <c r="U828" s="585"/>
      <c r="V828" s="585"/>
      <c r="W828" s="585"/>
      <c r="X828" s="585"/>
      <c r="Y828" s="585"/>
      <c r="Z828" s="585"/>
      <c r="AA828" s="585"/>
      <c r="AB828" s="585"/>
      <c r="AC828" s="585"/>
      <c r="AD828" s="585"/>
      <c r="AE828" s="585"/>
      <c r="AF828" s="585"/>
      <c r="AG828" s="585"/>
      <c r="AH828" s="585"/>
      <c r="AI828" s="585"/>
      <c r="AJ828" s="585"/>
      <c r="AK828" s="585"/>
      <c r="AL828" s="585"/>
      <c r="AM828" s="585"/>
      <c r="AN828" s="585"/>
      <c r="AO828" s="585"/>
      <c r="AP828" s="585"/>
      <c r="AQ828" s="585"/>
      <c r="AR828" s="585"/>
      <c r="AS828" s="585"/>
      <c r="AT828" s="586"/>
      <c r="AU828" s="475" t="s">
        <v>690</v>
      </c>
      <c r="AV828" s="476"/>
      <c r="AW828" s="476"/>
      <c r="AX828" s="476"/>
      <c r="AY828" s="476"/>
      <c r="AZ828" s="476"/>
      <c r="BA828" s="476"/>
      <c r="BB828" s="477"/>
      <c r="BC828" s="544"/>
      <c r="BD828" s="545"/>
      <c r="BE828" s="545"/>
      <c r="BF828" s="545"/>
      <c r="BG828" s="545"/>
      <c r="BH828" s="545"/>
      <c r="BI828" s="545"/>
      <c r="BJ828" s="545"/>
      <c r="BK828" s="545"/>
      <c r="BL828" s="545"/>
      <c r="BM828" s="545"/>
      <c r="BN828" s="545"/>
      <c r="BO828" s="545"/>
      <c r="BP828" s="545"/>
      <c r="BQ828" s="545"/>
      <c r="BR828" s="546"/>
      <c r="BS828" s="639"/>
      <c r="BT828" s="640"/>
      <c r="BU828" s="640"/>
      <c r="BV828" s="640"/>
      <c r="BW828" s="640"/>
      <c r="BX828" s="640"/>
      <c r="BY828" s="640"/>
      <c r="BZ828" s="640"/>
      <c r="CA828" s="640"/>
      <c r="CB828" s="640"/>
      <c r="CC828" s="640"/>
      <c r="CD828" s="640"/>
      <c r="CE828" s="640"/>
      <c r="CF828" s="640"/>
      <c r="CG828" s="640"/>
      <c r="CH828" s="641"/>
      <c r="CI828" s="627"/>
      <c r="CJ828" s="628"/>
      <c r="CK828" s="628"/>
      <c r="CL828" s="628"/>
      <c r="CM828" s="628"/>
      <c r="CN828" s="628"/>
      <c r="CO828" s="628"/>
      <c r="CP828" s="628"/>
      <c r="CQ828" s="628"/>
      <c r="CR828" s="628"/>
      <c r="CS828" s="628"/>
      <c r="CT828" s="628"/>
      <c r="CU828" s="628"/>
      <c r="CV828" s="628"/>
      <c r="CW828" s="628"/>
      <c r="CX828" s="628"/>
      <c r="CY828" s="628"/>
      <c r="CZ828" s="629"/>
      <c r="DA828" s="220"/>
    </row>
    <row r="829" spans="1:105" s="16" customFormat="1" ht="15" hidden="1" customHeight="1" x14ac:dyDescent="0.3">
      <c r="A829" s="630" t="s">
        <v>654</v>
      </c>
      <c r="B829" s="631"/>
      <c r="C829" s="631"/>
      <c r="D829" s="631"/>
      <c r="E829" s="631"/>
      <c r="F829" s="631"/>
      <c r="G829" s="632"/>
      <c r="H829" s="584"/>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5"/>
      <c r="AL829" s="585"/>
      <c r="AM829" s="585"/>
      <c r="AN829" s="585"/>
      <c r="AO829" s="585"/>
      <c r="AP829" s="585"/>
      <c r="AQ829" s="585"/>
      <c r="AR829" s="585"/>
      <c r="AS829" s="585"/>
      <c r="AT829" s="586"/>
      <c r="AU829" s="475" t="s">
        <v>690</v>
      </c>
      <c r="AV829" s="476"/>
      <c r="AW829" s="476"/>
      <c r="AX829" s="476"/>
      <c r="AY829" s="476"/>
      <c r="AZ829" s="476"/>
      <c r="BA829" s="476"/>
      <c r="BB829" s="477"/>
      <c r="BC829" s="544"/>
      <c r="BD829" s="545"/>
      <c r="BE829" s="545"/>
      <c r="BF829" s="545"/>
      <c r="BG829" s="545"/>
      <c r="BH829" s="545"/>
      <c r="BI829" s="545"/>
      <c r="BJ829" s="545"/>
      <c r="BK829" s="545"/>
      <c r="BL829" s="545"/>
      <c r="BM829" s="545"/>
      <c r="BN829" s="545"/>
      <c r="BO829" s="545"/>
      <c r="BP829" s="545"/>
      <c r="BQ829" s="545"/>
      <c r="BR829" s="546"/>
      <c r="BS829" s="639"/>
      <c r="BT829" s="640"/>
      <c r="BU829" s="640"/>
      <c r="BV829" s="640"/>
      <c r="BW829" s="640"/>
      <c r="BX829" s="640"/>
      <c r="BY829" s="640"/>
      <c r="BZ829" s="640"/>
      <c r="CA829" s="640"/>
      <c r="CB829" s="640"/>
      <c r="CC829" s="640"/>
      <c r="CD829" s="640"/>
      <c r="CE829" s="640"/>
      <c r="CF829" s="640"/>
      <c r="CG829" s="640"/>
      <c r="CH829" s="641"/>
      <c r="CI829" s="627"/>
      <c r="CJ829" s="628"/>
      <c r="CK829" s="628"/>
      <c r="CL829" s="628"/>
      <c r="CM829" s="628"/>
      <c r="CN829" s="628"/>
      <c r="CO829" s="628"/>
      <c r="CP829" s="628"/>
      <c r="CQ829" s="628"/>
      <c r="CR829" s="628"/>
      <c r="CS829" s="628"/>
      <c r="CT829" s="628"/>
      <c r="CU829" s="628"/>
      <c r="CV829" s="628"/>
      <c r="CW829" s="628"/>
      <c r="CX829" s="628"/>
      <c r="CY829" s="628"/>
      <c r="CZ829" s="629"/>
      <c r="DA829" s="214"/>
    </row>
    <row r="830" spans="1:105" s="16" customFormat="1" ht="21" hidden="1" customHeight="1" x14ac:dyDescent="0.3">
      <c r="A830" s="630"/>
      <c r="B830" s="631"/>
      <c r="C830" s="631"/>
      <c r="D830" s="631"/>
      <c r="E830" s="631"/>
      <c r="F830" s="631"/>
      <c r="G830" s="632"/>
      <c r="H830" s="651" t="s">
        <v>851</v>
      </c>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52"/>
      <c r="AL830" s="652"/>
      <c r="AM830" s="652"/>
      <c r="AN830" s="652"/>
      <c r="AO830" s="652"/>
      <c r="AP830" s="652"/>
      <c r="AQ830" s="652"/>
      <c r="AR830" s="652"/>
      <c r="AS830" s="652"/>
      <c r="AT830" s="653"/>
      <c r="AU830" s="475"/>
      <c r="AV830" s="476"/>
      <c r="AW830" s="476"/>
      <c r="AX830" s="476"/>
      <c r="AY830" s="476"/>
      <c r="AZ830" s="476"/>
      <c r="BA830" s="476"/>
      <c r="BB830" s="477"/>
      <c r="BC830" s="647">
        <f>BC831+BC832+BC833+BC835</f>
        <v>6</v>
      </c>
      <c r="BD830" s="637"/>
      <c r="BE830" s="637"/>
      <c r="BF830" s="637"/>
      <c r="BG830" s="637"/>
      <c r="BH830" s="637"/>
      <c r="BI830" s="637"/>
      <c r="BJ830" s="637"/>
      <c r="BK830" s="637"/>
      <c r="BL830" s="637"/>
      <c r="BM830" s="637"/>
      <c r="BN830" s="637"/>
      <c r="BO830" s="637"/>
      <c r="BP830" s="637"/>
      <c r="BQ830" s="637"/>
      <c r="BR830" s="638"/>
      <c r="BS830" s="644">
        <f>BS831+BS832+BS833+BS835</f>
        <v>0</v>
      </c>
      <c r="BT830" s="645"/>
      <c r="BU830" s="645"/>
      <c r="BV830" s="645"/>
      <c r="BW830" s="645"/>
      <c r="BX830" s="645"/>
      <c r="BY830" s="645"/>
      <c r="BZ830" s="645"/>
      <c r="CA830" s="645"/>
      <c r="CB830" s="645"/>
      <c r="CC830" s="645"/>
      <c r="CD830" s="645"/>
      <c r="CE830" s="645"/>
      <c r="CF830" s="645"/>
      <c r="CG830" s="645"/>
      <c r="CH830" s="646"/>
      <c r="CI830" s="636">
        <f>+CI831+CI832+CI833+CI835+CI834</f>
        <v>0</v>
      </c>
      <c r="CJ830" s="654"/>
      <c r="CK830" s="654"/>
      <c r="CL830" s="654"/>
      <c r="CM830" s="654"/>
      <c r="CN830" s="654"/>
      <c r="CO830" s="654"/>
      <c r="CP830" s="654"/>
      <c r="CQ830" s="654"/>
      <c r="CR830" s="654"/>
      <c r="CS830" s="654"/>
      <c r="CT830" s="654"/>
      <c r="CU830" s="654"/>
      <c r="CV830" s="654"/>
      <c r="CW830" s="654"/>
      <c r="CX830" s="654"/>
      <c r="CY830" s="654"/>
      <c r="CZ830" s="655"/>
      <c r="DA830" s="214"/>
    </row>
    <row r="831" spans="1:105" s="16" customFormat="1" ht="22.95" hidden="1" customHeight="1" x14ac:dyDescent="0.3">
      <c r="A831" s="630" t="s">
        <v>441</v>
      </c>
      <c r="B831" s="631"/>
      <c r="C831" s="631"/>
      <c r="D831" s="631"/>
      <c r="E831" s="631"/>
      <c r="F831" s="631"/>
      <c r="G831" s="632"/>
      <c r="H831" s="584" t="s">
        <v>852</v>
      </c>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5"/>
      <c r="AL831" s="585"/>
      <c r="AM831" s="585"/>
      <c r="AN831" s="585"/>
      <c r="AO831" s="585"/>
      <c r="AP831" s="585"/>
      <c r="AQ831" s="585"/>
      <c r="AR831" s="585"/>
      <c r="AS831" s="585"/>
      <c r="AT831" s="586"/>
      <c r="AU831" s="475" t="s">
        <v>690</v>
      </c>
      <c r="AV831" s="476"/>
      <c r="AW831" s="476"/>
      <c r="AX831" s="476"/>
      <c r="AY831" s="476"/>
      <c r="AZ831" s="476"/>
      <c r="BA831" s="476"/>
      <c r="BB831" s="477"/>
      <c r="BC831" s="544">
        <v>2</v>
      </c>
      <c r="BD831" s="545"/>
      <c r="BE831" s="545"/>
      <c r="BF831" s="545"/>
      <c r="BG831" s="545"/>
      <c r="BH831" s="545"/>
      <c r="BI831" s="545"/>
      <c r="BJ831" s="545"/>
      <c r="BK831" s="545"/>
      <c r="BL831" s="545"/>
      <c r="BM831" s="545"/>
      <c r="BN831" s="545"/>
      <c r="BO831" s="545"/>
      <c r="BP831" s="545"/>
      <c r="BQ831" s="545"/>
      <c r="BR831" s="546"/>
      <c r="BS831" s="639">
        <f>CI831/BC831</f>
        <v>0</v>
      </c>
      <c r="BT831" s="640"/>
      <c r="BU831" s="640"/>
      <c r="BV831" s="640"/>
      <c r="BW831" s="640"/>
      <c r="BX831" s="640"/>
      <c r="BY831" s="640"/>
      <c r="BZ831" s="640"/>
      <c r="CA831" s="640"/>
      <c r="CB831" s="640"/>
      <c r="CC831" s="640"/>
      <c r="CD831" s="640"/>
      <c r="CE831" s="640"/>
      <c r="CF831" s="640"/>
      <c r="CG831" s="640"/>
      <c r="CH831" s="641"/>
      <c r="CI831" s="627"/>
      <c r="CJ831" s="628"/>
      <c r="CK831" s="628"/>
      <c r="CL831" s="628"/>
      <c r="CM831" s="628"/>
      <c r="CN831" s="628"/>
      <c r="CO831" s="628"/>
      <c r="CP831" s="628"/>
      <c r="CQ831" s="628"/>
      <c r="CR831" s="628"/>
      <c r="CS831" s="628"/>
      <c r="CT831" s="628"/>
      <c r="CU831" s="628"/>
      <c r="CV831" s="628"/>
      <c r="CW831" s="628"/>
      <c r="CX831" s="628"/>
      <c r="CY831" s="628"/>
      <c r="CZ831" s="629"/>
      <c r="DA831" s="214"/>
    </row>
    <row r="832" spans="1:105" s="16" customFormat="1" ht="24" hidden="1" customHeight="1" x14ac:dyDescent="0.3">
      <c r="A832" s="630" t="s">
        <v>444</v>
      </c>
      <c r="B832" s="631"/>
      <c r="C832" s="631"/>
      <c r="D832" s="631"/>
      <c r="E832" s="631"/>
      <c r="F832" s="631"/>
      <c r="G832" s="632"/>
      <c r="H832" s="584" t="s">
        <v>853</v>
      </c>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5"/>
      <c r="AL832" s="585"/>
      <c r="AM832" s="585"/>
      <c r="AN832" s="585"/>
      <c r="AO832" s="585"/>
      <c r="AP832" s="585"/>
      <c r="AQ832" s="585"/>
      <c r="AR832" s="585"/>
      <c r="AS832" s="585"/>
      <c r="AT832" s="586"/>
      <c r="AU832" s="475" t="s">
        <v>690</v>
      </c>
      <c r="AV832" s="476"/>
      <c r="AW832" s="476"/>
      <c r="AX832" s="476"/>
      <c r="AY832" s="476"/>
      <c r="AZ832" s="476"/>
      <c r="BA832" s="476"/>
      <c r="BB832" s="477"/>
      <c r="BC832" s="544">
        <v>2</v>
      </c>
      <c r="BD832" s="545"/>
      <c r="BE832" s="545"/>
      <c r="BF832" s="545"/>
      <c r="BG832" s="545"/>
      <c r="BH832" s="545"/>
      <c r="BI832" s="545"/>
      <c r="BJ832" s="545"/>
      <c r="BK832" s="545"/>
      <c r="BL832" s="545"/>
      <c r="BM832" s="545"/>
      <c r="BN832" s="545"/>
      <c r="BO832" s="545"/>
      <c r="BP832" s="545"/>
      <c r="BQ832" s="545"/>
      <c r="BR832" s="546"/>
      <c r="BS832" s="639">
        <f t="shared" ref="BS832:BS834" si="16">CI832/BC832</f>
        <v>0</v>
      </c>
      <c r="BT832" s="640"/>
      <c r="BU832" s="640"/>
      <c r="BV832" s="640"/>
      <c r="BW832" s="640"/>
      <c r="BX832" s="640"/>
      <c r="BY832" s="640"/>
      <c r="BZ832" s="640"/>
      <c r="CA832" s="640"/>
      <c r="CB832" s="640"/>
      <c r="CC832" s="640"/>
      <c r="CD832" s="640"/>
      <c r="CE832" s="640"/>
      <c r="CF832" s="640"/>
      <c r="CG832" s="640"/>
      <c r="CH832" s="641"/>
      <c r="CI832" s="627"/>
      <c r="CJ832" s="628"/>
      <c r="CK832" s="628"/>
      <c r="CL832" s="628"/>
      <c r="CM832" s="628"/>
      <c r="CN832" s="628"/>
      <c r="CO832" s="628"/>
      <c r="CP832" s="628"/>
      <c r="CQ832" s="628"/>
      <c r="CR832" s="628"/>
      <c r="CS832" s="628"/>
      <c r="CT832" s="628"/>
      <c r="CU832" s="628"/>
      <c r="CV832" s="628"/>
      <c r="CW832" s="628"/>
      <c r="CX832" s="628"/>
      <c r="CY832" s="628"/>
      <c r="CZ832" s="629"/>
      <c r="DA832" s="214"/>
    </row>
    <row r="833" spans="1:106" s="16" customFormat="1" ht="15" hidden="1" customHeight="1" x14ac:dyDescent="0.3">
      <c r="A833" s="630" t="s">
        <v>446</v>
      </c>
      <c r="B833" s="631"/>
      <c r="C833" s="631"/>
      <c r="D833" s="631"/>
      <c r="E833" s="631"/>
      <c r="F833" s="631"/>
      <c r="G833" s="632"/>
      <c r="H833" s="584" t="s">
        <v>854</v>
      </c>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5"/>
      <c r="AL833" s="585"/>
      <c r="AM833" s="585"/>
      <c r="AN833" s="585"/>
      <c r="AO833" s="585"/>
      <c r="AP833" s="585"/>
      <c r="AQ833" s="585"/>
      <c r="AR833" s="585"/>
      <c r="AS833" s="585"/>
      <c r="AT833" s="586"/>
      <c r="AU833" s="475" t="s">
        <v>690</v>
      </c>
      <c r="AV833" s="476"/>
      <c r="AW833" s="476"/>
      <c r="AX833" s="476"/>
      <c r="AY833" s="476"/>
      <c r="AZ833" s="476"/>
      <c r="BA833" s="476"/>
      <c r="BB833" s="477"/>
      <c r="BC833" s="544">
        <v>2</v>
      </c>
      <c r="BD833" s="545"/>
      <c r="BE833" s="545"/>
      <c r="BF833" s="545"/>
      <c r="BG833" s="545"/>
      <c r="BH833" s="545"/>
      <c r="BI833" s="545"/>
      <c r="BJ833" s="545"/>
      <c r="BK833" s="545"/>
      <c r="BL833" s="545"/>
      <c r="BM833" s="545"/>
      <c r="BN833" s="545"/>
      <c r="BO833" s="545"/>
      <c r="BP833" s="545"/>
      <c r="BQ833" s="545"/>
      <c r="BR833" s="546"/>
      <c r="BS833" s="639">
        <f t="shared" si="16"/>
        <v>0</v>
      </c>
      <c r="BT833" s="640"/>
      <c r="BU833" s="640"/>
      <c r="BV833" s="640"/>
      <c r="BW833" s="640"/>
      <c r="BX833" s="640"/>
      <c r="BY833" s="640"/>
      <c r="BZ833" s="640"/>
      <c r="CA833" s="640"/>
      <c r="CB833" s="640"/>
      <c r="CC833" s="640"/>
      <c r="CD833" s="640"/>
      <c r="CE833" s="640"/>
      <c r="CF833" s="640"/>
      <c r="CG833" s="640"/>
      <c r="CH833" s="641"/>
      <c r="CI833" s="627"/>
      <c r="CJ833" s="628"/>
      <c r="CK833" s="628"/>
      <c r="CL833" s="628"/>
      <c r="CM833" s="628"/>
      <c r="CN833" s="628"/>
      <c r="CO833" s="628"/>
      <c r="CP833" s="628"/>
      <c r="CQ833" s="628"/>
      <c r="CR833" s="628"/>
      <c r="CS833" s="628"/>
      <c r="CT833" s="628"/>
      <c r="CU833" s="628"/>
      <c r="CV833" s="628"/>
      <c r="CW833" s="628"/>
      <c r="CX833" s="628"/>
      <c r="CY833" s="628"/>
      <c r="CZ833" s="629"/>
      <c r="DA833" s="214"/>
    </row>
    <row r="834" spans="1:106" s="16" customFormat="1" ht="15" hidden="1" customHeight="1" x14ac:dyDescent="0.3">
      <c r="A834" s="630" t="s">
        <v>551</v>
      </c>
      <c r="B834" s="631"/>
      <c r="C834" s="631"/>
      <c r="D834" s="631"/>
      <c r="E834" s="631"/>
      <c r="F834" s="631"/>
      <c r="G834" s="632"/>
      <c r="H834" s="584" t="s">
        <v>855</v>
      </c>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5"/>
      <c r="AL834" s="585"/>
      <c r="AM834" s="585"/>
      <c r="AN834" s="585"/>
      <c r="AO834" s="585"/>
      <c r="AP834" s="585"/>
      <c r="AQ834" s="585"/>
      <c r="AR834" s="585"/>
      <c r="AS834" s="585"/>
      <c r="AT834" s="586"/>
      <c r="AU834" s="475" t="s">
        <v>690</v>
      </c>
      <c r="AV834" s="476"/>
      <c r="AW834" s="476"/>
      <c r="AX834" s="476"/>
      <c r="AY834" s="476"/>
      <c r="AZ834" s="476"/>
      <c r="BA834" s="476"/>
      <c r="BB834" s="477"/>
      <c r="BC834" s="544">
        <v>10</v>
      </c>
      <c r="BD834" s="545"/>
      <c r="BE834" s="545"/>
      <c r="BF834" s="545"/>
      <c r="BG834" s="545"/>
      <c r="BH834" s="545"/>
      <c r="BI834" s="545"/>
      <c r="BJ834" s="545"/>
      <c r="BK834" s="545"/>
      <c r="BL834" s="545"/>
      <c r="BM834" s="545"/>
      <c r="BN834" s="545"/>
      <c r="BO834" s="545"/>
      <c r="BP834" s="545"/>
      <c r="BQ834" s="545"/>
      <c r="BR834" s="546"/>
      <c r="BS834" s="639">
        <f t="shared" si="16"/>
        <v>0</v>
      </c>
      <c r="BT834" s="640"/>
      <c r="BU834" s="640"/>
      <c r="BV834" s="640"/>
      <c r="BW834" s="640"/>
      <c r="BX834" s="640"/>
      <c r="BY834" s="640"/>
      <c r="BZ834" s="640"/>
      <c r="CA834" s="640"/>
      <c r="CB834" s="640"/>
      <c r="CC834" s="640"/>
      <c r="CD834" s="640"/>
      <c r="CE834" s="640"/>
      <c r="CF834" s="640"/>
      <c r="CG834" s="640"/>
      <c r="CH834" s="641"/>
      <c r="CI834" s="627"/>
      <c r="CJ834" s="628"/>
      <c r="CK834" s="628"/>
      <c r="CL834" s="628"/>
      <c r="CM834" s="628"/>
      <c r="CN834" s="628"/>
      <c r="CO834" s="628"/>
      <c r="CP834" s="628"/>
      <c r="CQ834" s="628"/>
      <c r="CR834" s="628"/>
      <c r="CS834" s="628"/>
      <c r="CT834" s="628"/>
      <c r="CU834" s="628"/>
      <c r="CV834" s="628"/>
      <c r="CW834" s="628"/>
      <c r="CX834" s="628"/>
      <c r="CY834" s="628"/>
      <c r="CZ834" s="629"/>
      <c r="DA834" s="214"/>
    </row>
    <row r="835" spans="1:106" s="16" customFormat="1" ht="15" hidden="1" customHeight="1" x14ac:dyDescent="0.3">
      <c r="A835" s="630"/>
      <c r="B835" s="631"/>
      <c r="C835" s="631"/>
      <c r="D835" s="631"/>
      <c r="E835" s="631"/>
      <c r="F835" s="631"/>
      <c r="G835" s="632"/>
      <c r="H835" s="584"/>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5"/>
      <c r="AL835" s="585"/>
      <c r="AM835" s="585"/>
      <c r="AN835" s="585"/>
      <c r="AO835" s="585"/>
      <c r="AP835" s="585"/>
      <c r="AQ835" s="585"/>
      <c r="AR835" s="585"/>
      <c r="AS835" s="585"/>
      <c r="AT835" s="586"/>
      <c r="AU835" s="475"/>
      <c r="AV835" s="476"/>
      <c r="AW835" s="476"/>
      <c r="AX835" s="476"/>
      <c r="AY835" s="476"/>
      <c r="AZ835" s="476"/>
      <c r="BA835" s="476"/>
      <c r="BB835" s="477"/>
      <c r="BC835" s="544"/>
      <c r="BD835" s="545"/>
      <c r="BE835" s="545"/>
      <c r="BF835" s="545"/>
      <c r="BG835" s="545"/>
      <c r="BH835" s="545"/>
      <c r="BI835" s="545"/>
      <c r="BJ835" s="545"/>
      <c r="BK835" s="545"/>
      <c r="BL835" s="545"/>
      <c r="BM835" s="545"/>
      <c r="BN835" s="545"/>
      <c r="BO835" s="545"/>
      <c r="BP835" s="545"/>
      <c r="BQ835" s="545"/>
      <c r="BR835" s="546"/>
      <c r="BS835" s="639"/>
      <c r="BT835" s="640"/>
      <c r="BU835" s="640"/>
      <c r="BV835" s="640"/>
      <c r="BW835" s="640"/>
      <c r="BX835" s="640"/>
      <c r="BY835" s="640"/>
      <c r="BZ835" s="640"/>
      <c r="CA835" s="640"/>
      <c r="CB835" s="640"/>
      <c r="CC835" s="640"/>
      <c r="CD835" s="640"/>
      <c r="CE835" s="640"/>
      <c r="CF835" s="640"/>
      <c r="CG835" s="640"/>
      <c r="CH835" s="641"/>
      <c r="CI835" s="627"/>
      <c r="CJ835" s="628"/>
      <c r="CK835" s="628"/>
      <c r="CL835" s="628"/>
      <c r="CM835" s="628"/>
      <c r="CN835" s="628"/>
      <c r="CO835" s="628"/>
      <c r="CP835" s="628"/>
      <c r="CQ835" s="628"/>
      <c r="CR835" s="628"/>
      <c r="CS835" s="628"/>
      <c r="CT835" s="628"/>
      <c r="CU835" s="628"/>
      <c r="CV835" s="628"/>
      <c r="CW835" s="628"/>
      <c r="CX835" s="628"/>
      <c r="CY835" s="628"/>
      <c r="CZ835" s="629"/>
      <c r="DA835" s="214"/>
    </row>
    <row r="836" spans="1:106" s="16" customFormat="1" ht="15" customHeight="1" x14ac:dyDescent="0.3">
      <c r="A836" s="630"/>
      <c r="B836" s="631"/>
      <c r="C836" s="631"/>
      <c r="D836" s="631"/>
      <c r="E836" s="631"/>
      <c r="F836" s="631"/>
      <c r="G836" s="632"/>
      <c r="H836" s="651" t="s">
        <v>725</v>
      </c>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52"/>
      <c r="AL836" s="652"/>
      <c r="AM836" s="652"/>
      <c r="AN836" s="652"/>
      <c r="AO836" s="652"/>
      <c r="AP836" s="652"/>
      <c r="AQ836" s="652"/>
      <c r="AR836" s="652"/>
      <c r="AS836" s="652"/>
      <c r="AT836" s="653"/>
      <c r="AU836" s="541" t="s">
        <v>690</v>
      </c>
      <c r="AV836" s="542"/>
      <c r="AW836" s="542"/>
      <c r="AX836" s="542"/>
      <c r="AY836" s="542"/>
      <c r="AZ836" s="542"/>
      <c r="BA836" s="542"/>
      <c r="BB836" s="543"/>
      <c r="BC836" s="647">
        <v>8</v>
      </c>
      <c r="BD836" s="637"/>
      <c r="BE836" s="637"/>
      <c r="BF836" s="637"/>
      <c r="BG836" s="637"/>
      <c r="BH836" s="637"/>
      <c r="BI836" s="637"/>
      <c r="BJ836" s="637"/>
      <c r="BK836" s="637"/>
      <c r="BL836" s="637"/>
      <c r="BM836" s="637"/>
      <c r="BN836" s="637"/>
      <c r="BO836" s="637"/>
      <c r="BP836" s="637"/>
      <c r="BQ836" s="637"/>
      <c r="BR836" s="638"/>
      <c r="BS836" s="644">
        <f>CI836/BC836</f>
        <v>375</v>
      </c>
      <c r="BT836" s="645"/>
      <c r="BU836" s="645"/>
      <c r="BV836" s="645"/>
      <c r="BW836" s="645"/>
      <c r="BX836" s="645"/>
      <c r="BY836" s="645"/>
      <c r="BZ836" s="645"/>
      <c r="CA836" s="645"/>
      <c r="CB836" s="645"/>
      <c r="CC836" s="645"/>
      <c r="CD836" s="645"/>
      <c r="CE836" s="645"/>
      <c r="CF836" s="645"/>
      <c r="CG836" s="645"/>
      <c r="CH836" s="646"/>
      <c r="CI836" s="636">
        <v>3000</v>
      </c>
      <c r="CJ836" s="654"/>
      <c r="CK836" s="654"/>
      <c r="CL836" s="654"/>
      <c r="CM836" s="654"/>
      <c r="CN836" s="654"/>
      <c r="CO836" s="654"/>
      <c r="CP836" s="654"/>
      <c r="CQ836" s="654"/>
      <c r="CR836" s="654"/>
      <c r="CS836" s="654"/>
      <c r="CT836" s="654"/>
      <c r="CU836" s="654"/>
      <c r="CV836" s="654"/>
      <c r="CW836" s="654"/>
      <c r="CX836" s="654"/>
      <c r="CY836" s="654"/>
      <c r="CZ836" s="655"/>
      <c r="DA836" s="214"/>
    </row>
    <row r="837" spans="1:106" s="16" customFormat="1" ht="15" hidden="1" customHeight="1" x14ac:dyDescent="0.3">
      <c r="A837" s="630"/>
      <c r="B837" s="631"/>
      <c r="C837" s="631"/>
      <c r="D837" s="631"/>
      <c r="E837" s="631"/>
      <c r="F837" s="631"/>
      <c r="G837" s="632"/>
      <c r="H837" s="651" t="s">
        <v>721</v>
      </c>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52"/>
      <c r="AL837" s="652"/>
      <c r="AM837" s="652"/>
      <c r="AN837" s="652"/>
      <c r="AO837" s="652"/>
      <c r="AP837" s="652"/>
      <c r="AQ837" s="652"/>
      <c r="AR837" s="652"/>
      <c r="AS837" s="652"/>
      <c r="AT837" s="653"/>
      <c r="AU837" s="541" t="s">
        <v>690</v>
      </c>
      <c r="AV837" s="542"/>
      <c r="AW837" s="542"/>
      <c r="AX837" s="542"/>
      <c r="AY837" s="542"/>
      <c r="AZ837" s="542"/>
      <c r="BA837" s="542"/>
      <c r="BB837" s="543"/>
      <c r="BC837" s="647"/>
      <c r="BD837" s="637"/>
      <c r="BE837" s="637"/>
      <c r="BF837" s="637"/>
      <c r="BG837" s="637"/>
      <c r="BH837" s="637"/>
      <c r="BI837" s="637"/>
      <c r="BJ837" s="637"/>
      <c r="BK837" s="637"/>
      <c r="BL837" s="637"/>
      <c r="BM837" s="637"/>
      <c r="BN837" s="637"/>
      <c r="BO837" s="637"/>
      <c r="BP837" s="637"/>
      <c r="BQ837" s="637"/>
      <c r="BR837" s="638"/>
      <c r="BS837" s="644"/>
      <c r="BT837" s="645"/>
      <c r="BU837" s="645"/>
      <c r="BV837" s="645"/>
      <c r="BW837" s="645"/>
      <c r="BX837" s="645"/>
      <c r="BY837" s="645"/>
      <c r="BZ837" s="645"/>
      <c r="CA837" s="645"/>
      <c r="CB837" s="645"/>
      <c r="CC837" s="645"/>
      <c r="CD837" s="645"/>
      <c r="CE837" s="645"/>
      <c r="CF837" s="645"/>
      <c r="CG837" s="645"/>
      <c r="CH837" s="646"/>
      <c r="CI837" s="636"/>
      <c r="CJ837" s="654"/>
      <c r="CK837" s="654"/>
      <c r="CL837" s="654"/>
      <c r="CM837" s="654"/>
      <c r="CN837" s="654"/>
      <c r="CO837" s="654"/>
      <c r="CP837" s="654"/>
      <c r="CQ837" s="654"/>
      <c r="CR837" s="654"/>
      <c r="CS837" s="654"/>
      <c r="CT837" s="654"/>
      <c r="CU837" s="654"/>
      <c r="CV837" s="654"/>
      <c r="CW837" s="654"/>
      <c r="CX837" s="654"/>
      <c r="CY837" s="654"/>
      <c r="CZ837" s="655"/>
      <c r="DA837" s="214"/>
    </row>
    <row r="838" spans="1:106" s="16" customFormat="1" ht="15" customHeight="1" x14ac:dyDescent="0.3">
      <c r="A838" s="630"/>
      <c r="B838" s="631"/>
      <c r="C838" s="631"/>
      <c r="D838" s="631"/>
      <c r="E838" s="631"/>
      <c r="F838" s="631"/>
      <c r="G838" s="632"/>
      <c r="H838" s="651" t="s">
        <v>722</v>
      </c>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52"/>
      <c r="AL838" s="652"/>
      <c r="AM838" s="652"/>
      <c r="AN838" s="652"/>
      <c r="AO838" s="652"/>
      <c r="AP838" s="652"/>
      <c r="AQ838" s="652"/>
      <c r="AR838" s="652"/>
      <c r="AS838" s="652"/>
      <c r="AT838" s="653"/>
      <c r="AU838" s="541" t="s">
        <v>690</v>
      </c>
      <c r="AV838" s="542"/>
      <c r="AW838" s="542"/>
      <c r="AX838" s="542"/>
      <c r="AY838" s="542"/>
      <c r="AZ838" s="542"/>
      <c r="BA838" s="542"/>
      <c r="BB838" s="543"/>
      <c r="BC838" s="647">
        <v>1000</v>
      </c>
      <c r="BD838" s="637"/>
      <c r="BE838" s="637"/>
      <c r="BF838" s="637"/>
      <c r="BG838" s="637"/>
      <c r="BH838" s="637"/>
      <c r="BI838" s="637"/>
      <c r="BJ838" s="637"/>
      <c r="BK838" s="637"/>
      <c r="BL838" s="637"/>
      <c r="BM838" s="637"/>
      <c r="BN838" s="637"/>
      <c r="BO838" s="637"/>
      <c r="BP838" s="637"/>
      <c r="BQ838" s="637"/>
      <c r="BR838" s="638"/>
      <c r="BS838" s="644">
        <f t="shared" ref="BS838:BS840" si="17">CI838/BC838</f>
        <v>10</v>
      </c>
      <c r="BT838" s="645"/>
      <c r="BU838" s="645"/>
      <c r="BV838" s="645"/>
      <c r="BW838" s="645"/>
      <c r="BX838" s="645"/>
      <c r="BY838" s="645"/>
      <c r="BZ838" s="645"/>
      <c r="CA838" s="645"/>
      <c r="CB838" s="645"/>
      <c r="CC838" s="645"/>
      <c r="CD838" s="645"/>
      <c r="CE838" s="645"/>
      <c r="CF838" s="645"/>
      <c r="CG838" s="645"/>
      <c r="CH838" s="646"/>
      <c r="CI838" s="636">
        <v>10000</v>
      </c>
      <c r="CJ838" s="654"/>
      <c r="CK838" s="654"/>
      <c r="CL838" s="654"/>
      <c r="CM838" s="654"/>
      <c r="CN838" s="654"/>
      <c r="CO838" s="654"/>
      <c r="CP838" s="654"/>
      <c r="CQ838" s="654"/>
      <c r="CR838" s="654"/>
      <c r="CS838" s="654"/>
      <c r="CT838" s="654"/>
      <c r="CU838" s="654"/>
      <c r="CV838" s="654"/>
      <c r="CW838" s="654"/>
      <c r="CX838" s="654"/>
      <c r="CY838" s="654"/>
      <c r="CZ838" s="655"/>
      <c r="DA838" s="214"/>
    </row>
    <row r="839" spans="1:106" s="16" customFormat="1" ht="15" hidden="1" customHeight="1" x14ac:dyDescent="0.3">
      <c r="A839" s="630"/>
      <c r="B839" s="631"/>
      <c r="C839" s="631"/>
      <c r="D839" s="631"/>
      <c r="E839" s="631"/>
      <c r="F839" s="631"/>
      <c r="G839" s="632"/>
      <c r="H839" s="651" t="s">
        <v>726</v>
      </c>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2"/>
      <c r="AL839" s="652"/>
      <c r="AM839" s="652"/>
      <c r="AN839" s="652"/>
      <c r="AO839" s="652"/>
      <c r="AP839" s="652"/>
      <c r="AQ839" s="652"/>
      <c r="AR839" s="652"/>
      <c r="AS839" s="652"/>
      <c r="AT839" s="653"/>
      <c r="AU839" s="541" t="s">
        <v>690</v>
      </c>
      <c r="AV839" s="542"/>
      <c r="AW839" s="542"/>
      <c r="AX839" s="542"/>
      <c r="AY839" s="542"/>
      <c r="AZ839" s="542"/>
      <c r="BA839" s="542"/>
      <c r="BB839" s="543"/>
      <c r="BC839" s="647">
        <v>10</v>
      </c>
      <c r="BD839" s="637"/>
      <c r="BE839" s="637"/>
      <c r="BF839" s="637"/>
      <c r="BG839" s="637"/>
      <c r="BH839" s="637"/>
      <c r="BI839" s="637"/>
      <c r="BJ839" s="637"/>
      <c r="BK839" s="637"/>
      <c r="BL839" s="637"/>
      <c r="BM839" s="637"/>
      <c r="BN839" s="637"/>
      <c r="BO839" s="637"/>
      <c r="BP839" s="637"/>
      <c r="BQ839" s="637"/>
      <c r="BR839" s="638"/>
      <c r="BS839" s="644">
        <f t="shared" si="17"/>
        <v>0</v>
      </c>
      <c r="BT839" s="645"/>
      <c r="BU839" s="645"/>
      <c r="BV839" s="645"/>
      <c r="BW839" s="645"/>
      <c r="BX839" s="645"/>
      <c r="BY839" s="645"/>
      <c r="BZ839" s="645"/>
      <c r="CA839" s="645"/>
      <c r="CB839" s="645"/>
      <c r="CC839" s="645"/>
      <c r="CD839" s="645"/>
      <c r="CE839" s="645"/>
      <c r="CF839" s="645"/>
      <c r="CG839" s="645"/>
      <c r="CH839" s="646"/>
      <c r="CI839" s="636">
        <v>0</v>
      </c>
      <c r="CJ839" s="654"/>
      <c r="CK839" s="654"/>
      <c r="CL839" s="654"/>
      <c r="CM839" s="654"/>
      <c r="CN839" s="654"/>
      <c r="CO839" s="654"/>
      <c r="CP839" s="654"/>
      <c r="CQ839" s="654"/>
      <c r="CR839" s="654"/>
      <c r="CS839" s="654"/>
      <c r="CT839" s="654"/>
      <c r="CU839" s="654"/>
      <c r="CV839" s="654"/>
      <c r="CW839" s="654"/>
      <c r="CX839" s="654"/>
      <c r="CY839" s="654"/>
      <c r="CZ839" s="655"/>
      <c r="DA839" s="214"/>
    </row>
    <row r="840" spans="1:106" s="16" customFormat="1" ht="15" customHeight="1" x14ac:dyDescent="0.3">
      <c r="A840" s="630"/>
      <c r="B840" s="631"/>
      <c r="C840" s="631"/>
      <c r="D840" s="631"/>
      <c r="E840" s="631"/>
      <c r="F840" s="631"/>
      <c r="G840" s="632"/>
      <c r="H840" s="651" t="s">
        <v>723</v>
      </c>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52"/>
      <c r="AL840" s="652"/>
      <c r="AM840" s="652"/>
      <c r="AN840" s="652"/>
      <c r="AO840" s="652"/>
      <c r="AP840" s="652"/>
      <c r="AQ840" s="652"/>
      <c r="AR840" s="652"/>
      <c r="AS840" s="652"/>
      <c r="AT840" s="653"/>
      <c r="AU840" s="541" t="s">
        <v>690</v>
      </c>
      <c r="AV840" s="542"/>
      <c r="AW840" s="542"/>
      <c r="AX840" s="542"/>
      <c r="AY840" s="542"/>
      <c r="AZ840" s="542"/>
      <c r="BA840" s="542"/>
      <c r="BB840" s="543"/>
      <c r="BC840" s="647">
        <v>5500</v>
      </c>
      <c r="BD840" s="637"/>
      <c r="BE840" s="637"/>
      <c r="BF840" s="637"/>
      <c r="BG840" s="637"/>
      <c r="BH840" s="637"/>
      <c r="BI840" s="637"/>
      <c r="BJ840" s="637"/>
      <c r="BK840" s="637"/>
      <c r="BL840" s="637"/>
      <c r="BM840" s="637"/>
      <c r="BN840" s="637"/>
      <c r="BO840" s="637"/>
      <c r="BP840" s="637"/>
      <c r="BQ840" s="637"/>
      <c r="BR840" s="638"/>
      <c r="BS840" s="644">
        <f t="shared" si="17"/>
        <v>1.8181818181818181</v>
      </c>
      <c r="BT840" s="645"/>
      <c r="BU840" s="645"/>
      <c r="BV840" s="645"/>
      <c r="BW840" s="645"/>
      <c r="BX840" s="645"/>
      <c r="BY840" s="645"/>
      <c r="BZ840" s="645"/>
      <c r="CA840" s="645"/>
      <c r="CB840" s="645"/>
      <c r="CC840" s="645"/>
      <c r="CD840" s="645"/>
      <c r="CE840" s="645"/>
      <c r="CF840" s="645"/>
      <c r="CG840" s="645"/>
      <c r="CH840" s="646"/>
      <c r="CI840" s="636">
        <v>10000</v>
      </c>
      <c r="CJ840" s="654"/>
      <c r="CK840" s="654"/>
      <c r="CL840" s="654"/>
      <c r="CM840" s="654"/>
      <c r="CN840" s="654"/>
      <c r="CO840" s="654"/>
      <c r="CP840" s="654"/>
      <c r="CQ840" s="654"/>
      <c r="CR840" s="654"/>
      <c r="CS840" s="654"/>
      <c r="CT840" s="654"/>
      <c r="CU840" s="654"/>
      <c r="CV840" s="654"/>
      <c r="CW840" s="654"/>
      <c r="CX840" s="654"/>
      <c r="CY840" s="654"/>
      <c r="CZ840" s="655"/>
      <c r="DA840" s="214"/>
    </row>
    <row r="841" spans="1:106" s="16" customFormat="1" ht="15" hidden="1" customHeight="1" x14ac:dyDescent="0.3">
      <c r="A841" s="630"/>
      <c r="B841" s="631"/>
      <c r="C841" s="631"/>
      <c r="D841" s="631"/>
      <c r="E841" s="631"/>
      <c r="F841" s="631"/>
      <c r="G841" s="632"/>
      <c r="H841" s="651" t="s">
        <v>728</v>
      </c>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c r="AI841" s="652"/>
      <c r="AJ841" s="652"/>
      <c r="AK841" s="652"/>
      <c r="AL841" s="652"/>
      <c r="AM841" s="652"/>
      <c r="AN841" s="652"/>
      <c r="AO841" s="652"/>
      <c r="AP841" s="652"/>
      <c r="AQ841" s="652"/>
      <c r="AR841" s="652"/>
      <c r="AS841" s="652"/>
      <c r="AT841" s="653"/>
      <c r="AU841" s="541" t="s">
        <v>690</v>
      </c>
      <c r="AV841" s="542"/>
      <c r="AW841" s="542"/>
      <c r="AX841" s="542"/>
      <c r="AY841" s="542"/>
      <c r="AZ841" s="542"/>
      <c r="BA841" s="542"/>
      <c r="BB841" s="543"/>
      <c r="BC841" s="647">
        <v>124</v>
      </c>
      <c r="BD841" s="637"/>
      <c r="BE841" s="637"/>
      <c r="BF841" s="637"/>
      <c r="BG841" s="637"/>
      <c r="BH841" s="637"/>
      <c r="BI841" s="637"/>
      <c r="BJ841" s="637"/>
      <c r="BK841" s="637"/>
      <c r="BL841" s="637"/>
      <c r="BM841" s="637"/>
      <c r="BN841" s="637"/>
      <c r="BO841" s="637"/>
      <c r="BP841" s="637"/>
      <c r="BQ841" s="637"/>
      <c r="BR841" s="638"/>
      <c r="BS841" s="644">
        <f>CI841/BC841</f>
        <v>0</v>
      </c>
      <c r="BT841" s="645"/>
      <c r="BU841" s="645"/>
      <c r="BV841" s="645"/>
      <c r="BW841" s="645"/>
      <c r="BX841" s="645"/>
      <c r="BY841" s="645"/>
      <c r="BZ841" s="645"/>
      <c r="CA841" s="645"/>
      <c r="CB841" s="645"/>
      <c r="CC841" s="645"/>
      <c r="CD841" s="645"/>
      <c r="CE841" s="645"/>
      <c r="CF841" s="645"/>
      <c r="CG841" s="645"/>
      <c r="CH841" s="646"/>
      <c r="CI841" s="636">
        <v>0</v>
      </c>
      <c r="CJ841" s="654"/>
      <c r="CK841" s="654"/>
      <c r="CL841" s="654"/>
      <c r="CM841" s="654"/>
      <c r="CN841" s="654"/>
      <c r="CO841" s="654"/>
      <c r="CP841" s="654"/>
      <c r="CQ841" s="654"/>
      <c r="CR841" s="654"/>
      <c r="CS841" s="654"/>
      <c r="CT841" s="654"/>
      <c r="CU841" s="654"/>
      <c r="CV841" s="654"/>
      <c r="CW841" s="654"/>
      <c r="CX841" s="654"/>
      <c r="CY841" s="654"/>
      <c r="CZ841" s="655"/>
      <c r="DA841" s="214"/>
    </row>
    <row r="842" spans="1:106" s="16" customFormat="1" ht="15" customHeight="1" x14ac:dyDescent="0.3">
      <c r="A842" s="633" t="s">
        <v>292</v>
      </c>
      <c r="B842" s="634"/>
      <c r="C842" s="634"/>
      <c r="D842" s="634"/>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c r="AA842" s="634"/>
      <c r="AB842" s="634"/>
      <c r="AC842" s="634"/>
      <c r="AD842" s="634"/>
      <c r="AE842" s="634"/>
      <c r="AF842" s="634"/>
      <c r="AG842" s="634"/>
      <c r="AH842" s="634"/>
      <c r="AI842" s="634"/>
      <c r="AJ842" s="634"/>
      <c r="AK842" s="634"/>
      <c r="AL842" s="634"/>
      <c r="AM842" s="634"/>
      <c r="AN842" s="634"/>
      <c r="AO842" s="634"/>
      <c r="AP842" s="634"/>
      <c r="AQ842" s="634"/>
      <c r="AR842" s="634"/>
      <c r="AS842" s="634"/>
      <c r="AT842" s="634"/>
      <c r="AU842" s="634"/>
      <c r="AV842" s="634"/>
      <c r="AW842" s="634"/>
      <c r="AX842" s="634"/>
      <c r="AY842" s="634"/>
      <c r="AZ842" s="634"/>
      <c r="BA842" s="634"/>
      <c r="BB842" s="635"/>
      <c r="BC842" s="582" t="s">
        <v>4</v>
      </c>
      <c r="BD842" s="582"/>
      <c r="BE842" s="582"/>
      <c r="BF842" s="582"/>
      <c r="BG842" s="582"/>
      <c r="BH842" s="582"/>
      <c r="BI842" s="582"/>
      <c r="BJ842" s="582"/>
      <c r="BK842" s="582"/>
      <c r="BL842" s="582"/>
      <c r="BM842" s="582"/>
      <c r="BN842" s="582"/>
      <c r="BO842" s="582"/>
      <c r="BP842" s="582"/>
      <c r="BQ842" s="582"/>
      <c r="BR842" s="582"/>
      <c r="BS842" s="582" t="s">
        <v>4</v>
      </c>
      <c r="BT842" s="582"/>
      <c r="BU842" s="582"/>
      <c r="BV842" s="582"/>
      <c r="BW842" s="582"/>
      <c r="BX842" s="582"/>
      <c r="BY842" s="582"/>
      <c r="BZ842" s="582"/>
      <c r="CA842" s="582"/>
      <c r="CB842" s="582"/>
      <c r="CC842" s="582"/>
      <c r="CD842" s="582"/>
      <c r="CE842" s="582"/>
      <c r="CF842" s="582"/>
      <c r="CG842" s="582"/>
      <c r="CH842" s="582"/>
      <c r="CI842" s="636">
        <f>CI739+CI787+CI807+CI836+CI837+CI838+CI840+CI805+CI839+CI841+CI830</f>
        <v>86520</v>
      </c>
      <c r="CJ842" s="637"/>
      <c r="CK842" s="637"/>
      <c r="CL842" s="637"/>
      <c r="CM842" s="637"/>
      <c r="CN842" s="637"/>
      <c r="CO842" s="637"/>
      <c r="CP842" s="637"/>
      <c r="CQ842" s="637"/>
      <c r="CR842" s="637"/>
      <c r="CS842" s="637"/>
      <c r="CT842" s="637"/>
      <c r="CU842" s="637"/>
      <c r="CV842" s="637"/>
      <c r="CW842" s="637"/>
      <c r="CX842" s="637"/>
      <c r="CY842" s="637"/>
      <c r="CZ842" s="638"/>
      <c r="DA842" s="214"/>
    </row>
    <row r="843" spans="1:106" s="16" customFormat="1" ht="15" hidden="1" customHeight="1" x14ac:dyDescent="0.3">
      <c r="A843" s="648" t="s">
        <v>573</v>
      </c>
      <c r="B843" s="649"/>
      <c r="C843" s="649"/>
      <c r="D843" s="649"/>
      <c r="E843" s="649"/>
      <c r="F843" s="649"/>
      <c r="G843" s="649"/>
      <c r="H843" s="649"/>
      <c r="I843" s="649"/>
      <c r="J843" s="649"/>
      <c r="K843" s="649"/>
      <c r="L843" s="649"/>
      <c r="M843" s="649"/>
      <c r="N843" s="649"/>
      <c r="O843" s="649"/>
      <c r="P843" s="649"/>
      <c r="Q843" s="649"/>
      <c r="R843" s="649"/>
      <c r="S843" s="649"/>
      <c r="T843" s="649"/>
      <c r="U843" s="649"/>
      <c r="V843" s="649"/>
      <c r="W843" s="649"/>
      <c r="X843" s="649"/>
      <c r="Y843" s="649"/>
      <c r="Z843" s="649"/>
      <c r="AA843" s="649"/>
      <c r="AB843" s="649"/>
      <c r="AC843" s="649"/>
      <c r="AD843" s="649"/>
      <c r="AE843" s="649"/>
      <c r="AF843" s="649"/>
      <c r="AG843" s="649"/>
      <c r="AH843" s="649"/>
      <c r="AI843" s="649"/>
      <c r="AJ843" s="649"/>
      <c r="AK843" s="649"/>
      <c r="AL843" s="649"/>
      <c r="AM843" s="649"/>
      <c r="AN843" s="649"/>
      <c r="AO843" s="649"/>
      <c r="AP843" s="649"/>
      <c r="AQ843" s="649"/>
      <c r="AR843" s="649"/>
      <c r="AS843" s="649"/>
      <c r="AT843" s="649"/>
      <c r="AU843" s="649"/>
      <c r="AV843" s="649"/>
      <c r="AW843" s="649"/>
      <c r="AX843" s="649"/>
      <c r="AY843" s="649"/>
      <c r="AZ843" s="649"/>
      <c r="BA843" s="649"/>
      <c r="BB843" s="649"/>
      <c r="BC843" s="649"/>
      <c r="BD843" s="649"/>
      <c r="BE843" s="649"/>
      <c r="BF843" s="649"/>
      <c r="BG843" s="649"/>
      <c r="BH843" s="649"/>
      <c r="BI843" s="649"/>
      <c r="BJ843" s="649"/>
      <c r="BK843" s="649"/>
      <c r="BL843" s="649"/>
      <c r="BM843" s="649"/>
      <c r="BN843" s="649"/>
      <c r="BO843" s="649"/>
      <c r="BP843" s="649"/>
      <c r="BQ843" s="649"/>
      <c r="BR843" s="649"/>
      <c r="BS843" s="649"/>
      <c r="BT843" s="649"/>
      <c r="BU843" s="649"/>
      <c r="BV843" s="649"/>
      <c r="BW843" s="649"/>
      <c r="BX843" s="649"/>
      <c r="BY843" s="649"/>
      <c r="BZ843" s="649"/>
      <c r="CA843" s="649"/>
      <c r="CB843" s="649"/>
      <c r="CC843" s="649"/>
      <c r="CD843" s="649"/>
      <c r="CE843" s="649"/>
      <c r="CF843" s="649"/>
      <c r="CG843" s="649"/>
      <c r="CH843" s="649"/>
      <c r="CI843" s="649"/>
      <c r="CJ843" s="649"/>
      <c r="CK843" s="649"/>
      <c r="CL843" s="649"/>
      <c r="CM843" s="649"/>
      <c r="CN843" s="649"/>
      <c r="CO843" s="649"/>
      <c r="CP843" s="649"/>
      <c r="CQ843" s="649"/>
      <c r="CR843" s="649"/>
      <c r="CS843" s="649"/>
      <c r="CT843" s="649"/>
      <c r="CU843" s="649"/>
      <c r="CV843" s="649"/>
      <c r="CW843" s="649"/>
      <c r="CX843" s="649"/>
      <c r="CY843" s="649"/>
      <c r="CZ843" s="649"/>
      <c r="DA843" s="214"/>
    </row>
    <row r="844" spans="1:106" s="16" customFormat="1" ht="15" hidden="1" customHeight="1" x14ac:dyDescent="0.3">
      <c r="A844" s="630" t="s">
        <v>441</v>
      </c>
      <c r="B844" s="631"/>
      <c r="C844" s="631"/>
      <c r="D844" s="631"/>
      <c r="E844" s="631"/>
      <c r="F844" s="631"/>
      <c r="G844" s="632"/>
      <c r="H844" s="584" t="s">
        <v>799</v>
      </c>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5"/>
      <c r="AL844" s="585"/>
      <c r="AM844" s="585"/>
      <c r="AN844" s="585"/>
      <c r="AO844" s="585"/>
      <c r="AP844" s="585"/>
      <c r="AQ844" s="585"/>
      <c r="AR844" s="585"/>
      <c r="AS844" s="585"/>
      <c r="AT844" s="586"/>
      <c r="AU844" s="475" t="s">
        <v>697</v>
      </c>
      <c r="AV844" s="476"/>
      <c r="AW844" s="476"/>
      <c r="AX844" s="476"/>
      <c r="AY844" s="476"/>
      <c r="AZ844" s="476"/>
      <c r="BA844" s="476"/>
      <c r="BB844" s="477"/>
      <c r="BC844" s="675"/>
      <c r="BD844" s="676"/>
      <c r="BE844" s="676"/>
      <c r="BF844" s="676"/>
      <c r="BG844" s="676"/>
      <c r="BH844" s="676"/>
      <c r="BI844" s="676"/>
      <c r="BJ844" s="676"/>
      <c r="BK844" s="676"/>
      <c r="BL844" s="676"/>
      <c r="BM844" s="676"/>
      <c r="BN844" s="676"/>
      <c r="BO844" s="676"/>
      <c r="BP844" s="676"/>
      <c r="BQ844" s="676"/>
      <c r="BR844" s="677"/>
      <c r="BS844" s="639"/>
      <c r="BT844" s="640"/>
      <c r="BU844" s="640"/>
      <c r="BV844" s="640"/>
      <c r="BW844" s="640"/>
      <c r="BX844" s="640"/>
      <c r="BY844" s="640"/>
      <c r="BZ844" s="640"/>
      <c r="CA844" s="640"/>
      <c r="CB844" s="640"/>
      <c r="CC844" s="640"/>
      <c r="CD844" s="640"/>
      <c r="CE844" s="640"/>
      <c r="CF844" s="640"/>
      <c r="CG844" s="640"/>
      <c r="CH844" s="641"/>
      <c r="CI844" s="627">
        <f>BC844*BS844</f>
        <v>0</v>
      </c>
      <c r="CJ844" s="628"/>
      <c r="CK844" s="628"/>
      <c r="CL844" s="628"/>
      <c r="CM844" s="628"/>
      <c r="CN844" s="628"/>
      <c r="CO844" s="628"/>
      <c r="CP844" s="628"/>
      <c r="CQ844" s="628"/>
      <c r="CR844" s="628"/>
      <c r="CS844" s="628"/>
      <c r="CT844" s="628"/>
      <c r="CU844" s="628"/>
      <c r="CV844" s="628"/>
      <c r="CW844" s="628"/>
      <c r="CX844" s="628"/>
      <c r="CY844" s="628"/>
      <c r="CZ844" s="629"/>
      <c r="DA844" s="214"/>
    </row>
    <row r="845" spans="1:106" s="16" customFormat="1" ht="15" hidden="1" customHeight="1" x14ac:dyDescent="0.3">
      <c r="A845" s="630" t="s">
        <v>444</v>
      </c>
      <c r="B845" s="631"/>
      <c r="C845" s="631"/>
      <c r="D845" s="631"/>
      <c r="E845" s="631"/>
      <c r="F845" s="631"/>
      <c r="G845" s="632"/>
      <c r="H845" s="584" t="s">
        <v>910</v>
      </c>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5"/>
      <c r="AL845" s="585"/>
      <c r="AM845" s="585"/>
      <c r="AN845" s="585"/>
      <c r="AO845" s="585"/>
      <c r="AP845" s="585"/>
      <c r="AQ845" s="585"/>
      <c r="AR845" s="585"/>
      <c r="AS845" s="585"/>
      <c r="AT845" s="586"/>
      <c r="AU845" s="475" t="s">
        <v>690</v>
      </c>
      <c r="AV845" s="476"/>
      <c r="AW845" s="476"/>
      <c r="AX845" s="476"/>
      <c r="AY845" s="476"/>
      <c r="AZ845" s="476"/>
      <c r="BA845" s="476"/>
      <c r="BB845" s="477"/>
      <c r="BC845" s="675"/>
      <c r="BD845" s="676"/>
      <c r="BE845" s="676"/>
      <c r="BF845" s="676"/>
      <c r="BG845" s="676"/>
      <c r="BH845" s="676"/>
      <c r="BI845" s="676"/>
      <c r="BJ845" s="676"/>
      <c r="BK845" s="676"/>
      <c r="BL845" s="676"/>
      <c r="BM845" s="676"/>
      <c r="BN845" s="676"/>
      <c r="BO845" s="676"/>
      <c r="BP845" s="676"/>
      <c r="BQ845" s="676"/>
      <c r="BR845" s="677"/>
      <c r="BS845" s="639"/>
      <c r="BT845" s="640"/>
      <c r="BU845" s="640"/>
      <c r="BV845" s="640"/>
      <c r="BW845" s="640"/>
      <c r="BX845" s="640"/>
      <c r="BY845" s="640"/>
      <c r="BZ845" s="640"/>
      <c r="CA845" s="640"/>
      <c r="CB845" s="640"/>
      <c r="CC845" s="640"/>
      <c r="CD845" s="640"/>
      <c r="CE845" s="640"/>
      <c r="CF845" s="640"/>
      <c r="CG845" s="640"/>
      <c r="CH845" s="641"/>
      <c r="CI845" s="627">
        <f t="shared" ref="CI845:CI856" si="18">BC845*BS845</f>
        <v>0</v>
      </c>
      <c r="CJ845" s="628"/>
      <c r="CK845" s="628"/>
      <c r="CL845" s="628"/>
      <c r="CM845" s="628"/>
      <c r="CN845" s="628"/>
      <c r="CO845" s="628"/>
      <c r="CP845" s="628"/>
      <c r="CQ845" s="628"/>
      <c r="CR845" s="628"/>
      <c r="CS845" s="628"/>
      <c r="CT845" s="628"/>
      <c r="CU845" s="628"/>
      <c r="CV845" s="628"/>
      <c r="CW845" s="628"/>
      <c r="CX845" s="628"/>
      <c r="CY845" s="628"/>
      <c r="CZ845" s="629"/>
      <c r="DA845" s="214"/>
    </row>
    <row r="846" spans="1:106" s="16" customFormat="1" ht="15" hidden="1" customHeight="1" x14ac:dyDescent="0.3">
      <c r="A846" s="630" t="s">
        <v>446</v>
      </c>
      <c r="B846" s="631"/>
      <c r="C846" s="631"/>
      <c r="D846" s="631"/>
      <c r="E846" s="631"/>
      <c r="F846" s="631"/>
      <c r="G846" s="632"/>
      <c r="H846" s="584" t="s">
        <v>866</v>
      </c>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5"/>
      <c r="AL846" s="585"/>
      <c r="AM846" s="585"/>
      <c r="AN846" s="585"/>
      <c r="AO846" s="585"/>
      <c r="AP846" s="585"/>
      <c r="AQ846" s="585"/>
      <c r="AR846" s="585"/>
      <c r="AS846" s="585"/>
      <c r="AT846" s="586"/>
      <c r="AU846" s="475" t="s">
        <v>690</v>
      </c>
      <c r="AV846" s="476"/>
      <c r="AW846" s="476"/>
      <c r="AX846" s="476"/>
      <c r="AY846" s="476"/>
      <c r="AZ846" s="476"/>
      <c r="BA846" s="476"/>
      <c r="BB846" s="477"/>
      <c r="BC846" s="675"/>
      <c r="BD846" s="676"/>
      <c r="BE846" s="676"/>
      <c r="BF846" s="676"/>
      <c r="BG846" s="676"/>
      <c r="BH846" s="676"/>
      <c r="BI846" s="676"/>
      <c r="BJ846" s="676"/>
      <c r="BK846" s="676"/>
      <c r="BL846" s="676"/>
      <c r="BM846" s="676"/>
      <c r="BN846" s="676"/>
      <c r="BO846" s="676"/>
      <c r="BP846" s="676"/>
      <c r="BQ846" s="676"/>
      <c r="BR846" s="677"/>
      <c r="BS846" s="639"/>
      <c r="BT846" s="640"/>
      <c r="BU846" s="640"/>
      <c r="BV846" s="640"/>
      <c r="BW846" s="640"/>
      <c r="BX846" s="640"/>
      <c r="BY846" s="640"/>
      <c r="BZ846" s="640"/>
      <c r="CA846" s="640"/>
      <c r="CB846" s="640"/>
      <c r="CC846" s="640"/>
      <c r="CD846" s="640"/>
      <c r="CE846" s="640"/>
      <c r="CF846" s="640"/>
      <c r="CG846" s="640"/>
      <c r="CH846" s="641"/>
      <c r="CI846" s="627">
        <f t="shared" si="18"/>
        <v>0</v>
      </c>
      <c r="CJ846" s="628"/>
      <c r="CK846" s="628"/>
      <c r="CL846" s="628"/>
      <c r="CM846" s="628"/>
      <c r="CN846" s="628"/>
      <c r="CO846" s="628"/>
      <c r="CP846" s="628"/>
      <c r="CQ846" s="628"/>
      <c r="CR846" s="628"/>
      <c r="CS846" s="628"/>
      <c r="CT846" s="628"/>
      <c r="CU846" s="628"/>
      <c r="CV846" s="628"/>
      <c r="CW846" s="628"/>
      <c r="CX846" s="628"/>
      <c r="CY846" s="628"/>
      <c r="CZ846" s="629"/>
      <c r="DA846" s="214"/>
    </row>
    <row r="847" spans="1:106" s="16" customFormat="1" ht="28.95" hidden="1" customHeight="1" x14ac:dyDescent="0.3">
      <c r="A847" s="630" t="s">
        <v>551</v>
      </c>
      <c r="B847" s="631"/>
      <c r="C847" s="631"/>
      <c r="D847" s="631"/>
      <c r="E847" s="631"/>
      <c r="F847" s="631"/>
      <c r="G847" s="632"/>
      <c r="H847" s="584" t="s">
        <v>864</v>
      </c>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5"/>
      <c r="AL847" s="585"/>
      <c r="AM847" s="585"/>
      <c r="AN847" s="585"/>
      <c r="AO847" s="585"/>
      <c r="AP847" s="585"/>
      <c r="AQ847" s="585"/>
      <c r="AR847" s="585"/>
      <c r="AS847" s="585"/>
      <c r="AT847" s="586"/>
      <c r="AU847" s="475" t="s">
        <v>690</v>
      </c>
      <c r="AV847" s="476"/>
      <c r="AW847" s="476"/>
      <c r="AX847" s="476"/>
      <c r="AY847" s="476"/>
      <c r="AZ847" s="476"/>
      <c r="BA847" s="476"/>
      <c r="BB847" s="477"/>
      <c r="BC847" s="675"/>
      <c r="BD847" s="676"/>
      <c r="BE847" s="676"/>
      <c r="BF847" s="676"/>
      <c r="BG847" s="676"/>
      <c r="BH847" s="676"/>
      <c r="BI847" s="676"/>
      <c r="BJ847" s="676"/>
      <c r="BK847" s="676"/>
      <c r="BL847" s="676"/>
      <c r="BM847" s="676"/>
      <c r="BN847" s="676"/>
      <c r="BO847" s="676"/>
      <c r="BP847" s="676"/>
      <c r="BQ847" s="676"/>
      <c r="BR847" s="677"/>
      <c r="BS847" s="639"/>
      <c r="BT847" s="640"/>
      <c r="BU847" s="640"/>
      <c r="BV847" s="640"/>
      <c r="BW847" s="640"/>
      <c r="BX847" s="640"/>
      <c r="BY847" s="640"/>
      <c r="BZ847" s="640"/>
      <c r="CA847" s="640"/>
      <c r="CB847" s="640"/>
      <c r="CC847" s="640"/>
      <c r="CD847" s="640"/>
      <c r="CE847" s="640"/>
      <c r="CF847" s="640"/>
      <c r="CG847" s="640"/>
      <c r="CH847" s="641"/>
      <c r="CI847" s="627">
        <f t="shared" si="18"/>
        <v>0</v>
      </c>
      <c r="CJ847" s="628"/>
      <c r="CK847" s="628"/>
      <c r="CL847" s="628"/>
      <c r="CM847" s="628"/>
      <c r="CN847" s="628"/>
      <c r="CO847" s="628"/>
      <c r="CP847" s="628"/>
      <c r="CQ847" s="628"/>
      <c r="CR847" s="628"/>
      <c r="CS847" s="628"/>
      <c r="CT847" s="628"/>
      <c r="CU847" s="628"/>
      <c r="CV847" s="628"/>
      <c r="CW847" s="628"/>
      <c r="CX847" s="628"/>
      <c r="CY847" s="628"/>
      <c r="CZ847" s="629"/>
      <c r="DA847" s="227"/>
      <c r="DB847" s="228"/>
    </row>
    <row r="848" spans="1:106" s="16" customFormat="1" ht="15" hidden="1" customHeight="1" x14ac:dyDescent="0.3">
      <c r="A848" s="630" t="s">
        <v>599</v>
      </c>
      <c r="B848" s="631"/>
      <c r="C848" s="631"/>
      <c r="D848" s="631"/>
      <c r="E848" s="631"/>
      <c r="F848" s="631"/>
      <c r="G848" s="632"/>
      <c r="H848" s="584" t="s">
        <v>867</v>
      </c>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5"/>
      <c r="AL848" s="585"/>
      <c r="AM848" s="585"/>
      <c r="AN848" s="585"/>
      <c r="AO848" s="585"/>
      <c r="AP848" s="585"/>
      <c r="AQ848" s="585"/>
      <c r="AR848" s="585"/>
      <c r="AS848" s="585"/>
      <c r="AT848" s="586"/>
      <c r="AU848" s="475" t="s">
        <v>690</v>
      </c>
      <c r="AV848" s="476"/>
      <c r="AW848" s="476"/>
      <c r="AX848" s="476"/>
      <c r="AY848" s="476"/>
      <c r="AZ848" s="476"/>
      <c r="BA848" s="476"/>
      <c r="BB848" s="477"/>
      <c r="BC848" s="675"/>
      <c r="BD848" s="676"/>
      <c r="BE848" s="676"/>
      <c r="BF848" s="676"/>
      <c r="BG848" s="676"/>
      <c r="BH848" s="676"/>
      <c r="BI848" s="676"/>
      <c r="BJ848" s="676"/>
      <c r="BK848" s="676"/>
      <c r="BL848" s="676"/>
      <c r="BM848" s="676"/>
      <c r="BN848" s="676"/>
      <c r="BO848" s="676"/>
      <c r="BP848" s="676"/>
      <c r="BQ848" s="676"/>
      <c r="BR848" s="677"/>
      <c r="BS848" s="639"/>
      <c r="BT848" s="640"/>
      <c r="BU848" s="640"/>
      <c r="BV848" s="640"/>
      <c r="BW848" s="640"/>
      <c r="BX848" s="640"/>
      <c r="BY848" s="640"/>
      <c r="BZ848" s="640"/>
      <c r="CA848" s="640"/>
      <c r="CB848" s="640"/>
      <c r="CC848" s="640"/>
      <c r="CD848" s="640"/>
      <c r="CE848" s="640"/>
      <c r="CF848" s="640"/>
      <c r="CG848" s="640"/>
      <c r="CH848" s="641"/>
      <c r="CI848" s="627">
        <f t="shared" si="18"/>
        <v>0</v>
      </c>
      <c r="CJ848" s="628"/>
      <c r="CK848" s="628"/>
      <c r="CL848" s="628"/>
      <c r="CM848" s="628"/>
      <c r="CN848" s="628"/>
      <c r="CO848" s="628"/>
      <c r="CP848" s="628"/>
      <c r="CQ848" s="628"/>
      <c r="CR848" s="628"/>
      <c r="CS848" s="628"/>
      <c r="CT848" s="628"/>
      <c r="CU848" s="628"/>
      <c r="CV848" s="628"/>
      <c r="CW848" s="628"/>
      <c r="CX848" s="628"/>
      <c r="CY848" s="628"/>
      <c r="CZ848" s="629"/>
      <c r="DA848" s="227"/>
      <c r="DB848" s="228"/>
    </row>
    <row r="849" spans="1:111" s="16" customFormat="1" ht="15" hidden="1" customHeight="1" x14ac:dyDescent="0.3">
      <c r="A849" s="630" t="s">
        <v>642</v>
      </c>
      <c r="B849" s="631"/>
      <c r="C849" s="631"/>
      <c r="D849" s="631"/>
      <c r="E849" s="631"/>
      <c r="F849" s="631"/>
      <c r="G849" s="632"/>
      <c r="H849" s="584" t="s">
        <v>801</v>
      </c>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5"/>
      <c r="AL849" s="585"/>
      <c r="AM849" s="585"/>
      <c r="AN849" s="585"/>
      <c r="AO849" s="585"/>
      <c r="AP849" s="585"/>
      <c r="AQ849" s="585"/>
      <c r="AR849" s="585"/>
      <c r="AS849" s="585"/>
      <c r="AT849" s="586"/>
      <c r="AU849" s="475" t="s">
        <v>690</v>
      </c>
      <c r="AV849" s="476"/>
      <c r="AW849" s="476"/>
      <c r="AX849" s="476"/>
      <c r="AY849" s="476"/>
      <c r="AZ849" s="476"/>
      <c r="BA849" s="476"/>
      <c r="BB849" s="477"/>
      <c r="BC849" s="675"/>
      <c r="BD849" s="676"/>
      <c r="BE849" s="676"/>
      <c r="BF849" s="676"/>
      <c r="BG849" s="676"/>
      <c r="BH849" s="676"/>
      <c r="BI849" s="676"/>
      <c r="BJ849" s="676"/>
      <c r="BK849" s="676"/>
      <c r="BL849" s="676"/>
      <c r="BM849" s="676"/>
      <c r="BN849" s="676"/>
      <c r="BO849" s="676"/>
      <c r="BP849" s="676"/>
      <c r="BQ849" s="676"/>
      <c r="BR849" s="677"/>
      <c r="BS849" s="639"/>
      <c r="BT849" s="640"/>
      <c r="BU849" s="640"/>
      <c r="BV849" s="640"/>
      <c r="BW849" s="640"/>
      <c r="BX849" s="640"/>
      <c r="BY849" s="640"/>
      <c r="BZ849" s="640"/>
      <c r="CA849" s="640"/>
      <c r="CB849" s="640"/>
      <c r="CC849" s="640"/>
      <c r="CD849" s="640"/>
      <c r="CE849" s="640"/>
      <c r="CF849" s="640"/>
      <c r="CG849" s="640"/>
      <c r="CH849" s="641"/>
      <c r="CI849" s="627">
        <f t="shared" si="18"/>
        <v>0</v>
      </c>
      <c r="CJ849" s="628"/>
      <c r="CK849" s="628"/>
      <c r="CL849" s="628"/>
      <c r="CM849" s="628"/>
      <c r="CN849" s="628"/>
      <c r="CO849" s="628"/>
      <c r="CP849" s="628"/>
      <c r="CQ849" s="628"/>
      <c r="CR849" s="628"/>
      <c r="CS849" s="628"/>
      <c r="CT849" s="628"/>
      <c r="CU849" s="628"/>
      <c r="CV849" s="628"/>
      <c r="CW849" s="628"/>
      <c r="CX849" s="628"/>
      <c r="CY849" s="628"/>
      <c r="CZ849" s="629"/>
      <c r="DA849" s="217"/>
      <c r="DB849" s="244"/>
      <c r="DG849" s="245"/>
    </row>
    <row r="850" spans="1:111" s="16" customFormat="1" ht="15" hidden="1" customHeight="1" x14ac:dyDescent="0.3">
      <c r="A850" s="630" t="s">
        <v>648</v>
      </c>
      <c r="B850" s="631"/>
      <c r="C850" s="631"/>
      <c r="D850" s="631"/>
      <c r="E850" s="631"/>
      <c r="F850" s="631"/>
      <c r="G850" s="632"/>
      <c r="H850" s="584" t="s">
        <v>865</v>
      </c>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5"/>
      <c r="AL850" s="585"/>
      <c r="AM850" s="585"/>
      <c r="AN850" s="585"/>
      <c r="AO850" s="585"/>
      <c r="AP850" s="585"/>
      <c r="AQ850" s="585"/>
      <c r="AR850" s="585"/>
      <c r="AS850" s="585"/>
      <c r="AT850" s="586"/>
      <c r="AU850" s="475" t="s">
        <v>690</v>
      </c>
      <c r="AV850" s="476"/>
      <c r="AW850" s="476"/>
      <c r="AX850" s="476"/>
      <c r="AY850" s="476"/>
      <c r="AZ850" s="476"/>
      <c r="BA850" s="476"/>
      <c r="BB850" s="477"/>
      <c r="BC850" s="675"/>
      <c r="BD850" s="676"/>
      <c r="BE850" s="676"/>
      <c r="BF850" s="676"/>
      <c r="BG850" s="676"/>
      <c r="BH850" s="676"/>
      <c r="BI850" s="676"/>
      <c r="BJ850" s="676"/>
      <c r="BK850" s="676"/>
      <c r="BL850" s="676"/>
      <c r="BM850" s="676"/>
      <c r="BN850" s="676"/>
      <c r="BO850" s="676"/>
      <c r="BP850" s="676"/>
      <c r="BQ850" s="676"/>
      <c r="BR850" s="677"/>
      <c r="BS850" s="639"/>
      <c r="BT850" s="640"/>
      <c r="BU850" s="640"/>
      <c r="BV850" s="640"/>
      <c r="BW850" s="640"/>
      <c r="BX850" s="640"/>
      <c r="BY850" s="640"/>
      <c r="BZ850" s="640"/>
      <c r="CA850" s="640"/>
      <c r="CB850" s="640"/>
      <c r="CC850" s="640"/>
      <c r="CD850" s="640"/>
      <c r="CE850" s="640"/>
      <c r="CF850" s="640"/>
      <c r="CG850" s="640"/>
      <c r="CH850" s="641"/>
      <c r="CI850" s="627">
        <f t="shared" si="18"/>
        <v>0</v>
      </c>
      <c r="CJ850" s="628"/>
      <c r="CK850" s="628"/>
      <c r="CL850" s="628"/>
      <c r="CM850" s="628"/>
      <c r="CN850" s="628"/>
      <c r="CO850" s="628"/>
      <c r="CP850" s="628"/>
      <c r="CQ850" s="628"/>
      <c r="CR850" s="628"/>
      <c r="CS850" s="628"/>
      <c r="CT850" s="628"/>
      <c r="CU850" s="628"/>
      <c r="CV850" s="628"/>
      <c r="CW850" s="628"/>
      <c r="CX850" s="628"/>
      <c r="CY850" s="628"/>
      <c r="CZ850" s="629"/>
      <c r="DA850" s="238"/>
      <c r="DB850" s="245"/>
    </row>
    <row r="851" spans="1:111" s="16" customFormat="1" ht="15" hidden="1" customHeight="1" x14ac:dyDescent="0.3">
      <c r="A851" s="630" t="s">
        <v>650</v>
      </c>
      <c r="B851" s="631"/>
      <c r="C851" s="631"/>
      <c r="D851" s="631"/>
      <c r="E851" s="631"/>
      <c r="F851" s="631"/>
      <c r="G851" s="632"/>
      <c r="H851" s="584" t="s">
        <v>863</v>
      </c>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5"/>
      <c r="AL851" s="585"/>
      <c r="AM851" s="585"/>
      <c r="AN851" s="585"/>
      <c r="AO851" s="585"/>
      <c r="AP851" s="585"/>
      <c r="AQ851" s="585"/>
      <c r="AR851" s="585"/>
      <c r="AS851" s="585"/>
      <c r="AT851" s="586"/>
      <c r="AU851" s="475" t="s">
        <v>800</v>
      </c>
      <c r="AV851" s="476"/>
      <c r="AW851" s="476"/>
      <c r="AX851" s="476"/>
      <c r="AY851" s="476"/>
      <c r="AZ851" s="476"/>
      <c r="BA851" s="476"/>
      <c r="BB851" s="477"/>
      <c r="BC851" s="675"/>
      <c r="BD851" s="676"/>
      <c r="BE851" s="676"/>
      <c r="BF851" s="676"/>
      <c r="BG851" s="676"/>
      <c r="BH851" s="676"/>
      <c r="BI851" s="676"/>
      <c r="BJ851" s="676"/>
      <c r="BK851" s="676"/>
      <c r="BL851" s="676"/>
      <c r="BM851" s="676"/>
      <c r="BN851" s="676"/>
      <c r="BO851" s="676"/>
      <c r="BP851" s="676"/>
      <c r="BQ851" s="676"/>
      <c r="BR851" s="677"/>
      <c r="BS851" s="639"/>
      <c r="BT851" s="640"/>
      <c r="BU851" s="640"/>
      <c r="BV851" s="640"/>
      <c r="BW851" s="640"/>
      <c r="BX851" s="640"/>
      <c r="BY851" s="640"/>
      <c r="BZ851" s="640"/>
      <c r="CA851" s="640"/>
      <c r="CB851" s="640"/>
      <c r="CC851" s="640"/>
      <c r="CD851" s="640"/>
      <c r="CE851" s="640"/>
      <c r="CF851" s="640"/>
      <c r="CG851" s="640"/>
      <c r="CH851" s="641"/>
      <c r="CI851" s="627">
        <f t="shared" si="18"/>
        <v>0</v>
      </c>
      <c r="CJ851" s="628"/>
      <c r="CK851" s="628"/>
      <c r="CL851" s="628"/>
      <c r="CM851" s="628"/>
      <c r="CN851" s="628"/>
      <c r="CO851" s="628"/>
      <c r="CP851" s="628"/>
      <c r="CQ851" s="628"/>
      <c r="CR851" s="628"/>
      <c r="CS851" s="628"/>
      <c r="CT851" s="628"/>
      <c r="CU851" s="628"/>
      <c r="CV851" s="628"/>
      <c r="CW851" s="628"/>
      <c r="CX851" s="628"/>
      <c r="CY851" s="628"/>
      <c r="CZ851" s="629"/>
      <c r="DA851" s="238"/>
      <c r="DB851" s="245"/>
    </row>
    <row r="852" spans="1:111" s="16" customFormat="1" ht="15" hidden="1" customHeight="1" x14ac:dyDescent="0.3">
      <c r="A852" s="630" t="s">
        <v>487</v>
      </c>
      <c r="B852" s="631"/>
      <c r="C852" s="631"/>
      <c r="D852" s="631"/>
      <c r="E852" s="631"/>
      <c r="F852" s="631"/>
      <c r="G852" s="632"/>
      <c r="H852" s="584" t="s">
        <v>802</v>
      </c>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5"/>
      <c r="AL852" s="585"/>
      <c r="AM852" s="585"/>
      <c r="AN852" s="585"/>
      <c r="AO852" s="585"/>
      <c r="AP852" s="585"/>
      <c r="AQ852" s="585"/>
      <c r="AR852" s="585"/>
      <c r="AS852" s="585"/>
      <c r="AT852" s="586"/>
      <c r="AU852" s="475" t="s">
        <v>690</v>
      </c>
      <c r="AV852" s="476"/>
      <c r="AW852" s="476"/>
      <c r="AX852" s="476"/>
      <c r="AY852" s="476"/>
      <c r="AZ852" s="476"/>
      <c r="BA852" s="476"/>
      <c r="BB852" s="477"/>
      <c r="BC852" s="675"/>
      <c r="BD852" s="676"/>
      <c r="BE852" s="676"/>
      <c r="BF852" s="676"/>
      <c r="BG852" s="676"/>
      <c r="BH852" s="676"/>
      <c r="BI852" s="676"/>
      <c r="BJ852" s="676"/>
      <c r="BK852" s="676"/>
      <c r="BL852" s="676"/>
      <c r="BM852" s="676"/>
      <c r="BN852" s="676"/>
      <c r="BO852" s="676"/>
      <c r="BP852" s="676"/>
      <c r="BQ852" s="676"/>
      <c r="BR852" s="677"/>
      <c r="BS852" s="639"/>
      <c r="BT852" s="640"/>
      <c r="BU852" s="640"/>
      <c r="BV852" s="640"/>
      <c r="BW852" s="640"/>
      <c r="BX852" s="640"/>
      <c r="BY852" s="640"/>
      <c r="BZ852" s="640"/>
      <c r="CA852" s="640"/>
      <c r="CB852" s="640"/>
      <c r="CC852" s="640"/>
      <c r="CD852" s="640"/>
      <c r="CE852" s="640"/>
      <c r="CF852" s="640"/>
      <c r="CG852" s="640"/>
      <c r="CH852" s="641"/>
      <c r="CI852" s="627">
        <f t="shared" si="18"/>
        <v>0</v>
      </c>
      <c r="CJ852" s="628"/>
      <c r="CK852" s="628"/>
      <c r="CL852" s="628"/>
      <c r="CM852" s="628"/>
      <c r="CN852" s="628"/>
      <c r="CO852" s="628"/>
      <c r="CP852" s="628"/>
      <c r="CQ852" s="628"/>
      <c r="CR852" s="628"/>
      <c r="CS852" s="628"/>
      <c r="CT852" s="628"/>
      <c r="CU852" s="628"/>
      <c r="CV852" s="628"/>
      <c r="CW852" s="628"/>
      <c r="CX852" s="628"/>
      <c r="CY852" s="628"/>
      <c r="CZ852" s="629"/>
      <c r="DA852" s="238"/>
      <c r="DB852" s="245"/>
    </row>
    <row r="853" spans="1:111" s="16" customFormat="1" ht="15" hidden="1" customHeight="1" x14ac:dyDescent="0.3">
      <c r="A853" s="630" t="s">
        <v>653</v>
      </c>
      <c r="B853" s="631"/>
      <c r="C853" s="631"/>
      <c r="D853" s="631"/>
      <c r="E853" s="631"/>
      <c r="F853" s="631"/>
      <c r="G853" s="632"/>
      <c r="H853" s="584" t="s">
        <v>893</v>
      </c>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5"/>
      <c r="AL853" s="585"/>
      <c r="AM853" s="585"/>
      <c r="AN853" s="585"/>
      <c r="AO853" s="585"/>
      <c r="AP853" s="585"/>
      <c r="AQ853" s="585"/>
      <c r="AR853" s="585"/>
      <c r="AS853" s="585"/>
      <c r="AT853" s="586"/>
      <c r="AU853" s="475" t="s">
        <v>690</v>
      </c>
      <c r="AV853" s="476"/>
      <c r="AW853" s="476"/>
      <c r="AX853" s="476"/>
      <c r="AY853" s="476"/>
      <c r="AZ853" s="476"/>
      <c r="BA853" s="476"/>
      <c r="BB853" s="477"/>
      <c r="BC853" s="675"/>
      <c r="BD853" s="676"/>
      <c r="BE853" s="676"/>
      <c r="BF853" s="676"/>
      <c r="BG853" s="676"/>
      <c r="BH853" s="676"/>
      <c r="BI853" s="676"/>
      <c r="BJ853" s="676"/>
      <c r="BK853" s="676"/>
      <c r="BL853" s="676"/>
      <c r="BM853" s="676"/>
      <c r="BN853" s="676"/>
      <c r="BO853" s="676"/>
      <c r="BP853" s="676"/>
      <c r="BQ853" s="676"/>
      <c r="BR853" s="677"/>
      <c r="BS853" s="639"/>
      <c r="BT853" s="640"/>
      <c r="BU853" s="640"/>
      <c r="BV853" s="640"/>
      <c r="BW853" s="640"/>
      <c r="BX853" s="640"/>
      <c r="BY853" s="640"/>
      <c r="BZ853" s="640"/>
      <c r="CA853" s="640"/>
      <c r="CB853" s="640"/>
      <c r="CC853" s="640"/>
      <c r="CD853" s="640"/>
      <c r="CE853" s="640"/>
      <c r="CF853" s="640"/>
      <c r="CG853" s="640"/>
      <c r="CH853" s="641"/>
      <c r="CI853" s="627">
        <f t="shared" si="18"/>
        <v>0</v>
      </c>
      <c r="CJ853" s="628"/>
      <c r="CK853" s="628"/>
      <c r="CL853" s="628"/>
      <c r="CM853" s="628"/>
      <c r="CN853" s="628"/>
      <c r="CO853" s="628"/>
      <c r="CP853" s="628"/>
      <c r="CQ853" s="628"/>
      <c r="CR853" s="628"/>
      <c r="CS853" s="628"/>
      <c r="CT853" s="628"/>
      <c r="CU853" s="628"/>
      <c r="CV853" s="628"/>
      <c r="CW853" s="628"/>
      <c r="CX853" s="628"/>
      <c r="CY853" s="628"/>
      <c r="CZ853" s="629"/>
      <c r="DA853" s="238"/>
      <c r="DB853" s="245"/>
    </row>
    <row r="854" spans="1:111" s="16" customFormat="1" ht="15" hidden="1" customHeight="1" x14ac:dyDescent="0.3">
      <c r="A854" s="630" t="s">
        <v>654</v>
      </c>
      <c r="B854" s="631"/>
      <c r="C854" s="631"/>
      <c r="D854" s="631"/>
      <c r="E854" s="631"/>
      <c r="F854" s="631"/>
      <c r="G854" s="632"/>
      <c r="H854" s="584" t="s">
        <v>895</v>
      </c>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5"/>
      <c r="AL854" s="585"/>
      <c r="AM854" s="585"/>
      <c r="AN854" s="585"/>
      <c r="AO854" s="585"/>
      <c r="AP854" s="585"/>
      <c r="AQ854" s="585"/>
      <c r="AR854" s="585"/>
      <c r="AS854" s="585"/>
      <c r="AT854" s="586"/>
      <c r="AU854" s="475" t="s">
        <v>690</v>
      </c>
      <c r="AV854" s="476"/>
      <c r="AW854" s="476"/>
      <c r="AX854" s="476"/>
      <c r="AY854" s="476"/>
      <c r="AZ854" s="476"/>
      <c r="BA854" s="476"/>
      <c r="BB854" s="477"/>
      <c r="BC854" s="675"/>
      <c r="BD854" s="676"/>
      <c r="BE854" s="676"/>
      <c r="BF854" s="676"/>
      <c r="BG854" s="676"/>
      <c r="BH854" s="676"/>
      <c r="BI854" s="676"/>
      <c r="BJ854" s="676"/>
      <c r="BK854" s="676"/>
      <c r="BL854" s="676"/>
      <c r="BM854" s="676"/>
      <c r="BN854" s="676"/>
      <c r="BO854" s="676"/>
      <c r="BP854" s="676"/>
      <c r="BQ854" s="676"/>
      <c r="BR854" s="677"/>
      <c r="BS854" s="639"/>
      <c r="BT854" s="640"/>
      <c r="BU854" s="640"/>
      <c r="BV854" s="640"/>
      <c r="BW854" s="640"/>
      <c r="BX854" s="640"/>
      <c r="BY854" s="640"/>
      <c r="BZ854" s="640"/>
      <c r="CA854" s="640"/>
      <c r="CB854" s="640"/>
      <c r="CC854" s="640"/>
      <c r="CD854" s="640"/>
      <c r="CE854" s="640"/>
      <c r="CF854" s="640"/>
      <c r="CG854" s="640"/>
      <c r="CH854" s="641"/>
      <c r="CI854" s="627">
        <f t="shared" si="18"/>
        <v>0</v>
      </c>
      <c r="CJ854" s="628"/>
      <c r="CK854" s="628"/>
      <c r="CL854" s="628"/>
      <c r="CM854" s="628"/>
      <c r="CN854" s="628"/>
      <c r="CO854" s="628"/>
      <c r="CP854" s="628"/>
      <c r="CQ854" s="628"/>
      <c r="CR854" s="628"/>
      <c r="CS854" s="628"/>
      <c r="CT854" s="628"/>
      <c r="CU854" s="628"/>
      <c r="CV854" s="628"/>
      <c r="CW854" s="628"/>
      <c r="CX854" s="628"/>
      <c r="CY854" s="628"/>
      <c r="CZ854" s="629"/>
      <c r="DA854" s="238"/>
      <c r="DB854" s="245"/>
    </row>
    <row r="855" spans="1:111" s="16" customFormat="1" ht="15" hidden="1" customHeight="1" x14ac:dyDescent="0.3">
      <c r="A855" s="630" t="s">
        <v>655</v>
      </c>
      <c r="B855" s="631"/>
      <c r="C855" s="631"/>
      <c r="D855" s="631"/>
      <c r="E855" s="631"/>
      <c r="F855" s="631"/>
      <c r="G855" s="632"/>
      <c r="H855" s="584" t="s">
        <v>894</v>
      </c>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5"/>
      <c r="AL855" s="585"/>
      <c r="AM855" s="585"/>
      <c r="AN855" s="585"/>
      <c r="AO855" s="585"/>
      <c r="AP855" s="585"/>
      <c r="AQ855" s="585"/>
      <c r="AR855" s="585"/>
      <c r="AS855" s="585"/>
      <c r="AT855" s="586"/>
      <c r="AU855" s="475" t="s">
        <v>690</v>
      </c>
      <c r="AV855" s="476"/>
      <c r="AW855" s="476"/>
      <c r="AX855" s="476"/>
      <c r="AY855" s="476"/>
      <c r="AZ855" s="476"/>
      <c r="BA855" s="476"/>
      <c r="BB855" s="477"/>
      <c r="BC855" s="675"/>
      <c r="BD855" s="676"/>
      <c r="BE855" s="676"/>
      <c r="BF855" s="676"/>
      <c r="BG855" s="676"/>
      <c r="BH855" s="676"/>
      <c r="BI855" s="676"/>
      <c r="BJ855" s="676"/>
      <c r="BK855" s="676"/>
      <c r="BL855" s="676"/>
      <c r="BM855" s="676"/>
      <c r="BN855" s="676"/>
      <c r="BO855" s="676"/>
      <c r="BP855" s="676"/>
      <c r="BQ855" s="676"/>
      <c r="BR855" s="677"/>
      <c r="BS855" s="639"/>
      <c r="BT855" s="640"/>
      <c r="BU855" s="640"/>
      <c r="BV855" s="640"/>
      <c r="BW855" s="640"/>
      <c r="BX855" s="640"/>
      <c r="BY855" s="640"/>
      <c r="BZ855" s="640"/>
      <c r="CA855" s="640"/>
      <c r="CB855" s="640"/>
      <c r="CC855" s="640"/>
      <c r="CD855" s="640"/>
      <c r="CE855" s="640"/>
      <c r="CF855" s="640"/>
      <c r="CG855" s="640"/>
      <c r="CH855" s="641"/>
      <c r="CI855" s="627">
        <f t="shared" si="18"/>
        <v>0</v>
      </c>
      <c r="CJ855" s="628"/>
      <c r="CK855" s="628"/>
      <c r="CL855" s="628"/>
      <c r="CM855" s="628"/>
      <c r="CN855" s="628"/>
      <c r="CO855" s="628"/>
      <c r="CP855" s="628"/>
      <c r="CQ855" s="628"/>
      <c r="CR855" s="628"/>
      <c r="CS855" s="628"/>
      <c r="CT855" s="628"/>
      <c r="CU855" s="628"/>
      <c r="CV855" s="628"/>
      <c r="CW855" s="628"/>
      <c r="CX855" s="628"/>
      <c r="CY855" s="628"/>
      <c r="CZ855" s="629"/>
      <c r="DA855" s="214"/>
    </row>
    <row r="856" spans="1:111" s="16" customFormat="1" ht="15" hidden="1" customHeight="1" x14ac:dyDescent="0.3">
      <c r="A856" s="630" t="s">
        <v>656</v>
      </c>
      <c r="B856" s="631"/>
      <c r="C856" s="631"/>
      <c r="D856" s="631"/>
      <c r="E856" s="631"/>
      <c r="F856" s="631"/>
      <c r="G856" s="632"/>
      <c r="H856" s="584" t="s">
        <v>903</v>
      </c>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5"/>
      <c r="AL856" s="585"/>
      <c r="AM856" s="585"/>
      <c r="AN856" s="585"/>
      <c r="AO856" s="585"/>
      <c r="AP856" s="585"/>
      <c r="AQ856" s="585"/>
      <c r="AR856" s="585"/>
      <c r="AS856" s="585"/>
      <c r="AT856" s="586"/>
      <c r="AU856" s="475" t="s">
        <v>690</v>
      </c>
      <c r="AV856" s="476"/>
      <c r="AW856" s="476"/>
      <c r="AX856" s="476"/>
      <c r="AY856" s="476"/>
      <c r="AZ856" s="476"/>
      <c r="BA856" s="476"/>
      <c r="BB856" s="477"/>
      <c r="BC856" s="675"/>
      <c r="BD856" s="676"/>
      <c r="BE856" s="676"/>
      <c r="BF856" s="676"/>
      <c r="BG856" s="676"/>
      <c r="BH856" s="676"/>
      <c r="BI856" s="676"/>
      <c r="BJ856" s="676"/>
      <c r="BK856" s="676"/>
      <c r="BL856" s="676"/>
      <c r="BM856" s="676"/>
      <c r="BN856" s="676"/>
      <c r="BO856" s="676"/>
      <c r="BP856" s="676"/>
      <c r="BQ856" s="676"/>
      <c r="BR856" s="677"/>
      <c r="BS856" s="639"/>
      <c r="BT856" s="640"/>
      <c r="BU856" s="640"/>
      <c r="BV856" s="640"/>
      <c r="BW856" s="640"/>
      <c r="BX856" s="640"/>
      <c r="BY856" s="640"/>
      <c r="BZ856" s="640"/>
      <c r="CA856" s="640"/>
      <c r="CB856" s="640"/>
      <c r="CC856" s="640"/>
      <c r="CD856" s="640"/>
      <c r="CE856" s="640"/>
      <c r="CF856" s="640"/>
      <c r="CG856" s="640"/>
      <c r="CH856" s="641"/>
      <c r="CI856" s="627">
        <f t="shared" si="18"/>
        <v>0</v>
      </c>
      <c r="CJ856" s="628"/>
      <c r="CK856" s="628"/>
      <c r="CL856" s="628"/>
      <c r="CM856" s="628"/>
      <c r="CN856" s="628"/>
      <c r="CO856" s="628"/>
      <c r="CP856" s="628"/>
      <c r="CQ856" s="628"/>
      <c r="CR856" s="628"/>
      <c r="CS856" s="628"/>
      <c r="CT856" s="628"/>
      <c r="CU856" s="628"/>
      <c r="CV856" s="628"/>
      <c r="CW856" s="628"/>
      <c r="CX856" s="628"/>
      <c r="CY856" s="628"/>
      <c r="CZ856" s="629"/>
      <c r="DA856" s="214"/>
    </row>
    <row r="857" spans="1:111" s="16" customFormat="1" ht="18.75" hidden="1" customHeight="1" x14ac:dyDescent="0.3">
      <c r="A857" s="553" t="s">
        <v>292</v>
      </c>
      <c r="B857" s="554"/>
      <c r="C857" s="554"/>
      <c r="D857" s="554"/>
      <c r="E857" s="554"/>
      <c r="F857" s="554"/>
      <c r="G857" s="554"/>
      <c r="H857" s="554"/>
      <c r="I857" s="554"/>
      <c r="J857" s="554"/>
      <c r="K857" s="554"/>
      <c r="L857" s="554"/>
      <c r="M857" s="554"/>
      <c r="N857" s="554"/>
      <c r="O857" s="554"/>
      <c r="P857" s="554"/>
      <c r="Q857" s="554"/>
      <c r="R857" s="554"/>
      <c r="S857" s="554"/>
      <c r="T857" s="554"/>
      <c r="U857" s="554"/>
      <c r="V857" s="554"/>
      <c r="W857" s="554"/>
      <c r="X857" s="554"/>
      <c r="Y857" s="554"/>
      <c r="Z857" s="554"/>
      <c r="AA857" s="554"/>
      <c r="AB857" s="554"/>
      <c r="AC857" s="554"/>
      <c r="AD857" s="554"/>
      <c r="AE857" s="554"/>
      <c r="AF857" s="554"/>
      <c r="AG857" s="554"/>
      <c r="AH857" s="554"/>
      <c r="AI857" s="554"/>
      <c r="AJ857" s="554"/>
      <c r="AK857" s="554"/>
      <c r="AL857" s="554"/>
      <c r="AM857" s="554"/>
      <c r="AN857" s="554"/>
      <c r="AO857" s="554"/>
      <c r="AP857" s="554"/>
      <c r="AQ857" s="554"/>
      <c r="AR857" s="554"/>
      <c r="AS857" s="554"/>
      <c r="AT857" s="554"/>
      <c r="AU857" s="554"/>
      <c r="AV857" s="554"/>
      <c r="AW857" s="554"/>
      <c r="AX857" s="554"/>
      <c r="AY857" s="554"/>
      <c r="AZ857" s="554"/>
      <c r="BA857" s="554"/>
      <c r="BB857" s="554"/>
      <c r="BC857" s="554"/>
      <c r="BD857" s="554"/>
      <c r="BE857" s="554"/>
      <c r="BF857" s="554"/>
      <c r="BG857" s="554"/>
      <c r="BH857" s="554"/>
      <c r="BI857" s="554"/>
      <c r="BJ857" s="554"/>
      <c r="BK857" s="554"/>
      <c r="BL857" s="554"/>
      <c r="BM857" s="554"/>
      <c r="BN857" s="554"/>
      <c r="BO857" s="554"/>
      <c r="BP857" s="554"/>
      <c r="BQ857" s="554"/>
      <c r="BR857" s="555"/>
      <c r="BS857" s="582" t="s">
        <v>4</v>
      </c>
      <c r="BT857" s="582"/>
      <c r="BU857" s="582"/>
      <c r="BV857" s="582"/>
      <c r="BW857" s="582"/>
      <c r="BX857" s="582"/>
      <c r="BY857" s="582"/>
      <c r="BZ857" s="582"/>
      <c r="CA857" s="582"/>
      <c r="CB857" s="582"/>
      <c r="CC857" s="582"/>
      <c r="CD857" s="582"/>
      <c r="CE857" s="582"/>
      <c r="CF857" s="582"/>
      <c r="CG857" s="582"/>
      <c r="CH857" s="582"/>
      <c r="CI857" s="611">
        <f>SUM(CI844:CZ856)</f>
        <v>0</v>
      </c>
      <c r="CJ857" s="611"/>
      <c r="CK857" s="611"/>
      <c r="CL857" s="611"/>
      <c r="CM857" s="611"/>
      <c r="CN857" s="611"/>
      <c r="CO857" s="611"/>
      <c r="CP857" s="611"/>
      <c r="CQ857" s="611"/>
      <c r="CR857" s="611"/>
      <c r="CS857" s="611"/>
      <c r="CT857" s="611"/>
      <c r="CU857" s="611"/>
      <c r="CV857" s="611"/>
      <c r="CW857" s="611"/>
      <c r="CX857" s="611"/>
      <c r="CY857" s="611"/>
      <c r="CZ857" s="611"/>
      <c r="DA857" s="214"/>
    </row>
    <row r="858" spans="1:111" s="16" customFormat="1" ht="18.75" hidden="1" customHeight="1" x14ac:dyDescent="0.3">
      <c r="A858" s="648" t="s">
        <v>573</v>
      </c>
      <c r="B858" s="649"/>
      <c r="C858" s="649"/>
      <c r="D858" s="649"/>
      <c r="E858" s="649"/>
      <c r="F858" s="649"/>
      <c r="G858" s="649"/>
      <c r="H858" s="649"/>
      <c r="I858" s="649"/>
      <c r="J858" s="649"/>
      <c r="K858" s="649"/>
      <c r="L858" s="649"/>
      <c r="M858" s="649"/>
      <c r="N858" s="649"/>
      <c r="O858" s="649"/>
      <c r="P858" s="649"/>
      <c r="Q858" s="649"/>
      <c r="R858" s="649"/>
      <c r="S858" s="649"/>
      <c r="T858" s="649"/>
      <c r="U858" s="649"/>
      <c r="V858" s="649"/>
      <c r="W858" s="649"/>
      <c r="X858" s="649"/>
      <c r="Y858" s="649"/>
      <c r="Z858" s="649"/>
      <c r="AA858" s="649"/>
      <c r="AB858" s="649"/>
      <c r="AC858" s="649"/>
      <c r="AD858" s="649"/>
      <c r="AE858" s="649"/>
      <c r="AF858" s="649"/>
      <c r="AG858" s="649"/>
      <c r="AH858" s="649"/>
      <c r="AI858" s="649"/>
      <c r="AJ858" s="649"/>
      <c r="AK858" s="649"/>
      <c r="AL858" s="649"/>
      <c r="AM858" s="649"/>
      <c r="AN858" s="649"/>
      <c r="AO858" s="649"/>
      <c r="AP858" s="649"/>
      <c r="AQ858" s="649"/>
      <c r="AR858" s="649"/>
      <c r="AS858" s="649"/>
      <c r="AT858" s="649"/>
      <c r="AU858" s="649"/>
      <c r="AV858" s="649"/>
      <c r="AW858" s="649"/>
      <c r="AX858" s="649"/>
      <c r="AY858" s="649"/>
      <c r="AZ858" s="649"/>
      <c r="BA858" s="649"/>
      <c r="BB858" s="649"/>
      <c r="BC858" s="649"/>
      <c r="BD858" s="649"/>
      <c r="BE858" s="649"/>
      <c r="BF858" s="649"/>
      <c r="BG858" s="649"/>
      <c r="BH858" s="649"/>
      <c r="BI858" s="649"/>
      <c r="BJ858" s="649"/>
      <c r="BK858" s="649"/>
      <c r="BL858" s="649"/>
      <c r="BM858" s="649"/>
      <c r="BN858" s="649"/>
      <c r="BO858" s="649"/>
      <c r="BP858" s="649"/>
      <c r="BQ858" s="649"/>
      <c r="BR858" s="649"/>
      <c r="BS858" s="649"/>
      <c r="BT858" s="649"/>
      <c r="BU858" s="649"/>
      <c r="BV858" s="649"/>
      <c r="BW858" s="649"/>
      <c r="BX858" s="649"/>
      <c r="BY858" s="649"/>
      <c r="BZ858" s="649"/>
      <c r="CA858" s="649"/>
      <c r="CB858" s="649"/>
      <c r="CC858" s="649"/>
      <c r="CD858" s="649"/>
      <c r="CE858" s="649"/>
      <c r="CF858" s="649"/>
      <c r="CG858" s="649"/>
      <c r="CH858" s="649"/>
      <c r="CI858" s="649"/>
      <c r="CJ858" s="649"/>
      <c r="CK858" s="649"/>
      <c r="CL858" s="649"/>
      <c r="CM858" s="649"/>
      <c r="CN858" s="649"/>
      <c r="CO858" s="649"/>
      <c r="CP858" s="649"/>
      <c r="CQ858" s="649"/>
      <c r="CR858" s="649"/>
      <c r="CS858" s="649"/>
      <c r="CT858" s="649"/>
      <c r="CU858" s="649"/>
      <c r="CV858" s="649"/>
      <c r="CW858" s="649"/>
      <c r="CX858" s="649"/>
      <c r="CY858" s="649"/>
      <c r="CZ858" s="649"/>
      <c r="DA858" s="214"/>
    </row>
    <row r="859" spans="1:111" s="16" customFormat="1" ht="18.75" hidden="1" customHeight="1" x14ac:dyDescent="0.3">
      <c r="A859" s="630" t="s">
        <v>441</v>
      </c>
      <c r="B859" s="631"/>
      <c r="C859" s="631"/>
      <c r="D859" s="631"/>
      <c r="E859" s="631"/>
      <c r="F859" s="631"/>
      <c r="G859" s="632"/>
      <c r="H859" s="584" t="s">
        <v>799</v>
      </c>
      <c r="I859" s="585"/>
      <c r="J859" s="585"/>
      <c r="K859" s="585"/>
      <c r="L859" s="585"/>
      <c r="M859" s="585"/>
      <c r="N859" s="585"/>
      <c r="O859" s="585"/>
      <c r="P859" s="585"/>
      <c r="Q859" s="585"/>
      <c r="R859" s="585"/>
      <c r="S859" s="585"/>
      <c r="T859" s="585"/>
      <c r="U859" s="585"/>
      <c r="V859" s="585"/>
      <c r="W859" s="585"/>
      <c r="X859" s="585"/>
      <c r="Y859" s="585"/>
      <c r="Z859" s="585"/>
      <c r="AA859" s="585"/>
      <c r="AB859" s="585"/>
      <c r="AC859" s="585"/>
      <c r="AD859" s="585"/>
      <c r="AE859" s="585"/>
      <c r="AF859" s="585"/>
      <c r="AG859" s="585"/>
      <c r="AH859" s="585"/>
      <c r="AI859" s="585"/>
      <c r="AJ859" s="585"/>
      <c r="AK859" s="585"/>
      <c r="AL859" s="585"/>
      <c r="AM859" s="585"/>
      <c r="AN859" s="585"/>
      <c r="AO859" s="585"/>
      <c r="AP859" s="585"/>
      <c r="AQ859" s="585"/>
      <c r="AR859" s="585"/>
      <c r="AS859" s="585"/>
      <c r="AT859" s="585"/>
      <c r="AU859" s="584" t="s">
        <v>697</v>
      </c>
      <c r="AV859" s="585"/>
      <c r="AW859" s="585"/>
      <c r="AX859" s="585"/>
      <c r="AY859" s="585"/>
      <c r="AZ859" s="585"/>
      <c r="BA859" s="585"/>
      <c r="BB859" s="585"/>
      <c r="BC859" s="475">
        <f>2800+500+5</f>
        <v>3305</v>
      </c>
      <c r="BD859" s="476"/>
      <c r="BE859" s="476"/>
      <c r="BF859" s="476"/>
      <c r="BG859" s="476"/>
      <c r="BH859" s="476"/>
      <c r="BI859" s="476"/>
      <c r="BJ859" s="476"/>
      <c r="BK859" s="476"/>
      <c r="BL859" s="476"/>
      <c r="BM859" s="476"/>
      <c r="BN859" s="476"/>
      <c r="BO859" s="476"/>
      <c r="BP859" s="476"/>
      <c r="BQ859" s="476"/>
      <c r="BR859" s="477"/>
      <c r="BS859" s="672">
        <f>CI859/BC859</f>
        <v>0</v>
      </c>
      <c r="BT859" s="673"/>
      <c r="BU859" s="673"/>
      <c r="BV859" s="673"/>
      <c r="BW859" s="673"/>
      <c r="BX859" s="673"/>
      <c r="BY859" s="673"/>
      <c r="BZ859" s="673"/>
      <c r="CA859" s="673"/>
      <c r="CB859" s="673"/>
      <c r="CC859" s="673"/>
      <c r="CD859" s="673"/>
      <c r="CE859" s="673"/>
      <c r="CF859" s="673"/>
      <c r="CG859" s="673"/>
      <c r="CH859" s="674"/>
      <c r="CI859" s="660">
        <v>0</v>
      </c>
      <c r="CJ859" s="660"/>
      <c r="CK859" s="660"/>
      <c r="CL859" s="660"/>
      <c r="CM859" s="660"/>
      <c r="CN859" s="660"/>
      <c r="CO859" s="660"/>
      <c r="CP859" s="660"/>
      <c r="CQ859" s="660"/>
      <c r="CR859" s="660"/>
      <c r="CS859" s="660"/>
      <c r="CT859" s="660"/>
      <c r="CU859" s="660"/>
      <c r="CV859" s="660"/>
      <c r="CW859" s="660"/>
      <c r="CX859" s="660"/>
      <c r="CY859" s="660"/>
      <c r="CZ859" s="660"/>
      <c r="DA859" s="214"/>
    </row>
    <row r="860" spans="1:111" s="16" customFormat="1" ht="18.75" hidden="1" customHeight="1" x14ac:dyDescent="0.3">
      <c r="A860" s="553" t="s">
        <v>292</v>
      </c>
      <c r="B860" s="554"/>
      <c r="C860" s="554"/>
      <c r="D860" s="554"/>
      <c r="E860" s="554"/>
      <c r="F860" s="554"/>
      <c r="G860" s="554"/>
      <c r="H860" s="554"/>
      <c r="I860" s="554"/>
      <c r="J860" s="554"/>
      <c r="K860" s="554"/>
      <c r="L860" s="554"/>
      <c r="M860" s="554"/>
      <c r="N860" s="554"/>
      <c r="O860" s="554"/>
      <c r="P860" s="554"/>
      <c r="Q860" s="554"/>
      <c r="R860" s="554"/>
      <c r="S860" s="554"/>
      <c r="T860" s="554"/>
      <c r="U860" s="554"/>
      <c r="V860" s="554"/>
      <c r="W860" s="554"/>
      <c r="X860" s="554"/>
      <c r="Y860" s="554"/>
      <c r="Z860" s="554"/>
      <c r="AA860" s="554"/>
      <c r="AB860" s="554"/>
      <c r="AC860" s="554"/>
      <c r="AD860" s="554"/>
      <c r="AE860" s="554"/>
      <c r="AF860" s="554"/>
      <c r="AG860" s="554"/>
      <c r="AH860" s="554"/>
      <c r="AI860" s="554"/>
      <c r="AJ860" s="554"/>
      <c r="AK860" s="554"/>
      <c r="AL860" s="554"/>
      <c r="AM860" s="554"/>
      <c r="AN860" s="554"/>
      <c r="AO860" s="554"/>
      <c r="AP860" s="554"/>
      <c r="AQ860" s="554"/>
      <c r="AR860" s="554"/>
      <c r="AS860" s="554"/>
      <c r="AT860" s="554"/>
      <c r="AU860" s="554"/>
      <c r="AV860" s="554"/>
      <c r="AW860" s="554"/>
      <c r="AX860" s="554"/>
      <c r="AY860" s="554"/>
      <c r="AZ860" s="554"/>
      <c r="BA860" s="554"/>
      <c r="BB860" s="554"/>
      <c r="BC860" s="554"/>
      <c r="BD860" s="554"/>
      <c r="BE860" s="554"/>
      <c r="BF860" s="554"/>
      <c r="BG860" s="554"/>
      <c r="BH860" s="554"/>
      <c r="BI860" s="554"/>
      <c r="BJ860" s="554"/>
      <c r="BK860" s="554"/>
      <c r="BL860" s="554"/>
      <c r="BM860" s="554"/>
      <c r="BN860" s="554"/>
      <c r="BO860" s="554"/>
      <c r="BP860" s="554"/>
      <c r="BQ860" s="554"/>
      <c r="BR860" s="555"/>
      <c r="BS860" s="582" t="s">
        <v>4</v>
      </c>
      <c r="BT860" s="582"/>
      <c r="BU860" s="582"/>
      <c r="BV860" s="582"/>
      <c r="BW860" s="582"/>
      <c r="BX860" s="582"/>
      <c r="BY860" s="582"/>
      <c r="BZ860" s="582"/>
      <c r="CA860" s="582"/>
      <c r="CB860" s="582"/>
      <c r="CC860" s="582"/>
      <c r="CD860" s="582"/>
      <c r="CE860" s="582"/>
      <c r="CF860" s="582"/>
      <c r="CG860" s="582"/>
      <c r="CH860" s="582"/>
      <c r="CI860" s="611">
        <f>CI859</f>
        <v>0</v>
      </c>
      <c r="CJ860" s="611"/>
      <c r="CK860" s="611"/>
      <c r="CL860" s="611"/>
      <c r="CM860" s="611"/>
      <c r="CN860" s="611"/>
      <c r="CO860" s="611"/>
      <c r="CP860" s="611"/>
      <c r="CQ860" s="611"/>
      <c r="CR860" s="611"/>
      <c r="CS860" s="611"/>
      <c r="CT860" s="611"/>
      <c r="CU860" s="611"/>
      <c r="CV860" s="611"/>
      <c r="CW860" s="611"/>
      <c r="CX860" s="611"/>
      <c r="CY860" s="611"/>
      <c r="CZ860" s="611"/>
      <c r="DA860" s="214"/>
    </row>
    <row r="861" spans="1:111" s="16" customFormat="1" ht="15" customHeight="1" x14ac:dyDescent="0.3">
      <c r="A861" s="553" t="s">
        <v>56</v>
      </c>
      <c r="B861" s="554"/>
      <c r="C861" s="554"/>
      <c r="D861" s="554"/>
      <c r="E861" s="554"/>
      <c r="F861" s="554"/>
      <c r="G861" s="554"/>
      <c r="H861" s="554"/>
      <c r="I861" s="554"/>
      <c r="J861" s="554"/>
      <c r="K861" s="554"/>
      <c r="L861" s="554"/>
      <c r="M861" s="554"/>
      <c r="N861" s="554"/>
      <c r="O861" s="554"/>
      <c r="P861" s="554"/>
      <c r="Q861" s="554"/>
      <c r="R861" s="554"/>
      <c r="S861" s="554"/>
      <c r="T861" s="554"/>
      <c r="U861" s="554"/>
      <c r="V861" s="554"/>
      <c r="W861" s="554"/>
      <c r="X861" s="554"/>
      <c r="Y861" s="554"/>
      <c r="Z861" s="554"/>
      <c r="AA861" s="554"/>
      <c r="AB861" s="554"/>
      <c r="AC861" s="554"/>
      <c r="AD861" s="554"/>
      <c r="AE861" s="554"/>
      <c r="AF861" s="554"/>
      <c r="AG861" s="554"/>
      <c r="AH861" s="554"/>
      <c r="AI861" s="554"/>
      <c r="AJ861" s="554"/>
      <c r="AK861" s="554"/>
      <c r="AL861" s="554"/>
      <c r="AM861" s="554"/>
      <c r="AN861" s="554"/>
      <c r="AO861" s="554"/>
      <c r="AP861" s="554"/>
      <c r="AQ861" s="554"/>
      <c r="AR861" s="554"/>
      <c r="AS861" s="554"/>
      <c r="AT861" s="554"/>
      <c r="AU861" s="554"/>
      <c r="AV861" s="554"/>
      <c r="AW861" s="554"/>
      <c r="AX861" s="554"/>
      <c r="AY861" s="554"/>
      <c r="AZ861" s="554"/>
      <c r="BA861" s="554"/>
      <c r="BB861" s="555"/>
      <c r="BC861" s="582" t="s">
        <v>4</v>
      </c>
      <c r="BD861" s="582"/>
      <c r="BE861" s="582"/>
      <c r="BF861" s="582"/>
      <c r="BG861" s="582"/>
      <c r="BH861" s="582"/>
      <c r="BI861" s="582"/>
      <c r="BJ861" s="582"/>
      <c r="BK861" s="582"/>
      <c r="BL861" s="582"/>
      <c r="BM861" s="582"/>
      <c r="BN861" s="582"/>
      <c r="BO861" s="582"/>
      <c r="BP861" s="582"/>
      <c r="BQ861" s="582"/>
      <c r="BR861" s="582"/>
      <c r="BS861" s="582" t="s">
        <v>4</v>
      </c>
      <c r="BT861" s="582"/>
      <c r="BU861" s="582"/>
      <c r="BV861" s="582"/>
      <c r="BW861" s="582"/>
      <c r="BX861" s="582"/>
      <c r="BY861" s="582"/>
      <c r="BZ861" s="582"/>
      <c r="CA861" s="582"/>
      <c r="CB861" s="582"/>
      <c r="CC861" s="582"/>
      <c r="CD861" s="582"/>
      <c r="CE861" s="582"/>
      <c r="CF861" s="582"/>
      <c r="CG861" s="582"/>
      <c r="CH861" s="582"/>
      <c r="CI861" s="611">
        <f>CI736+CI842+CI857+CI860</f>
        <v>286799.18</v>
      </c>
      <c r="CJ861" s="560"/>
      <c r="CK861" s="560"/>
      <c r="CL861" s="560"/>
      <c r="CM861" s="560"/>
      <c r="CN861" s="560"/>
      <c r="CO861" s="560"/>
      <c r="CP861" s="560"/>
      <c r="CQ861" s="560"/>
      <c r="CR861" s="560"/>
      <c r="CS861" s="560"/>
      <c r="CT861" s="560"/>
      <c r="CU861" s="560"/>
      <c r="CV861" s="560"/>
      <c r="CW861" s="560"/>
      <c r="CX861" s="560"/>
      <c r="CY861" s="560"/>
      <c r="CZ861" s="560"/>
      <c r="DA861" s="220"/>
    </row>
    <row r="862" spans="1:111" s="16" customFormat="1" ht="15" customHeight="1" x14ac:dyDescent="0.3">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c r="BB862" s="222"/>
      <c r="BC862" s="223"/>
      <c r="BD862" s="223"/>
      <c r="BE862" s="223"/>
      <c r="BF862" s="223"/>
      <c r="BG862" s="223"/>
      <c r="BH862" s="223"/>
      <c r="BI862" s="223"/>
      <c r="BJ862" s="223"/>
      <c r="BK862" s="223"/>
      <c r="BL862" s="223"/>
      <c r="BM862" s="223"/>
      <c r="BN862" s="223"/>
      <c r="BO862" s="223"/>
      <c r="BP862" s="223"/>
      <c r="BQ862" s="223"/>
      <c r="BR862" s="223"/>
      <c r="BS862" s="223"/>
      <c r="BT862" s="223"/>
      <c r="BU862" s="223"/>
      <c r="BV862" s="223"/>
      <c r="BW862" s="223"/>
      <c r="BX862" s="223"/>
      <c r="BY862" s="223"/>
      <c r="BZ862" s="223"/>
      <c r="CA862" s="223"/>
      <c r="CB862" s="223"/>
      <c r="CC862" s="223"/>
      <c r="CD862" s="223"/>
      <c r="CE862" s="223"/>
      <c r="CF862" s="223"/>
      <c r="CG862" s="223"/>
      <c r="CH862" s="223"/>
      <c r="CI862" s="223"/>
      <c r="CJ862" s="223"/>
      <c r="CK862" s="223"/>
      <c r="CL862" s="223"/>
      <c r="CM862" s="223"/>
      <c r="CN862" s="223"/>
      <c r="CO862" s="223"/>
      <c r="CP862" s="223"/>
      <c r="CQ862" s="223"/>
      <c r="CR862" s="223"/>
      <c r="CS862" s="223"/>
      <c r="CT862" s="223"/>
      <c r="CU862" s="223"/>
      <c r="CV862" s="223"/>
      <c r="CW862" s="223"/>
      <c r="CX862" s="223"/>
      <c r="CY862" s="223"/>
      <c r="CZ862" s="223"/>
      <c r="DA862" s="237"/>
    </row>
    <row r="863" spans="1:111" s="20" customFormat="1" x14ac:dyDescent="0.25">
      <c r="A863" s="594" t="s">
        <v>363</v>
      </c>
      <c r="B863" s="594"/>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4"/>
      <c r="AL863" s="594"/>
      <c r="AM863" s="594"/>
      <c r="AN863" s="594"/>
      <c r="AO863" s="594"/>
      <c r="AP863" s="594"/>
      <c r="AQ863" s="594"/>
      <c r="AR863" s="594"/>
      <c r="AS863" s="594"/>
      <c r="AT863" s="594"/>
      <c r="AU863" s="594"/>
      <c r="AV863" s="594"/>
      <c r="AW863" s="594"/>
      <c r="AX863" s="594"/>
      <c r="AY863" s="594"/>
      <c r="AZ863" s="594"/>
      <c r="BA863" s="594"/>
      <c r="BB863" s="594"/>
      <c r="BC863" s="594"/>
      <c r="BD863" s="594"/>
      <c r="BE863" s="594"/>
      <c r="BF863" s="594"/>
      <c r="BG863" s="594"/>
      <c r="BH863" s="594"/>
      <c r="BI863" s="594"/>
      <c r="BJ863" s="594"/>
      <c r="BK863" s="594"/>
      <c r="BL863" s="594"/>
      <c r="BM863" s="594"/>
      <c r="BN863" s="594"/>
      <c r="BO863" s="594"/>
      <c r="BP863" s="594"/>
      <c r="BQ863" s="594"/>
      <c r="BR863" s="594"/>
      <c r="BS863" s="594"/>
      <c r="BT863" s="594"/>
      <c r="BU863" s="594"/>
      <c r="BV863" s="594"/>
      <c r="BW863" s="594"/>
      <c r="BX863" s="594"/>
      <c r="BY863" s="594"/>
      <c r="BZ863" s="594"/>
      <c r="CA863" s="594"/>
      <c r="CB863" s="594"/>
      <c r="CC863" s="594"/>
      <c r="CD863" s="594"/>
      <c r="CE863" s="594"/>
      <c r="CF863" s="594"/>
      <c r="CG863" s="594"/>
      <c r="CH863" s="594"/>
      <c r="CI863" s="594"/>
      <c r="CJ863" s="594"/>
      <c r="CK863" s="594"/>
      <c r="CL863" s="594"/>
      <c r="CM863" s="594"/>
      <c r="CN863" s="594"/>
      <c r="CO863" s="594"/>
      <c r="CP863" s="594"/>
      <c r="CQ863" s="594"/>
      <c r="CR863" s="594"/>
      <c r="CS863" s="594"/>
      <c r="CT863" s="594"/>
      <c r="CU863" s="594"/>
      <c r="CV863" s="594"/>
      <c r="CW863" s="594"/>
      <c r="CX863" s="594"/>
      <c r="CY863" s="594"/>
      <c r="CZ863" s="594"/>
    </row>
    <row r="864" spans="1:111" s="20" customFormat="1" x14ac:dyDescent="0.25"/>
    <row r="865" spans="1:106" s="20" customFormat="1" x14ac:dyDescent="0.25">
      <c r="A865" s="20" t="s">
        <v>47</v>
      </c>
      <c r="W865" s="595" t="s">
        <v>587</v>
      </c>
      <c r="X865" s="595"/>
      <c r="Y865" s="595"/>
      <c r="Z865" s="595"/>
      <c r="AA865" s="595"/>
      <c r="AB865" s="595"/>
      <c r="AC865" s="595"/>
      <c r="AD865" s="595"/>
      <c r="AE865" s="595"/>
      <c r="AF865" s="595"/>
      <c r="AG865" s="595"/>
      <c r="AH865" s="595"/>
      <c r="AI865" s="595"/>
      <c r="AJ865" s="595"/>
      <c r="AK865" s="595"/>
      <c r="AL865" s="595"/>
      <c r="AM865" s="595"/>
      <c r="AN865" s="595"/>
      <c r="AO865" s="595"/>
      <c r="AP865" s="595"/>
      <c r="AQ865" s="595"/>
      <c r="AR865" s="595"/>
      <c r="AS865" s="595"/>
      <c r="AT865" s="595"/>
      <c r="AU865" s="595"/>
      <c r="AV865" s="595"/>
      <c r="AW865" s="595"/>
      <c r="AX865" s="595"/>
      <c r="AY865" s="595"/>
      <c r="AZ865" s="595"/>
      <c r="BA865" s="595"/>
      <c r="BB865" s="595"/>
      <c r="BC865" s="595"/>
      <c r="BD865" s="595"/>
      <c r="BE865" s="595"/>
      <c r="BF865" s="595"/>
      <c r="BG865" s="595"/>
      <c r="BH865" s="595"/>
      <c r="BI865" s="595"/>
      <c r="BJ865" s="595"/>
      <c r="BK865" s="595"/>
      <c r="BL865" s="595"/>
      <c r="BM865" s="595"/>
      <c r="BN865" s="595"/>
      <c r="BO865" s="595"/>
      <c r="BP865" s="595"/>
      <c r="BQ865" s="595"/>
      <c r="BR865" s="595"/>
      <c r="BS865" s="595"/>
      <c r="BT865" s="595"/>
      <c r="BU865" s="595"/>
      <c r="BV865" s="595"/>
      <c r="BW865" s="595"/>
      <c r="BX865" s="595"/>
      <c r="BY865" s="595"/>
      <c r="BZ865" s="595"/>
      <c r="CA865" s="595"/>
      <c r="CB865" s="595"/>
      <c r="CC865" s="595"/>
      <c r="CD865" s="595"/>
      <c r="CE865" s="595"/>
      <c r="CF865" s="595"/>
      <c r="CG865" s="595"/>
      <c r="CH865" s="595"/>
      <c r="CI865" s="595"/>
      <c r="CJ865" s="595"/>
      <c r="CK865" s="595"/>
      <c r="CL865" s="595"/>
      <c r="CM865" s="595"/>
      <c r="CN865" s="595"/>
      <c r="CO865" s="595"/>
      <c r="CP865" s="595"/>
      <c r="CQ865" s="595"/>
      <c r="CR865" s="595"/>
      <c r="CS865" s="595"/>
      <c r="CT865" s="595"/>
      <c r="CU865" s="595"/>
      <c r="CV865" s="595"/>
      <c r="CW865" s="595"/>
      <c r="CX865" s="595"/>
      <c r="CY865" s="595"/>
      <c r="CZ865" s="595"/>
      <c r="DA865" s="230">
        <v>227</v>
      </c>
    </row>
    <row r="866" spans="1:106" s="20" customFormat="1" x14ac:dyDescent="0.25"/>
    <row r="867" spans="1:106" ht="30" customHeight="1" x14ac:dyDescent="0.25">
      <c r="A867" s="475" t="s">
        <v>49</v>
      </c>
      <c r="B867" s="476"/>
      <c r="C867" s="476"/>
      <c r="D867" s="476"/>
      <c r="E867" s="476"/>
      <c r="F867" s="476"/>
      <c r="G867" s="477"/>
      <c r="H867" s="475" t="s">
        <v>78</v>
      </c>
      <c r="I867" s="476"/>
      <c r="J867" s="476"/>
      <c r="K867" s="476"/>
      <c r="L867" s="476"/>
      <c r="M867" s="476"/>
      <c r="N867" s="476"/>
      <c r="O867" s="476"/>
      <c r="P867" s="476"/>
      <c r="Q867" s="476"/>
      <c r="R867" s="476"/>
      <c r="S867" s="476"/>
      <c r="T867" s="476"/>
      <c r="U867" s="476"/>
      <c r="V867" s="476"/>
      <c r="W867" s="476"/>
      <c r="X867" s="476"/>
      <c r="Y867" s="476"/>
      <c r="Z867" s="476"/>
      <c r="AA867" s="476"/>
      <c r="AB867" s="476"/>
      <c r="AC867" s="476"/>
      <c r="AD867" s="476"/>
      <c r="AE867" s="476"/>
      <c r="AF867" s="476"/>
      <c r="AG867" s="476"/>
      <c r="AH867" s="476"/>
      <c r="AI867" s="476"/>
      <c r="AJ867" s="476"/>
      <c r="AK867" s="476"/>
      <c r="AL867" s="476"/>
      <c r="AM867" s="476"/>
      <c r="AN867" s="476"/>
      <c r="AO867" s="476"/>
      <c r="AP867" s="476"/>
      <c r="AQ867" s="476"/>
      <c r="AR867" s="476"/>
      <c r="AS867" s="476"/>
      <c r="AT867" s="476"/>
      <c r="AU867" s="476"/>
      <c r="AV867" s="476"/>
      <c r="AW867" s="476"/>
      <c r="AX867" s="476"/>
      <c r="AY867" s="476"/>
      <c r="AZ867" s="476"/>
      <c r="BA867" s="476"/>
      <c r="BB867" s="476"/>
      <c r="BC867" s="476"/>
      <c r="BD867" s="476"/>
      <c r="BE867" s="476"/>
      <c r="BF867" s="476"/>
      <c r="BG867" s="476"/>
      <c r="BH867" s="476"/>
      <c r="BI867" s="476"/>
      <c r="BJ867" s="476"/>
      <c r="BK867" s="476"/>
      <c r="BL867" s="476"/>
      <c r="BM867" s="476"/>
      <c r="BN867" s="476"/>
      <c r="BO867" s="476"/>
      <c r="BP867" s="476"/>
      <c r="BQ867" s="476"/>
      <c r="BR867" s="477"/>
      <c r="BS867" s="606" t="s">
        <v>291</v>
      </c>
      <c r="BT867" s="606"/>
      <c r="BU867" s="606"/>
      <c r="BV867" s="606"/>
      <c r="BW867" s="606"/>
      <c r="BX867" s="606"/>
      <c r="BY867" s="606"/>
      <c r="BZ867" s="606"/>
      <c r="CA867" s="606"/>
      <c r="CB867" s="606"/>
      <c r="CC867" s="606"/>
      <c r="CD867" s="606"/>
      <c r="CE867" s="606"/>
      <c r="CF867" s="606"/>
      <c r="CG867" s="606"/>
      <c r="CH867" s="606"/>
      <c r="CI867" s="606" t="s">
        <v>99</v>
      </c>
      <c r="CJ867" s="606"/>
      <c r="CK867" s="606"/>
      <c r="CL867" s="606"/>
      <c r="CM867" s="606"/>
      <c r="CN867" s="606"/>
      <c r="CO867" s="606"/>
      <c r="CP867" s="606"/>
      <c r="CQ867" s="606"/>
      <c r="CR867" s="606"/>
      <c r="CS867" s="606"/>
      <c r="CT867" s="606"/>
      <c r="CU867" s="606"/>
      <c r="CV867" s="606"/>
      <c r="CW867" s="606"/>
      <c r="CX867" s="606"/>
      <c r="CY867" s="606"/>
      <c r="CZ867" s="606"/>
    </row>
    <row r="868" spans="1:106" s="17" customFormat="1" ht="13.2" x14ac:dyDescent="0.25">
      <c r="A868" s="591">
        <v>1</v>
      </c>
      <c r="B868" s="591"/>
      <c r="C868" s="591"/>
      <c r="D868" s="591"/>
      <c r="E868" s="591"/>
      <c r="F868" s="591"/>
      <c r="G868" s="591"/>
      <c r="H868" s="591">
        <v>2</v>
      </c>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1"/>
      <c r="AL868" s="591"/>
      <c r="AM868" s="591"/>
      <c r="AN868" s="591"/>
      <c r="AO868" s="591"/>
      <c r="AP868" s="591"/>
      <c r="AQ868" s="591"/>
      <c r="AR868" s="591"/>
      <c r="AS868" s="591"/>
      <c r="AT868" s="591"/>
      <c r="AU868" s="591"/>
      <c r="AV868" s="591"/>
      <c r="AW868" s="591"/>
      <c r="AX868" s="591"/>
      <c r="AY868" s="591"/>
      <c r="AZ868" s="591"/>
      <c r="BA868" s="591"/>
      <c r="BB868" s="591"/>
      <c r="BC868" s="591"/>
      <c r="BD868" s="591"/>
      <c r="BE868" s="591"/>
      <c r="BF868" s="591"/>
      <c r="BG868" s="591"/>
      <c r="BH868" s="591"/>
      <c r="BI868" s="591"/>
      <c r="BJ868" s="591"/>
      <c r="BK868" s="591"/>
      <c r="BL868" s="591"/>
      <c r="BM868" s="591"/>
      <c r="BN868" s="591"/>
      <c r="BO868" s="591"/>
      <c r="BP868" s="591"/>
      <c r="BQ868" s="591"/>
      <c r="BR868" s="591"/>
      <c r="BS868" s="591">
        <v>3</v>
      </c>
      <c r="BT868" s="591"/>
      <c r="BU868" s="591"/>
      <c r="BV868" s="591"/>
      <c r="BW868" s="591"/>
      <c r="BX868" s="591"/>
      <c r="BY868" s="591"/>
      <c r="BZ868" s="591"/>
      <c r="CA868" s="591"/>
      <c r="CB868" s="591"/>
      <c r="CC868" s="591"/>
      <c r="CD868" s="591"/>
      <c r="CE868" s="591"/>
      <c r="CF868" s="591"/>
      <c r="CG868" s="591"/>
      <c r="CH868" s="591"/>
      <c r="CI868" s="591">
        <v>4</v>
      </c>
      <c r="CJ868" s="591"/>
      <c r="CK868" s="591"/>
      <c r="CL868" s="591"/>
      <c r="CM868" s="591"/>
      <c r="CN868" s="591"/>
      <c r="CO868" s="591"/>
      <c r="CP868" s="591"/>
      <c r="CQ868" s="591"/>
      <c r="CR868" s="591"/>
      <c r="CS868" s="591"/>
      <c r="CT868" s="591"/>
      <c r="CU868" s="591"/>
      <c r="CV868" s="591"/>
      <c r="CW868" s="591"/>
      <c r="CX868" s="591"/>
      <c r="CY868" s="591"/>
      <c r="CZ868" s="591"/>
      <c r="DA868" s="232"/>
    </row>
    <row r="869" spans="1:106" ht="15" customHeight="1" x14ac:dyDescent="0.25">
      <c r="A869" s="656" t="s">
        <v>537</v>
      </c>
      <c r="B869" s="657"/>
      <c r="C869" s="657"/>
      <c r="D869" s="657"/>
      <c r="E869" s="657"/>
      <c r="F869" s="657"/>
      <c r="G869" s="657"/>
      <c r="H869" s="657"/>
      <c r="I869" s="657"/>
      <c r="J869" s="657"/>
      <c r="K869" s="657"/>
      <c r="L869" s="657"/>
      <c r="M869" s="657"/>
      <c r="N869" s="657"/>
      <c r="O869" s="657"/>
      <c r="P869" s="657"/>
      <c r="Q869" s="657"/>
      <c r="R869" s="657"/>
      <c r="S869" s="657"/>
      <c r="T869" s="657"/>
      <c r="U869" s="657"/>
      <c r="V869" s="657"/>
      <c r="W869" s="657"/>
      <c r="X869" s="657"/>
      <c r="Y869" s="657"/>
      <c r="Z869" s="657"/>
      <c r="AA869" s="657"/>
      <c r="AB869" s="657"/>
      <c r="AC869" s="657"/>
      <c r="AD869" s="657"/>
      <c r="AE869" s="657"/>
      <c r="AF869" s="657"/>
      <c r="AG869" s="657"/>
      <c r="AH869" s="657"/>
      <c r="AI869" s="657"/>
      <c r="AJ869" s="657"/>
      <c r="AK869" s="657"/>
      <c r="AL869" s="657"/>
      <c r="AM869" s="657"/>
      <c r="AN869" s="657"/>
      <c r="AO869" s="657"/>
      <c r="AP869" s="657"/>
      <c r="AQ869" s="657"/>
      <c r="AR869" s="657"/>
      <c r="AS869" s="657"/>
      <c r="AT869" s="657"/>
      <c r="AU869" s="657"/>
      <c r="AV869" s="657"/>
      <c r="AW869" s="657"/>
      <c r="AX869" s="657"/>
      <c r="AY869" s="657"/>
      <c r="AZ869" s="657"/>
      <c r="BA869" s="657"/>
      <c r="BB869" s="657"/>
      <c r="BC869" s="657"/>
      <c r="BD869" s="657"/>
      <c r="BE869" s="657"/>
      <c r="BF869" s="657"/>
      <c r="BG869" s="657"/>
      <c r="BH869" s="657"/>
      <c r="BI869" s="657"/>
      <c r="BJ869" s="657"/>
      <c r="BK869" s="657"/>
      <c r="BL869" s="657"/>
      <c r="BM869" s="657"/>
      <c r="BN869" s="657"/>
      <c r="BO869" s="657"/>
      <c r="BP869" s="657"/>
      <c r="BQ869" s="657"/>
      <c r="BR869" s="657"/>
      <c r="BS869" s="657"/>
      <c r="BT869" s="657"/>
      <c r="BU869" s="657"/>
      <c r="BV869" s="657"/>
      <c r="BW869" s="657"/>
      <c r="BX869" s="657"/>
      <c r="BY869" s="657"/>
      <c r="BZ869" s="657"/>
      <c r="CA869" s="657"/>
      <c r="CB869" s="657"/>
      <c r="CC869" s="657"/>
      <c r="CD869" s="657"/>
      <c r="CE869" s="657"/>
      <c r="CF869" s="657"/>
      <c r="CG869" s="657"/>
      <c r="CH869" s="657"/>
      <c r="CI869" s="657"/>
      <c r="CJ869" s="657"/>
      <c r="CK869" s="657"/>
      <c r="CL869" s="657"/>
      <c r="CM869" s="657"/>
      <c r="CN869" s="657"/>
      <c r="CO869" s="657"/>
      <c r="CP869" s="657"/>
      <c r="CQ869" s="657"/>
      <c r="CR869" s="657"/>
      <c r="CS869" s="657"/>
      <c r="CT869" s="657"/>
      <c r="CU869" s="657"/>
      <c r="CV869" s="657"/>
      <c r="CW869" s="657"/>
      <c r="CX869" s="657"/>
      <c r="CY869" s="657"/>
      <c r="CZ869" s="658"/>
    </row>
    <row r="870" spans="1:106" ht="15" customHeight="1" x14ac:dyDescent="0.25">
      <c r="A870" s="659" t="s">
        <v>441</v>
      </c>
      <c r="B870" s="659"/>
      <c r="C870" s="659"/>
      <c r="D870" s="659"/>
      <c r="E870" s="659"/>
      <c r="F870" s="659"/>
      <c r="G870" s="659"/>
      <c r="H870" s="584" t="s">
        <v>803</v>
      </c>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5"/>
      <c r="AL870" s="585"/>
      <c r="AM870" s="585"/>
      <c r="AN870" s="585"/>
      <c r="AO870" s="585"/>
      <c r="AP870" s="585"/>
      <c r="AQ870" s="585"/>
      <c r="AR870" s="585"/>
      <c r="AS870" s="585"/>
      <c r="AT870" s="585"/>
      <c r="AU870" s="585"/>
      <c r="AV870" s="585"/>
      <c r="AW870" s="585"/>
      <c r="AX870" s="585"/>
      <c r="AY870" s="585"/>
      <c r="AZ870" s="585"/>
      <c r="BA870" s="585"/>
      <c r="BB870" s="585"/>
      <c r="BC870" s="585"/>
      <c r="BD870" s="585"/>
      <c r="BE870" s="585"/>
      <c r="BF870" s="585"/>
      <c r="BG870" s="585"/>
      <c r="BH870" s="585"/>
      <c r="BI870" s="585"/>
      <c r="BJ870" s="585"/>
      <c r="BK870" s="585"/>
      <c r="BL870" s="585"/>
      <c r="BM870" s="585"/>
      <c r="BN870" s="585"/>
      <c r="BO870" s="585"/>
      <c r="BP870" s="585"/>
      <c r="BQ870" s="585"/>
      <c r="BR870" s="586"/>
      <c r="BS870" s="582">
        <v>3</v>
      </c>
      <c r="BT870" s="582"/>
      <c r="BU870" s="582"/>
      <c r="BV870" s="582"/>
      <c r="BW870" s="582"/>
      <c r="BX870" s="582"/>
      <c r="BY870" s="582"/>
      <c r="BZ870" s="582"/>
      <c r="CA870" s="582"/>
      <c r="CB870" s="582"/>
      <c r="CC870" s="582"/>
      <c r="CD870" s="582"/>
      <c r="CE870" s="582"/>
      <c r="CF870" s="582"/>
      <c r="CG870" s="582"/>
      <c r="CH870" s="582"/>
      <c r="CI870" s="664">
        <v>25000</v>
      </c>
      <c r="CJ870" s="664"/>
      <c r="CK870" s="664"/>
      <c r="CL870" s="664"/>
      <c r="CM870" s="664"/>
      <c r="CN870" s="664"/>
      <c r="CO870" s="664"/>
      <c r="CP870" s="664"/>
      <c r="CQ870" s="664"/>
      <c r="CR870" s="664"/>
      <c r="CS870" s="664"/>
      <c r="CT870" s="664"/>
      <c r="CU870" s="664"/>
      <c r="CV870" s="664"/>
      <c r="CW870" s="664"/>
      <c r="CX870" s="664"/>
      <c r="CY870" s="664"/>
      <c r="CZ870" s="664"/>
    </row>
    <row r="871" spans="1:106" ht="15" customHeight="1" x14ac:dyDescent="0.25">
      <c r="A871" s="553" t="s">
        <v>292</v>
      </c>
      <c r="B871" s="554"/>
      <c r="C871" s="554"/>
      <c r="D871" s="554"/>
      <c r="E871" s="554"/>
      <c r="F871" s="554"/>
      <c r="G871" s="554"/>
      <c r="H871" s="554"/>
      <c r="I871" s="554"/>
      <c r="J871" s="554"/>
      <c r="K871" s="554"/>
      <c r="L871" s="554"/>
      <c r="M871" s="554"/>
      <c r="N871" s="554"/>
      <c r="O871" s="554"/>
      <c r="P871" s="554"/>
      <c r="Q871" s="554"/>
      <c r="R871" s="554"/>
      <c r="S871" s="554"/>
      <c r="T871" s="554"/>
      <c r="U871" s="554"/>
      <c r="V871" s="554"/>
      <c r="W871" s="554"/>
      <c r="X871" s="554"/>
      <c r="Y871" s="554"/>
      <c r="Z871" s="554"/>
      <c r="AA871" s="554"/>
      <c r="AB871" s="554"/>
      <c r="AC871" s="554"/>
      <c r="AD871" s="554"/>
      <c r="AE871" s="554"/>
      <c r="AF871" s="554"/>
      <c r="AG871" s="554"/>
      <c r="AH871" s="554"/>
      <c r="AI871" s="554"/>
      <c r="AJ871" s="554"/>
      <c r="AK871" s="554"/>
      <c r="AL871" s="554"/>
      <c r="AM871" s="554"/>
      <c r="AN871" s="554"/>
      <c r="AO871" s="554"/>
      <c r="AP871" s="554"/>
      <c r="AQ871" s="554"/>
      <c r="AR871" s="554"/>
      <c r="AS871" s="554"/>
      <c r="AT871" s="554"/>
      <c r="AU871" s="554"/>
      <c r="AV871" s="554"/>
      <c r="AW871" s="554"/>
      <c r="AX871" s="554"/>
      <c r="AY871" s="554"/>
      <c r="AZ871" s="554"/>
      <c r="BA871" s="554"/>
      <c r="BB871" s="554"/>
      <c r="BC871" s="554"/>
      <c r="BD871" s="554"/>
      <c r="BE871" s="554"/>
      <c r="BF871" s="554"/>
      <c r="BG871" s="554"/>
      <c r="BH871" s="554"/>
      <c r="BI871" s="554"/>
      <c r="BJ871" s="554"/>
      <c r="BK871" s="554"/>
      <c r="BL871" s="554"/>
      <c r="BM871" s="554"/>
      <c r="BN871" s="554"/>
      <c r="BO871" s="554"/>
      <c r="BP871" s="554"/>
      <c r="BQ871" s="554"/>
      <c r="BR871" s="555"/>
      <c r="BS871" s="582" t="s">
        <v>4</v>
      </c>
      <c r="BT871" s="582"/>
      <c r="BU871" s="582"/>
      <c r="BV871" s="582"/>
      <c r="BW871" s="582"/>
      <c r="BX871" s="582"/>
      <c r="BY871" s="582"/>
      <c r="BZ871" s="582"/>
      <c r="CA871" s="582"/>
      <c r="CB871" s="582"/>
      <c r="CC871" s="582"/>
      <c r="CD871" s="582"/>
      <c r="CE871" s="582"/>
      <c r="CF871" s="582"/>
      <c r="CG871" s="582"/>
      <c r="CH871" s="582"/>
      <c r="CI871" s="611">
        <f>CI870</f>
        <v>25000</v>
      </c>
      <c r="CJ871" s="560"/>
      <c r="CK871" s="560"/>
      <c r="CL871" s="560"/>
      <c r="CM871" s="560"/>
      <c r="CN871" s="560"/>
      <c r="CO871" s="560"/>
      <c r="CP871" s="560"/>
      <c r="CQ871" s="560"/>
      <c r="CR871" s="560"/>
      <c r="CS871" s="560"/>
      <c r="CT871" s="560"/>
      <c r="CU871" s="560"/>
      <c r="CV871" s="560"/>
      <c r="CW871" s="560"/>
      <c r="CX871" s="560"/>
      <c r="CY871" s="560"/>
      <c r="CZ871" s="560"/>
    </row>
    <row r="872" spans="1:106" ht="15" hidden="1" customHeight="1" x14ac:dyDescent="0.25">
      <c r="A872" s="643" t="s">
        <v>634</v>
      </c>
      <c r="B872" s="643"/>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43"/>
      <c r="AL872" s="643"/>
      <c r="AM872" s="643"/>
      <c r="AN872" s="643"/>
      <c r="AO872" s="643"/>
      <c r="AP872" s="643"/>
      <c r="AQ872" s="643"/>
      <c r="AR872" s="643"/>
      <c r="AS872" s="643"/>
      <c r="AT872" s="643"/>
      <c r="AU872" s="643"/>
      <c r="AV872" s="643"/>
      <c r="AW872" s="643"/>
      <c r="AX872" s="643"/>
      <c r="AY872" s="643"/>
      <c r="AZ872" s="643"/>
      <c r="BA872" s="643"/>
      <c r="BB872" s="643"/>
      <c r="BC872" s="643"/>
      <c r="BD872" s="643"/>
      <c r="BE872" s="643"/>
      <c r="BF872" s="643"/>
      <c r="BG872" s="643"/>
      <c r="BH872" s="643"/>
      <c r="BI872" s="643"/>
      <c r="BJ872" s="643"/>
      <c r="BK872" s="643"/>
      <c r="BL872" s="643"/>
      <c r="BM872" s="643"/>
      <c r="BN872" s="643"/>
      <c r="BO872" s="643"/>
      <c r="BP872" s="643"/>
      <c r="BQ872" s="643"/>
      <c r="BR872" s="643"/>
      <c r="BS872" s="643"/>
      <c r="BT872" s="643"/>
      <c r="BU872" s="643"/>
      <c r="BV872" s="643"/>
      <c r="BW872" s="643"/>
      <c r="BX872" s="643"/>
      <c r="BY872" s="643"/>
      <c r="BZ872" s="643"/>
      <c r="CA872" s="643"/>
      <c r="CB872" s="643"/>
      <c r="CC872" s="643"/>
      <c r="CD872" s="643"/>
      <c r="CE872" s="643"/>
      <c r="CF872" s="643"/>
      <c r="CG872" s="643"/>
      <c r="CH872" s="643"/>
      <c r="CI872" s="643"/>
      <c r="CJ872" s="643"/>
      <c r="CK872" s="643"/>
      <c r="CL872" s="643"/>
      <c r="CM872" s="643"/>
      <c r="CN872" s="643"/>
      <c r="CO872" s="643"/>
      <c r="CP872" s="643"/>
      <c r="CQ872" s="643"/>
      <c r="CR872" s="643"/>
      <c r="CS872" s="643"/>
      <c r="CT872" s="643"/>
      <c r="CU872" s="643"/>
      <c r="CV872" s="643"/>
      <c r="CW872" s="643"/>
      <c r="CX872" s="643"/>
      <c r="CY872" s="643"/>
      <c r="CZ872" s="643"/>
    </row>
    <row r="873" spans="1:106" ht="15" hidden="1" customHeight="1" x14ac:dyDescent="0.25">
      <c r="A873" s="659" t="s">
        <v>441</v>
      </c>
      <c r="B873" s="659"/>
      <c r="C873" s="659"/>
      <c r="D873" s="659"/>
      <c r="E873" s="659"/>
      <c r="F873" s="659"/>
      <c r="G873" s="659"/>
      <c r="H873" s="584" t="s">
        <v>803</v>
      </c>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5"/>
      <c r="AL873" s="585"/>
      <c r="AM873" s="585"/>
      <c r="AN873" s="585"/>
      <c r="AO873" s="585"/>
      <c r="AP873" s="585"/>
      <c r="AQ873" s="585"/>
      <c r="AR873" s="585"/>
      <c r="AS873" s="585"/>
      <c r="AT873" s="585"/>
      <c r="AU873" s="585"/>
      <c r="AV873" s="585"/>
      <c r="AW873" s="585"/>
      <c r="AX873" s="585"/>
      <c r="AY873" s="585"/>
      <c r="AZ873" s="585"/>
      <c r="BA873" s="585"/>
      <c r="BB873" s="585"/>
      <c r="BC873" s="585"/>
      <c r="BD873" s="585"/>
      <c r="BE873" s="585"/>
      <c r="BF873" s="585"/>
      <c r="BG873" s="585"/>
      <c r="BH873" s="585"/>
      <c r="BI873" s="585"/>
      <c r="BJ873" s="585"/>
      <c r="BK873" s="585"/>
      <c r="BL873" s="585"/>
      <c r="BM873" s="585"/>
      <c r="BN873" s="585"/>
      <c r="BO873" s="585"/>
      <c r="BP873" s="585"/>
      <c r="BQ873" s="585"/>
      <c r="BR873" s="586"/>
      <c r="BS873" s="582"/>
      <c r="BT873" s="582"/>
      <c r="BU873" s="582"/>
      <c r="BV873" s="582"/>
      <c r="BW873" s="582"/>
      <c r="BX873" s="582"/>
      <c r="BY873" s="582"/>
      <c r="BZ873" s="582"/>
      <c r="CA873" s="582"/>
      <c r="CB873" s="582"/>
      <c r="CC873" s="582"/>
      <c r="CD873" s="582"/>
      <c r="CE873" s="582"/>
      <c r="CF873" s="582"/>
      <c r="CG873" s="582"/>
      <c r="CH873" s="582"/>
      <c r="CI873" s="664"/>
      <c r="CJ873" s="664"/>
      <c r="CK873" s="664"/>
      <c r="CL873" s="664"/>
      <c r="CM873" s="664"/>
      <c r="CN873" s="664"/>
      <c r="CO873" s="664"/>
      <c r="CP873" s="664"/>
      <c r="CQ873" s="664"/>
      <c r="CR873" s="664"/>
      <c r="CS873" s="664"/>
      <c r="CT873" s="664"/>
      <c r="CU873" s="664"/>
      <c r="CV873" s="664"/>
      <c r="CW873" s="664"/>
      <c r="CX873" s="664"/>
      <c r="CY873" s="664"/>
      <c r="CZ873" s="664"/>
    </row>
    <row r="874" spans="1:106" ht="15" hidden="1" customHeight="1" x14ac:dyDescent="0.25">
      <c r="A874" s="553" t="s">
        <v>292</v>
      </c>
      <c r="B874" s="554"/>
      <c r="C874" s="554"/>
      <c r="D874" s="554"/>
      <c r="E874" s="554"/>
      <c r="F874" s="554"/>
      <c r="G874" s="554"/>
      <c r="H874" s="554"/>
      <c r="I874" s="554"/>
      <c r="J874" s="554"/>
      <c r="K874" s="554"/>
      <c r="L874" s="554"/>
      <c r="M874" s="554"/>
      <c r="N874" s="554"/>
      <c r="O874" s="554"/>
      <c r="P874" s="554"/>
      <c r="Q874" s="554"/>
      <c r="R874" s="554"/>
      <c r="S874" s="554"/>
      <c r="T874" s="554"/>
      <c r="U874" s="554"/>
      <c r="V874" s="554"/>
      <c r="W874" s="554"/>
      <c r="X874" s="554"/>
      <c r="Y874" s="554"/>
      <c r="Z874" s="554"/>
      <c r="AA874" s="554"/>
      <c r="AB874" s="554"/>
      <c r="AC874" s="554"/>
      <c r="AD874" s="554"/>
      <c r="AE874" s="554"/>
      <c r="AF874" s="554"/>
      <c r="AG874" s="554"/>
      <c r="AH874" s="554"/>
      <c r="AI874" s="554"/>
      <c r="AJ874" s="554"/>
      <c r="AK874" s="554"/>
      <c r="AL874" s="554"/>
      <c r="AM874" s="554"/>
      <c r="AN874" s="554"/>
      <c r="AO874" s="554"/>
      <c r="AP874" s="554"/>
      <c r="AQ874" s="554"/>
      <c r="AR874" s="554"/>
      <c r="AS874" s="554"/>
      <c r="AT874" s="554"/>
      <c r="AU874" s="554"/>
      <c r="AV874" s="554"/>
      <c r="AW874" s="554"/>
      <c r="AX874" s="554"/>
      <c r="AY874" s="554"/>
      <c r="AZ874" s="554"/>
      <c r="BA874" s="554"/>
      <c r="BB874" s="554"/>
      <c r="BC874" s="554"/>
      <c r="BD874" s="554"/>
      <c r="BE874" s="554"/>
      <c r="BF874" s="554"/>
      <c r="BG874" s="554"/>
      <c r="BH874" s="554"/>
      <c r="BI874" s="554"/>
      <c r="BJ874" s="554"/>
      <c r="BK874" s="554"/>
      <c r="BL874" s="554"/>
      <c r="BM874" s="554"/>
      <c r="BN874" s="554"/>
      <c r="BO874" s="554"/>
      <c r="BP874" s="554"/>
      <c r="BQ874" s="554"/>
      <c r="BR874" s="555"/>
      <c r="BS874" s="582" t="s">
        <v>4</v>
      </c>
      <c r="BT874" s="582"/>
      <c r="BU874" s="582"/>
      <c r="BV874" s="582"/>
      <c r="BW874" s="582"/>
      <c r="BX874" s="582"/>
      <c r="BY874" s="582"/>
      <c r="BZ874" s="582"/>
      <c r="CA874" s="582"/>
      <c r="CB874" s="582"/>
      <c r="CC874" s="582"/>
      <c r="CD874" s="582"/>
      <c r="CE874" s="582"/>
      <c r="CF874" s="582"/>
      <c r="CG874" s="582"/>
      <c r="CH874" s="582"/>
      <c r="CI874" s="611">
        <f>CI873</f>
        <v>0</v>
      </c>
      <c r="CJ874" s="560"/>
      <c r="CK874" s="560"/>
      <c r="CL874" s="560"/>
      <c r="CM874" s="560"/>
      <c r="CN874" s="560"/>
      <c r="CO874" s="560"/>
      <c r="CP874" s="560"/>
      <c r="CQ874" s="560"/>
      <c r="CR874" s="560"/>
      <c r="CS874" s="560"/>
      <c r="CT874" s="560"/>
      <c r="CU874" s="560"/>
      <c r="CV874" s="560"/>
      <c r="CW874" s="560"/>
      <c r="CX874" s="560"/>
      <c r="CY874" s="560"/>
      <c r="CZ874" s="560"/>
    </row>
    <row r="875" spans="1:106" ht="15" hidden="1" customHeight="1" x14ac:dyDescent="0.25">
      <c r="A875" s="656" t="s">
        <v>804</v>
      </c>
      <c r="B875" s="657"/>
      <c r="C875" s="657"/>
      <c r="D875" s="657"/>
      <c r="E875" s="657"/>
      <c r="F875" s="657"/>
      <c r="G875" s="657"/>
      <c r="H875" s="657"/>
      <c r="I875" s="657"/>
      <c r="J875" s="657"/>
      <c r="K875" s="657"/>
      <c r="L875" s="657"/>
      <c r="M875" s="657"/>
      <c r="N875" s="657"/>
      <c r="O875" s="657"/>
      <c r="P875" s="657"/>
      <c r="Q875" s="657"/>
      <c r="R875" s="657"/>
      <c r="S875" s="657"/>
      <c r="T875" s="657"/>
      <c r="U875" s="657"/>
      <c r="V875" s="657"/>
      <c r="W875" s="657"/>
      <c r="X875" s="657"/>
      <c r="Y875" s="657"/>
      <c r="Z875" s="657"/>
      <c r="AA875" s="657"/>
      <c r="AB875" s="657"/>
      <c r="AC875" s="657"/>
      <c r="AD875" s="657"/>
      <c r="AE875" s="657"/>
      <c r="AF875" s="657"/>
      <c r="AG875" s="657"/>
      <c r="AH875" s="657"/>
      <c r="AI875" s="657"/>
      <c r="AJ875" s="657"/>
      <c r="AK875" s="657"/>
      <c r="AL875" s="657"/>
      <c r="AM875" s="657"/>
      <c r="AN875" s="657"/>
      <c r="AO875" s="657"/>
      <c r="AP875" s="657"/>
      <c r="AQ875" s="657"/>
      <c r="AR875" s="657"/>
      <c r="AS875" s="657"/>
      <c r="AT875" s="657"/>
      <c r="AU875" s="657"/>
      <c r="AV875" s="657"/>
      <c r="AW875" s="657"/>
      <c r="AX875" s="657"/>
      <c r="AY875" s="657"/>
      <c r="AZ875" s="657"/>
      <c r="BA875" s="657"/>
      <c r="BB875" s="657"/>
      <c r="BC875" s="657"/>
      <c r="BD875" s="657"/>
      <c r="BE875" s="657"/>
      <c r="BF875" s="657"/>
      <c r="BG875" s="657"/>
      <c r="BH875" s="657"/>
      <c r="BI875" s="657"/>
      <c r="BJ875" s="657"/>
      <c r="BK875" s="657"/>
      <c r="BL875" s="657"/>
      <c r="BM875" s="657"/>
      <c r="BN875" s="657"/>
      <c r="BO875" s="657"/>
      <c r="BP875" s="657"/>
      <c r="BQ875" s="657"/>
      <c r="BR875" s="657"/>
      <c r="BS875" s="657"/>
      <c r="BT875" s="657"/>
      <c r="BU875" s="657"/>
      <c r="BV875" s="657"/>
      <c r="BW875" s="657"/>
      <c r="BX875" s="657"/>
      <c r="BY875" s="657"/>
      <c r="BZ875" s="657"/>
      <c r="CA875" s="657"/>
      <c r="CB875" s="657"/>
      <c r="CC875" s="657"/>
      <c r="CD875" s="657"/>
      <c r="CE875" s="657"/>
      <c r="CF875" s="657"/>
      <c r="CG875" s="657"/>
      <c r="CH875" s="657"/>
      <c r="CI875" s="657"/>
      <c r="CJ875" s="657"/>
      <c r="CK875" s="657"/>
      <c r="CL875" s="657"/>
      <c r="CM875" s="657"/>
      <c r="CN875" s="657"/>
      <c r="CO875" s="657"/>
      <c r="CP875" s="657"/>
      <c r="CQ875" s="657"/>
      <c r="CR875" s="657"/>
      <c r="CS875" s="657"/>
      <c r="CT875" s="657"/>
      <c r="CU875" s="657"/>
      <c r="CV875" s="657"/>
      <c r="CW875" s="657"/>
      <c r="CX875" s="657"/>
      <c r="CY875" s="657"/>
      <c r="CZ875" s="658"/>
    </row>
    <row r="876" spans="1:106" ht="17.25" hidden="1" customHeight="1" x14ac:dyDescent="0.25">
      <c r="A876" s="659" t="s">
        <v>441</v>
      </c>
      <c r="B876" s="659"/>
      <c r="C876" s="659"/>
      <c r="D876" s="659"/>
      <c r="E876" s="659"/>
      <c r="F876" s="659"/>
      <c r="G876" s="659"/>
      <c r="H876" s="584" t="s">
        <v>805</v>
      </c>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5"/>
      <c r="AL876" s="585"/>
      <c r="AM876" s="585"/>
      <c r="AN876" s="585"/>
      <c r="AO876" s="585"/>
      <c r="AP876" s="585"/>
      <c r="AQ876" s="585"/>
      <c r="AR876" s="585"/>
      <c r="AS876" s="585"/>
      <c r="AT876" s="585"/>
      <c r="AU876" s="585"/>
      <c r="AV876" s="585"/>
      <c r="AW876" s="585"/>
      <c r="AX876" s="585"/>
      <c r="AY876" s="585"/>
      <c r="AZ876" s="585"/>
      <c r="BA876" s="585"/>
      <c r="BB876" s="585"/>
      <c r="BC876" s="585"/>
      <c r="BD876" s="585"/>
      <c r="BE876" s="585"/>
      <c r="BF876" s="585"/>
      <c r="BG876" s="585"/>
      <c r="BH876" s="585"/>
      <c r="BI876" s="585"/>
      <c r="BJ876" s="585"/>
      <c r="BK876" s="585"/>
      <c r="BL876" s="585"/>
      <c r="BM876" s="585"/>
      <c r="BN876" s="585"/>
      <c r="BO876" s="585"/>
      <c r="BP876" s="585"/>
      <c r="BQ876" s="585"/>
      <c r="BR876" s="586"/>
      <c r="BS876" s="582">
        <v>1</v>
      </c>
      <c r="BT876" s="582"/>
      <c r="BU876" s="582"/>
      <c r="BV876" s="582"/>
      <c r="BW876" s="582"/>
      <c r="BX876" s="582"/>
      <c r="BY876" s="582"/>
      <c r="BZ876" s="582"/>
      <c r="CA876" s="582"/>
      <c r="CB876" s="582"/>
      <c r="CC876" s="582"/>
      <c r="CD876" s="582"/>
      <c r="CE876" s="582"/>
      <c r="CF876" s="582"/>
      <c r="CG876" s="582"/>
      <c r="CH876" s="582"/>
      <c r="CI876" s="664"/>
      <c r="CJ876" s="664"/>
      <c r="CK876" s="664"/>
      <c r="CL876" s="664"/>
      <c r="CM876" s="664"/>
      <c r="CN876" s="664"/>
      <c r="CO876" s="664"/>
      <c r="CP876" s="664"/>
      <c r="CQ876" s="664"/>
      <c r="CR876" s="664"/>
      <c r="CS876" s="664"/>
      <c r="CT876" s="664"/>
      <c r="CU876" s="664"/>
      <c r="CV876" s="664"/>
      <c r="CW876" s="664"/>
      <c r="CX876" s="664"/>
      <c r="CY876" s="664"/>
      <c r="CZ876" s="664"/>
      <c r="DA876" s="231"/>
      <c r="DB876" s="246"/>
    </row>
    <row r="877" spans="1:106" ht="15" hidden="1" customHeight="1" x14ac:dyDescent="0.25">
      <c r="A877" s="553" t="s">
        <v>292</v>
      </c>
      <c r="B877" s="554"/>
      <c r="C877" s="554"/>
      <c r="D877" s="554"/>
      <c r="E877" s="554"/>
      <c r="F877" s="554"/>
      <c r="G877" s="554"/>
      <c r="H877" s="554"/>
      <c r="I877" s="554"/>
      <c r="J877" s="554"/>
      <c r="K877" s="554"/>
      <c r="L877" s="554"/>
      <c r="M877" s="554"/>
      <c r="N877" s="554"/>
      <c r="O877" s="554"/>
      <c r="P877" s="554"/>
      <c r="Q877" s="554"/>
      <c r="R877" s="554"/>
      <c r="S877" s="554"/>
      <c r="T877" s="554"/>
      <c r="U877" s="554"/>
      <c r="V877" s="554"/>
      <c r="W877" s="554"/>
      <c r="X877" s="554"/>
      <c r="Y877" s="554"/>
      <c r="Z877" s="554"/>
      <c r="AA877" s="554"/>
      <c r="AB877" s="554"/>
      <c r="AC877" s="554"/>
      <c r="AD877" s="554"/>
      <c r="AE877" s="554"/>
      <c r="AF877" s="554"/>
      <c r="AG877" s="554"/>
      <c r="AH877" s="554"/>
      <c r="AI877" s="554"/>
      <c r="AJ877" s="554"/>
      <c r="AK877" s="554"/>
      <c r="AL877" s="554"/>
      <c r="AM877" s="554"/>
      <c r="AN877" s="554"/>
      <c r="AO877" s="554"/>
      <c r="AP877" s="554"/>
      <c r="AQ877" s="554"/>
      <c r="AR877" s="554"/>
      <c r="AS877" s="554"/>
      <c r="AT877" s="554"/>
      <c r="AU877" s="554"/>
      <c r="AV877" s="554"/>
      <c r="AW877" s="554"/>
      <c r="AX877" s="554"/>
      <c r="AY877" s="554"/>
      <c r="AZ877" s="554"/>
      <c r="BA877" s="554"/>
      <c r="BB877" s="554"/>
      <c r="BC877" s="554"/>
      <c r="BD877" s="554"/>
      <c r="BE877" s="554"/>
      <c r="BF877" s="554"/>
      <c r="BG877" s="554"/>
      <c r="BH877" s="554"/>
      <c r="BI877" s="554"/>
      <c r="BJ877" s="554"/>
      <c r="BK877" s="554"/>
      <c r="BL877" s="554"/>
      <c r="BM877" s="554"/>
      <c r="BN877" s="554"/>
      <c r="BO877" s="554"/>
      <c r="BP877" s="554"/>
      <c r="BQ877" s="554"/>
      <c r="BR877" s="555"/>
      <c r="BS877" s="582" t="s">
        <v>4</v>
      </c>
      <c r="BT877" s="582"/>
      <c r="BU877" s="582"/>
      <c r="BV877" s="582"/>
      <c r="BW877" s="582"/>
      <c r="BX877" s="582"/>
      <c r="BY877" s="582"/>
      <c r="BZ877" s="582"/>
      <c r="CA877" s="582"/>
      <c r="CB877" s="582"/>
      <c r="CC877" s="582"/>
      <c r="CD877" s="582"/>
      <c r="CE877" s="582"/>
      <c r="CF877" s="582"/>
      <c r="CG877" s="582"/>
      <c r="CH877" s="582"/>
      <c r="CI877" s="611">
        <f>CI876</f>
        <v>0</v>
      </c>
      <c r="CJ877" s="611"/>
      <c r="CK877" s="611"/>
      <c r="CL877" s="611"/>
      <c r="CM877" s="611"/>
      <c r="CN877" s="611"/>
      <c r="CO877" s="611"/>
      <c r="CP877" s="611"/>
      <c r="CQ877" s="611"/>
      <c r="CR877" s="611"/>
      <c r="CS877" s="611"/>
      <c r="CT877" s="611"/>
      <c r="CU877" s="611"/>
      <c r="CV877" s="611"/>
      <c r="CW877" s="611"/>
      <c r="CX877" s="611"/>
      <c r="CY877" s="611"/>
      <c r="CZ877" s="611"/>
    </row>
    <row r="878" spans="1:106" ht="15" hidden="1" customHeight="1" x14ac:dyDescent="0.25">
      <c r="A878" s="656" t="s">
        <v>804</v>
      </c>
      <c r="B878" s="657"/>
      <c r="C878" s="657"/>
      <c r="D878" s="657"/>
      <c r="E878" s="657"/>
      <c r="F878" s="657"/>
      <c r="G878" s="657"/>
      <c r="H878" s="657"/>
      <c r="I878" s="657"/>
      <c r="J878" s="657"/>
      <c r="K878" s="657"/>
      <c r="L878" s="657"/>
      <c r="M878" s="657"/>
      <c r="N878" s="657"/>
      <c r="O878" s="657"/>
      <c r="P878" s="657"/>
      <c r="Q878" s="657"/>
      <c r="R878" s="657"/>
      <c r="S878" s="657"/>
      <c r="T878" s="657"/>
      <c r="U878" s="657"/>
      <c r="V878" s="657"/>
      <c r="W878" s="657"/>
      <c r="X878" s="657"/>
      <c r="Y878" s="657"/>
      <c r="Z878" s="657"/>
      <c r="AA878" s="657"/>
      <c r="AB878" s="657"/>
      <c r="AC878" s="657"/>
      <c r="AD878" s="657"/>
      <c r="AE878" s="657"/>
      <c r="AF878" s="657"/>
      <c r="AG878" s="657"/>
      <c r="AH878" s="657"/>
      <c r="AI878" s="657"/>
      <c r="AJ878" s="657"/>
      <c r="AK878" s="657"/>
      <c r="AL878" s="657"/>
      <c r="AM878" s="657"/>
      <c r="AN878" s="657"/>
      <c r="AO878" s="657"/>
      <c r="AP878" s="657"/>
      <c r="AQ878" s="657"/>
      <c r="AR878" s="657"/>
      <c r="AS878" s="657"/>
      <c r="AT878" s="657"/>
      <c r="AU878" s="657"/>
      <c r="AV878" s="657"/>
      <c r="AW878" s="657"/>
      <c r="AX878" s="657"/>
      <c r="AY878" s="657"/>
      <c r="AZ878" s="657"/>
      <c r="BA878" s="657"/>
      <c r="BB878" s="657"/>
      <c r="BC878" s="657"/>
      <c r="BD878" s="657"/>
      <c r="BE878" s="657"/>
      <c r="BF878" s="657"/>
      <c r="BG878" s="657"/>
      <c r="BH878" s="657"/>
      <c r="BI878" s="657"/>
      <c r="BJ878" s="657"/>
      <c r="BK878" s="657"/>
      <c r="BL878" s="657"/>
      <c r="BM878" s="657"/>
      <c r="BN878" s="657"/>
      <c r="BO878" s="657"/>
      <c r="BP878" s="657"/>
      <c r="BQ878" s="657"/>
      <c r="BR878" s="657"/>
      <c r="BS878" s="657"/>
      <c r="BT878" s="657"/>
      <c r="BU878" s="657"/>
      <c r="BV878" s="657"/>
      <c r="BW878" s="657"/>
      <c r="BX878" s="657"/>
      <c r="BY878" s="657"/>
      <c r="BZ878" s="657"/>
      <c r="CA878" s="657"/>
      <c r="CB878" s="657"/>
      <c r="CC878" s="657"/>
      <c r="CD878" s="657"/>
      <c r="CE878" s="657"/>
      <c r="CF878" s="657"/>
      <c r="CG878" s="657"/>
      <c r="CH878" s="657"/>
      <c r="CI878" s="657"/>
      <c r="CJ878" s="657"/>
      <c r="CK878" s="657"/>
      <c r="CL878" s="657"/>
      <c r="CM878" s="657"/>
      <c r="CN878" s="657"/>
      <c r="CO878" s="657"/>
      <c r="CP878" s="657"/>
      <c r="CQ878" s="657"/>
      <c r="CR878" s="657"/>
      <c r="CS878" s="657"/>
      <c r="CT878" s="657"/>
      <c r="CU878" s="657"/>
      <c r="CV878" s="657"/>
      <c r="CW878" s="657"/>
      <c r="CX878" s="657"/>
      <c r="CY878" s="657"/>
      <c r="CZ878" s="658"/>
    </row>
    <row r="879" spans="1:106" ht="19.5" hidden="1" customHeight="1" x14ac:dyDescent="0.25">
      <c r="A879" s="659" t="s">
        <v>441</v>
      </c>
      <c r="B879" s="659"/>
      <c r="C879" s="659"/>
      <c r="D879" s="659"/>
      <c r="E879" s="659"/>
      <c r="F879" s="659"/>
      <c r="G879" s="659"/>
      <c r="H879" s="584" t="s">
        <v>805</v>
      </c>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5"/>
      <c r="AL879" s="585"/>
      <c r="AM879" s="585"/>
      <c r="AN879" s="585"/>
      <c r="AO879" s="585"/>
      <c r="AP879" s="585"/>
      <c r="AQ879" s="585"/>
      <c r="AR879" s="585"/>
      <c r="AS879" s="585"/>
      <c r="AT879" s="585"/>
      <c r="AU879" s="585"/>
      <c r="AV879" s="585"/>
      <c r="AW879" s="585"/>
      <c r="AX879" s="585"/>
      <c r="AY879" s="585"/>
      <c r="AZ879" s="585"/>
      <c r="BA879" s="585"/>
      <c r="BB879" s="585"/>
      <c r="BC879" s="585"/>
      <c r="BD879" s="585"/>
      <c r="BE879" s="585"/>
      <c r="BF879" s="585"/>
      <c r="BG879" s="585"/>
      <c r="BH879" s="585"/>
      <c r="BI879" s="585"/>
      <c r="BJ879" s="585"/>
      <c r="BK879" s="585"/>
      <c r="BL879" s="585"/>
      <c r="BM879" s="585"/>
      <c r="BN879" s="585"/>
      <c r="BO879" s="585"/>
      <c r="BP879" s="585"/>
      <c r="BQ879" s="585"/>
      <c r="BR879" s="586"/>
      <c r="BS879" s="475">
        <v>1</v>
      </c>
      <c r="BT879" s="476"/>
      <c r="BU879" s="476"/>
      <c r="BV879" s="476"/>
      <c r="BW879" s="476"/>
      <c r="BX879" s="476"/>
      <c r="BY879" s="476"/>
      <c r="BZ879" s="476"/>
      <c r="CA879" s="476"/>
      <c r="CB879" s="476"/>
      <c r="CC879" s="476"/>
      <c r="CD879" s="476"/>
      <c r="CE879" s="476"/>
      <c r="CF879" s="476"/>
      <c r="CG879" s="476"/>
      <c r="CH879" s="476"/>
      <c r="CI879" s="660">
        <v>0</v>
      </c>
      <c r="CJ879" s="660"/>
      <c r="CK879" s="660"/>
      <c r="CL879" s="660"/>
      <c r="CM879" s="660"/>
      <c r="CN879" s="660"/>
      <c r="CO879" s="660"/>
      <c r="CP879" s="660"/>
      <c r="CQ879" s="660"/>
      <c r="CR879" s="660"/>
      <c r="CS879" s="660"/>
      <c r="CT879" s="660"/>
      <c r="CU879" s="660"/>
      <c r="CV879" s="660"/>
      <c r="CW879" s="660"/>
      <c r="CX879" s="660"/>
      <c r="CY879" s="660"/>
      <c r="CZ879" s="660"/>
    </row>
    <row r="880" spans="1:106" ht="15" hidden="1" customHeight="1" x14ac:dyDescent="0.25">
      <c r="A880" s="553" t="s">
        <v>292</v>
      </c>
      <c r="B880" s="554"/>
      <c r="C880" s="554"/>
      <c r="D880" s="554"/>
      <c r="E880" s="554"/>
      <c r="F880" s="554"/>
      <c r="G880" s="554"/>
      <c r="H880" s="554"/>
      <c r="I880" s="554"/>
      <c r="J880" s="554"/>
      <c r="K880" s="554"/>
      <c r="L880" s="554"/>
      <c r="M880" s="554"/>
      <c r="N880" s="554"/>
      <c r="O880" s="554"/>
      <c r="P880" s="554"/>
      <c r="Q880" s="554"/>
      <c r="R880" s="554"/>
      <c r="S880" s="554"/>
      <c r="T880" s="554"/>
      <c r="U880" s="554"/>
      <c r="V880" s="554"/>
      <c r="W880" s="554"/>
      <c r="X880" s="554"/>
      <c r="Y880" s="554"/>
      <c r="Z880" s="554"/>
      <c r="AA880" s="554"/>
      <c r="AB880" s="554"/>
      <c r="AC880" s="554"/>
      <c r="AD880" s="554"/>
      <c r="AE880" s="554"/>
      <c r="AF880" s="554"/>
      <c r="AG880" s="554"/>
      <c r="AH880" s="554"/>
      <c r="AI880" s="554"/>
      <c r="AJ880" s="554"/>
      <c r="AK880" s="554"/>
      <c r="AL880" s="554"/>
      <c r="AM880" s="554"/>
      <c r="AN880" s="554"/>
      <c r="AO880" s="554"/>
      <c r="AP880" s="554"/>
      <c r="AQ880" s="554"/>
      <c r="AR880" s="554"/>
      <c r="AS880" s="554"/>
      <c r="AT880" s="554"/>
      <c r="AU880" s="554"/>
      <c r="AV880" s="554"/>
      <c r="AW880" s="554"/>
      <c r="AX880" s="554"/>
      <c r="AY880" s="554"/>
      <c r="AZ880" s="554"/>
      <c r="BA880" s="554"/>
      <c r="BB880" s="554"/>
      <c r="BC880" s="554"/>
      <c r="BD880" s="554"/>
      <c r="BE880" s="554"/>
      <c r="BF880" s="554"/>
      <c r="BG880" s="554"/>
      <c r="BH880" s="554"/>
      <c r="BI880" s="554"/>
      <c r="BJ880" s="554"/>
      <c r="BK880" s="554"/>
      <c r="BL880" s="554"/>
      <c r="BM880" s="554"/>
      <c r="BN880" s="554"/>
      <c r="BO880" s="554"/>
      <c r="BP880" s="554"/>
      <c r="BQ880" s="554"/>
      <c r="BR880" s="555"/>
      <c r="BS880" s="582" t="s">
        <v>4</v>
      </c>
      <c r="BT880" s="582"/>
      <c r="BU880" s="582"/>
      <c r="BV880" s="582"/>
      <c r="BW880" s="582"/>
      <c r="BX880" s="582"/>
      <c r="BY880" s="582"/>
      <c r="BZ880" s="582"/>
      <c r="CA880" s="582"/>
      <c r="CB880" s="582"/>
      <c r="CC880" s="582"/>
      <c r="CD880" s="582"/>
      <c r="CE880" s="582"/>
      <c r="CF880" s="582"/>
      <c r="CG880" s="582"/>
      <c r="CH880" s="582"/>
      <c r="CI880" s="611">
        <f>CI879</f>
        <v>0</v>
      </c>
      <c r="CJ880" s="611"/>
      <c r="CK880" s="611"/>
      <c r="CL880" s="611"/>
      <c r="CM880" s="611"/>
      <c r="CN880" s="611"/>
      <c r="CO880" s="611"/>
      <c r="CP880" s="611"/>
      <c r="CQ880" s="611"/>
      <c r="CR880" s="611"/>
      <c r="CS880" s="611"/>
      <c r="CT880" s="611"/>
      <c r="CU880" s="611"/>
      <c r="CV880" s="611"/>
      <c r="CW880" s="611"/>
      <c r="CX880" s="611"/>
      <c r="CY880" s="611"/>
      <c r="CZ880" s="611"/>
    </row>
    <row r="881" spans="1:105" ht="15" customHeight="1" x14ac:dyDescent="0.25">
      <c r="A881" s="553" t="s">
        <v>37</v>
      </c>
      <c r="B881" s="554"/>
      <c r="C881" s="554"/>
      <c r="D881" s="554"/>
      <c r="E881" s="554"/>
      <c r="F881" s="554"/>
      <c r="G881" s="554"/>
      <c r="H881" s="554"/>
      <c r="I881" s="554"/>
      <c r="J881" s="554"/>
      <c r="K881" s="554"/>
      <c r="L881" s="554"/>
      <c r="M881" s="554"/>
      <c r="N881" s="554"/>
      <c r="O881" s="554"/>
      <c r="P881" s="554"/>
      <c r="Q881" s="554"/>
      <c r="R881" s="554"/>
      <c r="S881" s="554"/>
      <c r="T881" s="554"/>
      <c r="U881" s="554"/>
      <c r="V881" s="554"/>
      <c r="W881" s="554"/>
      <c r="X881" s="554"/>
      <c r="Y881" s="554"/>
      <c r="Z881" s="554"/>
      <c r="AA881" s="554"/>
      <c r="AB881" s="554"/>
      <c r="AC881" s="554"/>
      <c r="AD881" s="554"/>
      <c r="AE881" s="554"/>
      <c r="AF881" s="554"/>
      <c r="AG881" s="554"/>
      <c r="AH881" s="554"/>
      <c r="AI881" s="554"/>
      <c r="AJ881" s="554"/>
      <c r="AK881" s="554"/>
      <c r="AL881" s="554"/>
      <c r="AM881" s="554"/>
      <c r="AN881" s="554"/>
      <c r="AO881" s="554"/>
      <c r="AP881" s="554"/>
      <c r="AQ881" s="554"/>
      <c r="AR881" s="554"/>
      <c r="AS881" s="554"/>
      <c r="AT881" s="554"/>
      <c r="AU881" s="554"/>
      <c r="AV881" s="554"/>
      <c r="AW881" s="554"/>
      <c r="AX881" s="554"/>
      <c r="AY881" s="554"/>
      <c r="AZ881" s="554"/>
      <c r="BA881" s="554"/>
      <c r="BB881" s="554"/>
      <c r="BC881" s="554"/>
      <c r="BD881" s="554"/>
      <c r="BE881" s="554"/>
      <c r="BF881" s="554"/>
      <c r="BG881" s="554"/>
      <c r="BH881" s="554"/>
      <c r="BI881" s="554"/>
      <c r="BJ881" s="554"/>
      <c r="BK881" s="554"/>
      <c r="BL881" s="554"/>
      <c r="BM881" s="554"/>
      <c r="BN881" s="554"/>
      <c r="BO881" s="554"/>
      <c r="BP881" s="554"/>
      <c r="BQ881" s="554"/>
      <c r="BR881" s="555"/>
      <c r="BS881" s="582" t="s">
        <v>4</v>
      </c>
      <c r="BT881" s="582"/>
      <c r="BU881" s="582"/>
      <c r="BV881" s="582"/>
      <c r="BW881" s="582"/>
      <c r="BX881" s="582"/>
      <c r="BY881" s="582"/>
      <c r="BZ881" s="582"/>
      <c r="CA881" s="582"/>
      <c r="CB881" s="582"/>
      <c r="CC881" s="582"/>
      <c r="CD881" s="582"/>
      <c r="CE881" s="582"/>
      <c r="CF881" s="582"/>
      <c r="CG881" s="582"/>
      <c r="CH881" s="582"/>
      <c r="CI881" s="611">
        <f>CI871+CI874+CI877+CI880</f>
        <v>25000</v>
      </c>
      <c r="CJ881" s="560"/>
      <c r="CK881" s="560"/>
      <c r="CL881" s="560"/>
      <c r="CM881" s="560"/>
      <c r="CN881" s="560"/>
      <c r="CO881" s="560"/>
      <c r="CP881" s="560"/>
      <c r="CQ881" s="560"/>
      <c r="CR881" s="560"/>
      <c r="CS881" s="560"/>
      <c r="CT881" s="560"/>
      <c r="CU881" s="560"/>
      <c r="CV881" s="560"/>
      <c r="CW881" s="560"/>
      <c r="CX881" s="560"/>
      <c r="CY881" s="560"/>
      <c r="CZ881" s="560"/>
      <c r="DA881" s="243"/>
    </row>
    <row r="882" spans="1:105" ht="15"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c r="BB882" s="222"/>
      <c r="BC882" s="222"/>
      <c r="BD882" s="222"/>
      <c r="BE882" s="222"/>
      <c r="BF882" s="222"/>
      <c r="BG882" s="222"/>
      <c r="BH882" s="222"/>
      <c r="BI882" s="222"/>
      <c r="BJ882" s="222"/>
      <c r="BK882" s="222"/>
      <c r="BL882" s="222"/>
      <c r="BM882" s="222"/>
      <c r="BN882" s="222"/>
      <c r="BO882" s="222"/>
      <c r="BP882" s="222"/>
      <c r="BQ882" s="222"/>
      <c r="BR882" s="222"/>
      <c r="BS882" s="223"/>
      <c r="BT882" s="223"/>
      <c r="BU882" s="223"/>
      <c r="BV882" s="223"/>
      <c r="BW882" s="223"/>
      <c r="BX882" s="223"/>
      <c r="BY882" s="223"/>
      <c r="BZ882" s="223"/>
      <c r="CA882" s="223"/>
      <c r="CB882" s="223"/>
      <c r="CC882" s="223"/>
      <c r="CD882" s="223"/>
      <c r="CE882" s="223"/>
      <c r="CF882" s="223"/>
      <c r="CG882" s="223"/>
      <c r="CH882" s="223"/>
      <c r="CI882" s="229"/>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24" t="s">
        <v>366</v>
      </c>
      <c r="B883" s="524"/>
      <c r="C883" s="524"/>
      <c r="D883" s="524"/>
      <c r="E883" s="524"/>
      <c r="F883" s="524"/>
      <c r="G883" s="524"/>
      <c r="H883" s="524"/>
      <c r="I883" s="524"/>
      <c r="J883" s="524"/>
      <c r="K883" s="524"/>
      <c r="L883" s="524"/>
      <c r="M883" s="524"/>
      <c r="N883" s="524"/>
      <c r="O883" s="524"/>
      <c r="P883" s="524"/>
      <c r="Q883" s="524"/>
      <c r="R883" s="524"/>
      <c r="S883" s="524"/>
      <c r="T883" s="524"/>
      <c r="U883" s="524"/>
      <c r="V883" s="524"/>
      <c r="W883" s="524"/>
      <c r="X883" s="524"/>
      <c r="Y883" s="524"/>
      <c r="Z883" s="524"/>
      <c r="AA883" s="524"/>
      <c r="AB883" s="524"/>
      <c r="AC883" s="524"/>
      <c r="AD883" s="524"/>
      <c r="AE883" s="524"/>
      <c r="AF883" s="524"/>
      <c r="AG883" s="524"/>
      <c r="AH883" s="524"/>
      <c r="AI883" s="524"/>
      <c r="AJ883" s="524"/>
      <c r="AK883" s="524"/>
      <c r="AL883" s="524"/>
      <c r="AM883" s="524"/>
      <c r="AN883" s="524"/>
      <c r="AO883" s="524"/>
      <c r="AP883" s="524"/>
      <c r="AQ883" s="524"/>
      <c r="AR883" s="524"/>
      <c r="AS883" s="524"/>
      <c r="AT883" s="524"/>
      <c r="AU883" s="524"/>
      <c r="AV883" s="524"/>
      <c r="AW883" s="524"/>
      <c r="AX883" s="524"/>
      <c r="AY883" s="524"/>
      <c r="AZ883" s="524"/>
      <c r="BA883" s="524"/>
      <c r="BB883" s="524"/>
      <c r="BC883" s="524"/>
      <c r="BD883" s="524"/>
      <c r="BE883" s="524"/>
      <c r="BF883" s="524"/>
      <c r="BG883" s="524"/>
      <c r="BH883" s="524"/>
      <c r="BI883" s="524"/>
      <c r="BJ883" s="524"/>
      <c r="BK883" s="524"/>
      <c r="BL883" s="524"/>
      <c r="BM883" s="524"/>
      <c r="BN883" s="524"/>
      <c r="BO883" s="524"/>
      <c r="BP883" s="524"/>
      <c r="BQ883" s="524"/>
      <c r="BR883" s="524"/>
      <c r="BS883" s="524"/>
      <c r="BT883" s="524"/>
      <c r="BU883" s="524"/>
      <c r="BV883" s="524"/>
      <c r="BW883" s="524"/>
      <c r="BX883" s="524"/>
      <c r="BY883" s="524"/>
      <c r="BZ883" s="524"/>
      <c r="CA883" s="524"/>
      <c r="CB883" s="524"/>
      <c r="CC883" s="524"/>
      <c r="CD883" s="524"/>
      <c r="CE883" s="524"/>
      <c r="CF883" s="524"/>
      <c r="CG883" s="524"/>
      <c r="CH883" s="524"/>
      <c r="CI883" s="524"/>
      <c r="CJ883" s="524"/>
      <c r="CK883" s="524"/>
      <c r="CL883" s="524"/>
      <c r="CM883" s="524"/>
      <c r="CN883" s="524"/>
      <c r="CO883" s="524"/>
      <c r="CP883" s="524"/>
      <c r="CQ883" s="524"/>
      <c r="CR883" s="524"/>
      <c r="CS883" s="524"/>
      <c r="CT883" s="524"/>
      <c r="CU883" s="524"/>
      <c r="CV883" s="524"/>
      <c r="CW883" s="524"/>
      <c r="CX883" s="524"/>
      <c r="CY883" s="524"/>
      <c r="CZ883" s="524"/>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595"/>
      <c r="X885" s="595"/>
      <c r="Y885" s="595"/>
      <c r="Z885" s="595"/>
      <c r="AA885" s="595"/>
      <c r="AB885" s="595"/>
      <c r="AC885" s="595"/>
      <c r="AD885" s="595"/>
      <c r="AE885" s="595"/>
      <c r="AF885" s="595"/>
      <c r="AG885" s="595"/>
      <c r="AH885" s="595"/>
      <c r="AI885" s="595"/>
      <c r="AJ885" s="595"/>
      <c r="AK885" s="595"/>
      <c r="AL885" s="595"/>
      <c r="AM885" s="595"/>
      <c r="AN885" s="595"/>
      <c r="AO885" s="595"/>
      <c r="AP885" s="595"/>
      <c r="AQ885" s="595"/>
      <c r="AR885" s="595"/>
      <c r="AS885" s="595"/>
      <c r="AT885" s="595"/>
      <c r="AU885" s="595"/>
      <c r="AV885" s="595"/>
      <c r="AW885" s="595"/>
      <c r="AX885" s="595"/>
      <c r="AY885" s="595"/>
      <c r="AZ885" s="595"/>
      <c r="BA885" s="595"/>
      <c r="BB885" s="595"/>
      <c r="BC885" s="595"/>
      <c r="BD885" s="595"/>
      <c r="BE885" s="595"/>
      <c r="BF885" s="595"/>
      <c r="BG885" s="595"/>
      <c r="BH885" s="595"/>
      <c r="BI885" s="595"/>
      <c r="BJ885" s="595"/>
      <c r="BK885" s="595"/>
      <c r="BL885" s="595"/>
      <c r="BM885" s="595"/>
      <c r="BN885" s="595"/>
      <c r="BO885" s="595"/>
      <c r="BP885" s="595"/>
      <c r="BQ885" s="595"/>
      <c r="BR885" s="595"/>
      <c r="BS885" s="595"/>
      <c r="BT885" s="595"/>
      <c r="BU885" s="595"/>
      <c r="BV885" s="595"/>
      <c r="BW885" s="595"/>
      <c r="BX885" s="595"/>
      <c r="BY885" s="595"/>
      <c r="BZ885" s="595"/>
      <c r="CA885" s="595"/>
      <c r="CB885" s="595"/>
      <c r="CC885" s="595"/>
      <c r="CD885" s="595"/>
      <c r="CE885" s="595"/>
      <c r="CF885" s="595"/>
      <c r="CG885" s="595"/>
      <c r="CH885" s="595"/>
      <c r="CI885" s="595"/>
      <c r="CJ885" s="595"/>
      <c r="CK885" s="595"/>
      <c r="CL885" s="595"/>
      <c r="CM885" s="595"/>
      <c r="CN885" s="595"/>
      <c r="CO885" s="595"/>
      <c r="CP885" s="595"/>
      <c r="CQ885" s="595"/>
      <c r="CR885" s="595"/>
      <c r="CS885" s="595"/>
      <c r="CT885" s="595"/>
      <c r="CU885" s="595"/>
      <c r="CV885" s="595"/>
      <c r="CW885" s="595"/>
      <c r="CX885" s="595"/>
      <c r="CY885" s="595"/>
      <c r="CZ885" s="595"/>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475" t="s">
        <v>49</v>
      </c>
      <c r="B887" s="476"/>
      <c r="C887" s="476"/>
      <c r="D887" s="476"/>
      <c r="E887" s="476"/>
      <c r="F887" s="476"/>
      <c r="G887" s="477"/>
      <c r="H887" s="475" t="s">
        <v>0</v>
      </c>
      <c r="I887" s="476"/>
      <c r="J887" s="476"/>
      <c r="K887" s="476"/>
      <c r="L887" s="476"/>
      <c r="M887" s="476"/>
      <c r="N887" s="476"/>
      <c r="O887" s="476"/>
      <c r="P887" s="476"/>
      <c r="Q887" s="476"/>
      <c r="R887" s="476"/>
      <c r="S887" s="476"/>
      <c r="T887" s="476"/>
      <c r="U887" s="476"/>
      <c r="V887" s="476"/>
      <c r="W887" s="476"/>
      <c r="X887" s="476"/>
      <c r="Y887" s="476"/>
      <c r="Z887" s="476"/>
      <c r="AA887" s="476"/>
      <c r="AB887" s="476"/>
      <c r="AC887" s="476"/>
      <c r="AD887" s="476"/>
      <c r="AE887" s="476"/>
      <c r="AF887" s="476"/>
      <c r="AG887" s="476"/>
      <c r="AH887" s="476"/>
      <c r="AI887" s="476"/>
      <c r="AJ887" s="476"/>
      <c r="AK887" s="476"/>
      <c r="AL887" s="476"/>
      <c r="AM887" s="476"/>
      <c r="AN887" s="476"/>
      <c r="AO887" s="476"/>
      <c r="AP887" s="476"/>
      <c r="AQ887" s="476"/>
      <c r="AR887" s="476"/>
      <c r="AS887" s="476"/>
      <c r="AT887" s="477"/>
      <c r="AU887" s="475" t="s">
        <v>196</v>
      </c>
      <c r="AV887" s="476"/>
      <c r="AW887" s="476"/>
      <c r="AX887" s="476"/>
      <c r="AY887" s="476"/>
      <c r="AZ887" s="476"/>
      <c r="BA887" s="476"/>
      <c r="BB887" s="477"/>
      <c r="BC887" s="475" t="s">
        <v>91</v>
      </c>
      <c r="BD887" s="476"/>
      <c r="BE887" s="476"/>
      <c r="BF887" s="476"/>
      <c r="BG887" s="476"/>
      <c r="BH887" s="476"/>
      <c r="BI887" s="476"/>
      <c r="BJ887" s="476"/>
      <c r="BK887" s="476"/>
      <c r="BL887" s="476"/>
      <c r="BM887" s="476"/>
      <c r="BN887" s="476"/>
      <c r="BO887" s="476"/>
      <c r="BP887" s="476"/>
      <c r="BQ887" s="476"/>
      <c r="BR887" s="477"/>
      <c r="BS887" s="475" t="s">
        <v>96</v>
      </c>
      <c r="BT887" s="476"/>
      <c r="BU887" s="476"/>
      <c r="BV887" s="476"/>
      <c r="BW887" s="476"/>
      <c r="BX887" s="476"/>
      <c r="BY887" s="476"/>
      <c r="BZ887" s="476"/>
      <c r="CA887" s="476"/>
      <c r="CB887" s="476"/>
      <c r="CC887" s="476"/>
      <c r="CD887" s="476"/>
      <c r="CE887" s="476"/>
      <c r="CF887" s="476"/>
      <c r="CG887" s="476"/>
      <c r="CH887" s="477"/>
      <c r="CI887" s="475" t="s">
        <v>368</v>
      </c>
      <c r="CJ887" s="476"/>
      <c r="CK887" s="476"/>
      <c r="CL887" s="476"/>
      <c r="CM887" s="476"/>
      <c r="CN887" s="476"/>
      <c r="CO887" s="476"/>
      <c r="CP887" s="476"/>
      <c r="CQ887" s="476"/>
      <c r="CR887" s="476"/>
      <c r="CS887" s="476"/>
      <c r="CT887" s="476"/>
      <c r="CU887" s="476"/>
      <c r="CV887" s="476"/>
      <c r="CW887" s="476"/>
      <c r="CX887" s="476"/>
      <c r="CY887" s="476"/>
      <c r="CZ887" s="477"/>
    </row>
    <row r="888" spans="1:105" s="20" customFormat="1" hidden="1" x14ac:dyDescent="0.25">
      <c r="A888" s="661">
        <v>1</v>
      </c>
      <c r="B888" s="662"/>
      <c r="C888" s="662"/>
      <c r="D888" s="662"/>
      <c r="E888" s="662"/>
      <c r="F888" s="662"/>
      <c r="G888" s="663"/>
      <c r="H888" s="661">
        <v>2</v>
      </c>
      <c r="I888" s="662"/>
      <c r="J888" s="662"/>
      <c r="K888" s="662"/>
      <c r="L888" s="662"/>
      <c r="M888" s="662"/>
      <c r="N888" s="662"/>
      <c r="O888" s="662"/>
      <c r="P888" s="662"/>
      <c r="Q888" s="662"/>
      <c r="R888" s="662"/>
      <c r="S888" s="662"/>
      <c r="T888" s="662"/>
      <c r="U888" s="662"/>
      <c r="V888" s="662"/>
      <c r="W888" s="662"/>
      <c r="X888" s="662"/>
      <c r="Y888" s="662"/>
      <c r="Z888" s="662"/>
      <c r="AA888" s="662"/>
      <c r="AB888" s="662"/>
      <c r="AC888" s="662"/>
      <c r="AD888" s="662"/>
      <c r="AE888" s="662"/>
      <c r="AF888" s="662"/>
      <c r="AG888" s="662"/>
      <c r="AH888" s="662"/>
      <c r="AI888" s="662"/>
      <c r="AJ888" s="662"/>
      <c r="AK888" s="662"/>
      <c r="AL888" s="662"/>
      <c r="AM888" s="662"/>
      <c r="AN888" s="662"/>
      <c r="AO888" s="662"/>
      <c r="AP888" s="662"/>
      <c r="AQ888" s="662"/>
      <c r="AR888" s="662"/>
      <c r="AS888" s="662"/>
      <c r="AT888" s="663"/>
      <c r="AU888" s="661">
        <v>3</v>
      </c>
      <c r="AV888" s="662"/>
      <c r="AW888" s="662"/>
      <c r="AX888" s="662"/>
      <c r="AY888" s="662"/>
      <c r="AZ888" s="662"/>
      <c r="BA888" s="662"/>
      <c r="BB888" s="663"/>
      <c r="BC888" s="661">
        <v>4</v>
      </c>
      <c r="BD888" s="662"/>
      <c r="BE888" s="662"/>
      <c r="BF888" s="662"/>
      <c r="BG888" s="662"/>
      <c r="BH888" s="662"/>
      <c r="BI888" s="662"/>
      <c r="BJ888" s="662"/>
      <c r="BK888" s="662"/>
      <c r="BL888" s="662"/>
      <c r="BM888" s="662"/>
      <c r="BN888" s="662"/>
      <c r="BO888" s="662"/>
      <c r="BP888" s="662"/>
      <c r="BQ888" s="662"/>
      <c r="BR888" s="663"/>
      <c r="BS888" s="661">
        <v>5</v>
      </c>
      <c r="BT888" s="662"/>
      <c r="BU888" s="662"/>
      <c r="BV888" s="662"/>
      <c r="BW888" s="662"/>
      <c r="BX888" s="662"/>
      <c r="BY888" s="662"/>
      <c r="BZ888" s="662"/>
      <c r="CA888" s="662"/>
      <c r="CB888" s="662"/>
      <c r="CC888" s="662"/>
      <c r="CD888" s="662"/>
      <c r="CE888" s="662"/>
      <c r="CF888" s="662"/>
      <c r="CG888" s="662"/>
      <c r="CH888" s="663"/>
      <c r="CI888" s="661">
        <v>6</v>
      </c>
      <c r="CJ888" s="662"/>
      <c r="CK888" s="662"/>
      <c r="CL888" s="662"/>
      <c r="CM888" s="662"/>
      <c r="CN888" s="662"/>
      <c r="CO888" s="662"/>
      <c r="CP888" s="662"/>
      <c r="CQ888" s="662"/>
      <c r="CR888" s="662"/>
      <c r="CS888" s="662"/>
      <c r="CT888" s="662"/>
      <c r="CU888" s="662"/>
      <c r="CV888" s="662"/>
      <c r="CW888" s="662"/>
      <c r="CX888" s="662"/>
      <c r="CY888" s="662"/>
      <c r="CZ888" s="663"/>
    </row>
    <row r="889" spans="1:105" s="20" customFormat="1" hidden="1" x14ac:dyDescent="0.25">
      <c r="A889" s="648" t="s">
        <v>258</v>
      </c>
      <c r="B889" s="649"/>
      <c r="C889" s="649"/>
      <c r="D889" s="649"/>
      <c r="E889" s="649"/>
      <c r="F889" s="649"/>
      <c r="G889" s="649"/>
      <c r="H889" s="649"/>
      <c r="I889" s="649"/>
      <c r="J889" s="649"/>
      <c r="K889" s="649"/>
      <c r="L889" s="649"/>
      <c r="M889" s="649"/>
      <c r="N889" s="649"/>
      <c r="O889" s="649"/>
      <c r="P889" s="649"/>
      <c r="Q889" s="649"/>
      <c r="R889" s="649"/>
      <c r="S889" s="649"/>
      <c r="T889" s="649"/>
      <c r="U889" s="649"/>
      <c r="V889" s="649"/>
      <c r="W889" s="649"/>
      <c r="X889" s="649"/>
      <c r="Y889" s="649"/>
      <c r="Z889" s="649"/>
      <c r="AA889" s="649"/>
      <c r="AB889" s="649"/>
      <c r="AC889" s="649"/>
      <c r="AD889" s="649"/>
      <c r="AE889" s="649"/>
      <c r="AF889" s="649"/>
      <c r="AG889" s="649"/>
      <c r="AH889" s="649"/>
      <c r="AI889" s="649"/>
      <c r="AJ889" s="649"/>
      <c r="AK889" s="649"/>
      <c r="AL889" s="649"/>
      <c r="AM889" s="649"/>
      <c r="AN889" s="649"/>
      <c r="AO889" s="649"/>
      <c r="AP889" s="649"/>
      <c r="AQ889" s="649"/>
      <c r="AR889" s="649"/>
      <c r="AS889" s="649"/>
      <c r="AT889" s="649"/>
      <c r="AU889" s="649"/>
      <c r="AV889" s="649"/>
      <c r="AW889" s="649"/>
      <c r="AX889" s="649"/>
      <c r="AY889" s="649"/>
      <c r="AZ889" s="649"/>
      <c r="BA889" s="649"/>
      <c r="BB889" s="649"/>
      <c r="BC889" s="649"/>
      <c r="BD889" s="649"/>
      <c r="BE889" s="649"/>
      <c r="BF889" s="649"/>
      <c r="BG889" s="649"/>
      <c r="BH889" s="649"/>
      <c r="BI889" s="649"/>
      <c r="BJ889" s="649"/>
      <c r="BK889" s="649"/>
      <c r="BL889" s="649"/>
      <c r="BM889" s="649"/>
      <c r="BN889" s="649"/>
      <c r="BO889" s="649"/>
      <c r="BP889" s="649"/>
      <c r="BQ889" s="649"/>
      <c r="BR889" s="649"/>
      <c r="BS889" s="649"/>
      <c r="BT889" s="649"/>
      <c r="BU889" s="649"/>
      <c r="BV889" s="649"/>
      <c r="BW889" s="649"/>
      <c r="BX889" s="649"/>
      <c r="BY889" s="649"/>
      <c r="BZ889" s="649"/>
      <c r="CA889" s="649"/>
      <c r="CB889" s="649"/>
      <c r="CC889" s="649"/>
      <c r="CD889" s="649"/>
      <c r="CE889" s="649"/>
      <c r="CF889" s="649"/>
      <c r="CG889" s="649"/>
      <c r="CH889" s="649"/>
      <c r="CI889" s="649"/>
      <c r="CJ889" s="649"/>
      <c r="CK889" s="649"/>
      <c r="CL889" s="649"/>
      <c r="CM889" s="649"/>
      <c r="CN889" s="649"/>
      <c r="CO889" s="649"/>
      <c r="CP889" s="649"/>
      <c r="CQ889" s="649"/>
      <c r="CR889" s="649"/>
      <c r="CS889" s="649"/>
      <c r="CT889" s="649"/>
      <c r="CU889" s="649"/>
      <c r="CV889" s="649"/>
      <c r="CW889" s="649"/>
      <c r="CX889" s="649"/>
      <c r="CY889" s="649"/>
      <c r="CZ889" s="650"/>
    </row>
    <row r="890" spans="1:105" s="20" customFormat="1" hidden="1" x14ac:dyDescent="0.25">
      <c r="A890" s="630"/>
      <c r="B890" s="631"/>
      <c r="C890" s="631"/>
      <c r="D890" s="631"/>
      <c r="E890" s="631"/>
      <c r="F890" s="631"/>
      <c r="G890" s="632"/>
      <c r="H890" s="475"/>
      <c r="I890" s="476"/>
      <c r="J890" s="476"/>
      <c r="K890" s="476"/>
      <c r="L890" s="476"/>
      <c r="M890" s="476"/>
      <c r="N890" s="476"/>
      <c r="O890" s="476"/>
      <c r="P890" s="476"/>
      <c r="Q890" s="476"/>
      <c r="R890" s="476"/>
      <c r="S890" s="476"/>
      <c r="T890" s="476"/>
      <c r="U890" s="476"/>
      <c r="V890" s="476"/>
      <c r="W890" s="476"/>
      <c r="X890" s="476"/>
      <c r="Y890" s="476"/>
      <c r="Z890" s="476"/>
      <c r="AA890" s="476"/>
      <c r="AB890" s="476"/>
      <c r="AC890" s="476"/>
      <c r="AD890" s="476"/>
      <c r="AE890" s="476"/>
      <c r="AF890" s="476"/>
      <c r="AG890" s="476"/>
      <c r="AH890" s="476"/>
      <c r="AI890" s="476"/>
      <c r="AJ890" s="476"/>
      <c r="AK890" s="476"/>
      <c r="AL890" s="476"/>
      <c r="AM890" s="476"/>
      <c r="AN890" s="476"/>
      <c r="AO890" s="476"/>
      <c r="AP890" s="476"/>
      <c r="AQ890" s="476"/>
      <c r="AR890" s="476"/>
      <c r="AS890" s="476"/>
      <c r="AT890" s="477"/>
      <c r="AU890" s="475"/>
      <c r="AV890" s="476"/>
      <c r="AW890" s="476"/>
      <c r="AX890" s="476"/>
      <c r="AY890" s="476"/>
      <c r="AZ890" s="476"/>
      <c r="BA890" s="476"/>
      <c r="BB890" s="477"/>
      <c r="BC890" s="544"/>
      <c r="BD890" s="545"/>
      <c r="BE890" s="545"/>
      <c r="BF890" s="545"/>
      <c r="BG890" s="545"/>
      <c r="BH890" s="545"/>
      <c r="BI890" s="545"/>
      <c r="BJ890" s="545"/>
      <c r="BK890" s="545"/>
      <c r="BL890" s="545"/>
      <c r="BM890" s="545"/>
      <c r="BN890" s="545"/>
      <c r="BO890" s="545"/>
      <c r="BP890" s="545"/>
      <c r="BQ890" s="545"/>
      <c r="BR890" s="546"/>
      <c r="BS890" s="544"/>
      <c r="BT890" s="545"/>
      <c r="BU890" s="545"/>
      <c r="BV890" s="545"/>
      <c r="BW890" s="545"/>
      <c r="BX890" s="545"/>
      <c r="BY890" s="545"/>
      <c r="BZ890" s="545"/>
      <c r="CA890" s="545"/>
      <c r="CB890" s="545"/>
      <c r="CC890" s="545"/>
      <c r="CD890" s="545"/>
      <c r="CE890" s="545"/>
      <c r="CF890" s="545"/>
      <c r="CG890" s="545"/>
      <c r="CH890" s="546"/>
      <c r="CI890" s="544"/>
      <c r="CJ890" s="545"/>
      <c r="CK890" s="545"/>
      <c r="CL890" s="545"/>
      <c r="CM890" s="545"/>
      <c r="CN890" s="545"/>
      <c r="CO890" s="545"/>
      <c r="CP890" s="545"/>
      <c r="CQ890" s="545"/>
      <c r="CR890" s="545"/>
      <c r="CS890" s="545"/>
      <c r="CT890" s="545"/>
      <c r="CU890" s="545"/>
      <c r="CV890" s="545"/>
      <c r="CW890" s="545"/>
      <c r="CX890" s="545"/>
      <c r="CY890" s="545"/>
      <c r="CZ890" s="546"/>
    </row>
    <row r="891" spans="1:105" s="20" customFormat="1" hidden="1" x14ac:dyDescent="0.25">
      <c r="A891" s="633" t="s">
        <v>292</v>
      </c>
      <c r="B891" s="634"/>
      <c r="C891" s="634"/>
      <c r="D891" s="634"/>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c r="AA891" s="634"/>
      <c r="AB891" s="634"/>
      <c r="AC891" s="634"/>
      <c r="AD891" s="634"/>
      <c r="AE891" s="634"/>
      <c r="AF891" s="634"/>
      <c r="AG891" s="634"/>
      <c r="AH891" s="634"/>
      <c r="AI891" s="634"/>
      <c r="AJ891" s="634"/>
      <c r="AK891" s="634"/>
      <c r="AL891" s="634"/>
      <c r="AM891" s="634"/>
      <c r="AN891" s="634"/>
      <c r="AO891" s="634"/>
      <c r="AP891" s="634"/>
      <c r="AQ891" s="634"/>
      <c r="AR891" s="634"/>
      <c r="AS891" s="634"/>
      <c r="AT891" s="634"/>
      <c r="AU891" s="634"/>
      <c r="AV891" s="634"/>
      <c r="AW891" s="634"/>
      <c r="AX891" s="634"/>
      <c r="AY891" s="634"/>
      <c r="AZ891" s="634"/>
      <c r="BA891" s="634"/>
      <c r="BB891" s="635"/>
      <c r="BC891" s="544" t="s">
        <v>4</v>
      </c>
      <c r="BD891" s="545"/>
      <c r="BE891" s="545"/>
      <c r="BF891" s="545"/>
      <c r="BG891" s="545"/>
      <c r="BH891" s="545"/>
      <c r="BI891" s="545"/>
      <c r="BJ891" s="545"/>
      <c r="BK891" s="545"/>
      <c r="BL891" s="545"/>
      <c r="BM891" s="545"/>
      <c r="BN891" s="545"/>
      <c r="BO891" s="545"/>
      <c r="BP891" s="545"/>
      <c r="BQ891" s="545"/>
      <c r="BR891" s="546"/>
      <c r="BS891" s="544" t="s">
        <v>4</v>
      </c>
      <c r="BT891" s="545"/>
      <c r="BU891" s="545"/>
      <c r="BV891" s="545"/>
      <c r="BW891" s="545"/>
      <c r="BX891" s="545"/>
      <c r="BY891" s="545"/>
      <c r="BZ891" s="545"/>
      <c r="CA891" s="545"/>
      <c r="CB891" s="545"/>
      <c r="CC891" s="545"/>
      <c r="CD891" s="545"/>
      <c r="CE891" s="545"/>
      <c r="CF891" s="545"/>
      <c r="CG891" s="545"/>
      <c r="CH891" s="546"/>
      <c r="CI891" s="544"/>
      <c r="CJ891" s="545"/>
      <c r="CK891" s="545"/>
      <c r="CL891" s="545"/>
      <c r="CM891" s="545"/>
      <c r="CN891" s="545"/>
      <c r="CO891" s="545"/>
      <c r="CP891" s="545"/>
      <c r="CQ891" s="545"/>
      <c r="CR891" s="545"/>
      <c r="CS891" s="545"/>
      <c r="CT891" s="545"/>
      <c r="CU891" s="545"/>
      <c r="CV891" s="545"/>
      <c r="CW891" s="545"/>
      <c r="CX891" s="545"/>
      <c r="CY891" s="545"/>
      <c r="CZ891" s="546"/>
    </row>
    <row r="892" spans="1:105" s="20" customFormat="1" hidden="1" x14ac:dyDescent="0.25">
      <c r="A892" s="648" t="s">
        <v>258</v>
      </c>
      <c r="B892" s="649"/>
      <c r="C892" s="649"/>
      <c r="D892" s="649"/>
      <c r="E892" s="649"/>
      <c r="F892" s="649"/>
      <c r="G892" s="649"/>
      <c r="H892" s="649"/>
      <c r="I892" s="649"/>
      <c r="J892" s="649"/>
      <c r="K892" s="649"/>
      <c r="L892" s="649"/>
      <c r="M892" s="649"/>
      <c r="N892" s="649"/>
      <c r="O892" s="649"/>
      <c r="P892" s="649"/>
      <c r="Q892" s="649"/>
      <c r="R892" s="649"/>
      <c r="S892" s="649"/>
      <c r="T892" s="649"/>
      <c r="U892" s="649"/>
      <c r="V892" s="649"/>
      <c r="W892" s="649"/>
      <c r="X892" s="649"/>
      <c r="Y892" s="649"/>
      <c r="Z892" s="649"/>
      <c r="AA892" s="649"/>
      <c r="AB892" s="649"/>
      <c r="AC892" s="649"/>
      <c r="AD892" s="649"/>
      <c r="AE892" s="649"/>
      <c r="AF892" s="649"/>
      <c r="AG892" s="649"/>
      <c r="AH892" s="649"/>
      <c r="AI892" s="649"/>
      <c r="AJ892" s="649"/>
      <c r="AK892" s="649"/>
      <c r="AL892" s="649"/>
      <c r="AM892" s="649"/>
      <c r="AN892" s="649"/>
      <c r="AO892" s="649"/>
      <c r="AP892" s="649"/>
      <c r="AQ892" s="649"/>
      <c r="AR892" s="649"/>
      <c r="AS892" s="649"/>
      <c r="AT892" s="649"/>
      <c r="AU892" s="649"/>
      <c r="AV892" s="649"/>
      <c r="AW892" s="649"/>
      <c r="AX892" s="649"/>
      <c r="AY892" s="649"/>
      <c r="AZ892" s="649"/>
      <c r="BA892" s="649"/>
      <c r="BB892" s="649"/>
      <c r="BC892" s="649"/>
      <c r="BD892" s="649"/>
      <c r="BE892" s="649"/>
      <c r="BF892" s="649"/>
      <c r="BG892" s="649"/>
      <c r="BH892" s="649"/>
      <c r="BI892" s="649"/>
      <c r="BJ892" s="649"/>
      <c r="BK892" s="649"/>
      <c r="BL892" s="649"/>
      <c r="BM892" s="649"/>
      <c r="BN892" s="649"/>
      <c r="BO892" s="649"/>
      <c r="BP892" s="649"/>
      <c r="BQ892" s="649"/>
      <c r="BR892" s="649"/>
      <c r="BS892" s="649"/>
      <c r="BT892" s="649"/>
      <c r="BU892" s="649"/>
      <c r="BV892" s="649"/>
      <c r="BW892" s="649"/>
      <c r="BX892" s="649"/>
      <c r="BY892" s="649"/>
      <c r="BZ892" s="649"/>
      <c r="CA892" s="649"/>
      <c r="CB892" s="649"/>
      <c r="CC892" s="649"/>
      <c r="CD892" s="649"/>
      <c r="CE892" s="649"/>
      <c r="CF892" s="649"/>
      <c r="CG892" s="649"/>
      <c r="CH892" s="649"/>
      <c r="CI892" s="649"/>
      <c r="CJ892" s="649"/>
      <c r="CK892" s="649"/>
      <c r="CL892" s="649"/>
      <c r="CM892" s="649"/>
      <c r="CN892" s="649"/>
      <c r="CO892" s="649"/>
      <c r="CP892" s="649"/>
      <c r="CQ892" s="649"/>
      <c r="CR892" s="649"/>
      <c r="CS892" s="649"/>
      <c r="CT892" s="649"/>
      <c r="CU892" s="649"/>
      <c r="CV892" s="649"/>
      <c r="CW892" s="649"/>
      <c r="CX892" s="649"/>
      <c r="CY892" s="649"/>
      <c r="CZ892" s="650"/>
    </row>
    <row r="893" spans="1:105" s="20" customFormat="1" hidden="1" x14ac:dyDescent="0.25">
      <c r="A893" s="630"/>
      <c r="B893" s="631"/>
      <c r="C893" s="631"/>
      <c r="D893" s="631"/>
      <c r="E893" s="631"/>
      <c r="F893" s="631"/>
      <c r="G893" s="632"/>
      <c r="H893" s="475"/>
      <c r="I893" s="476"/>
      <c r="J893" s="476"/>
      <c r="K893" s="476"/>
      <c r="L893" s="476"/>
      <c r="M893" s="476"/>
      <c r="N893" s="476"/>
      <c r="O893" s="476"/>
      <c r="P893" s="476"/>
      <c r="Q893" s="476"/>
      <c r="R893" s="476"/>
      <c r="S893" s="476"/>
      <c r="T893" s="476"/>
      <c r="U893" s="476"/>
      <c r="V893" s="476"/>
      <c r="W893" s="476"/>
      <c r="X893" s="476"/>
      <c r="Y893" s="476"/>
      <c r="Z893" s="476"/>
      <c r="AA893" s="476"/>
      <c r="AB893" s="476"/>
      <c r="AC893" s="476"/>
      <c r="AD893" s="476"/>
      <c r="AE893" s="476"/>
      <c r="AF893" s="476"/>
      <c r="AG893" s="476"/>
      <c r="AH893" s="476"/>
      <c r="AI893" s="476"/>
      <c r="AJ893" s="476"/>
      <c r="AK893" s="476"/>
      <c r="AL893" s="476"/>
      <c r="AM893" s="476"/>
      <c r="AN893" s="476"/>
      <c r="AO893" s="476"/>
      <c r="AP893" s="476"/>
      <c r="AQ893" s="476"/>
      <c r="AR893" s="476"/>
      <c r="AS893" s="476"/>
      <c r="AT893" s="477"/>
      <c r="AU893" s="475"/>
      <c r="AV893" s="476"/>
      <c r="AW893" s="476"/>
      <c r="AX893" s="476"/>
      <c r="AY893" s="476"/>
      <c r="AZ893" s="476"/>
      <c r="BA893" s="476"/>
      <c r="BB893" s="477"/>
      <c r="BC893" s="544"/>
      <c r="BD893" s="545"/>
      <c r="BE893" s="545"/>
      <c r="BF893" s="545"/>
      <c r="BG893" s="545"/>
      <c r="BH893" s="545"/>
      <c r="BI893" s="545"/>
      <c r="BJ893" s="545"/>
      <c r="BK893" s="545"/>
      <c r="BL893" s="545"/>
      <c r="BM893" s="545"/>
      <c r="BN893" s="545"/>
      <c r="BO893" s="545"/>
      <c r="BP893" s="545"/>
      <c r="BQ893" s="545"/>
      <c r="BR893" s="546"/>
      <c r="BS893" s="544"/>
      <c r="BT893" s="545"/>
      <c r="BU893" s="545"/>
      <c r="BV893" s="545"/>
      <c r="BW893" s="545"/>
      <c r="BX893" s="545"/>
      <c r="BY893" s="545"/>
      <c r="BZ893" s="545"/>
      <c r="CA893" s="545"/>
      <c r="CB893" s="545"/>
      <c r="CC893" s="545"/>
      <c r="CD893" s="545"/>
      <c r="CE893" s="545"/>
      <c r="CF893" s="545"/>
      <c r="CG893" s="545"/>
      <c r="CH893" s="546"/>
      <c r="CI893" s="544"/>
      <c r="CJ893" s="545"/>
      <c r="CK893" s="545"/>
      <c r="CL893" s="545"/>
      <c r="CM893" s="545"/>
      <c r="CN893" s="545"/>
      <c r="CO893" s="545"/>
      <c r="CP893" s="545"/>
      <c r="CQ893" s="545"/>
      <c r="CR893" s="545"/>
      <c r="CS893" s="545"/>
      <c r="CT893" s="545"/>
      <c r="CU893" s="545"/>
      <c r="CV893" s="545"/>
      <c r="CW893" s="545"/>
      <c r="CX893" s="545"/>
      <c r="CY893" s="545"/>
      <c r="CZ893" s="546"/>
    </row>
    <row r="894" spans="1:105" s="20" customFormat="1" hidden="1" x14ac:dyDescent="0.25">
      <c r="A894" s="633" t="s">
        <v>292</v>
      </c>
      <c r="B894" s="634"/>
      <c r="C894" s="634"/>
      <c r="D894" s="634"/>
      <c r="E894" s="634"/>
      <c r="F894" s="634"/>
      <c r="G894" s="634"/>
      <c r="H894" s="634"/>
      <c r="I894" s="634"/>
      <c r="J894" s="634"/>
      <c r="K894" s="634"/>
      <c r="L894" s="634"/>
      <c r="M894" s="634"/>
      <c r="N894" s="634"/>
      <c r="O894" s="634"/>
      <c r="P894" s="634"/>
      <c r="Q894" s="634"/>
      <c r="R894" s="634"/>
      <c r="S894" s="634"/>
      <c r="T894" s="634"/>
      <c r="U894" s="634"/>
      <c r="V894" s="634"/>
      <c r="W894" s="634"/>
      <c r="X894" s="634"/>
      <c r="Y894" s="634"/>
      <c r="Z894" s="634"/>
      <c r="AA894" s="634"/>
      <c r="AB894" s="634"/>
      <c r="AC894" s="634"/>
      <c r="AD894" s="634"/>
      <c r="AE894" s="634"/>
      <c r="AF894" s="634"/>
      <c r="AG894" s="634"/>
      <c r="AH894" s="634"/>
      <c r="AI894" s="634"/>
      <c r="AJ894" s="634"/>
      <c r="AK894" s="634"/>
      <c r="AL894" s="634"/>
      <c r="AM894" s="634"/>
      <c r="AN894" s="634"/>
      <c r="AO894" s="634"/>
      <c r="AP894" s="634"/>
      <c r="AQ894" s="634"/>
      <c r="AR894" s="634"/>
      <c r="AS894" s="634"/>
      <c r="AT894" s="634"/>
      <c r="AU894" s="634"/>
      <c r="AV894" s="634"/>
      <c r="AW894" s="634"/>
      <c r="AX894" s="634"/>
      <c r="AY894" s="634"/>
      <c r="AZ894" s="634"/>
      <c r="BA894" s="634"/>
      <c r="BB894" s="635"/>
      <c r="BC894" s="544" t="s">
        <v>4</v>
      </c>
      <c r="BD894" s="545"/>
      <c r="BE894" s="545"/>
      <c r="BF894" s="545"/>
      <c r="BG894" s="545"/>
      <c r="BH894" s="545"/>
      <c r="BI894" s="545"/>
      <c r="BJ894" s="545"/>
      <c r="BK894" s="545"/>
      <c r="BL894" s="545"/>
      <c r="BM894" s="545"/>
      <c r="BN894" s="545"/>
      <c r="BO894" s="545"/>
      <c r="BP894" s="545"/>
      <c r="BQ894" s="545"/>
      <c r="BR894" s="546"/>
      <c r="BS894" s="544" t="s">
        <v>4</v>
      </c>
      <c r="BT894" s="545"/>
      <c r="BU894" s="545"/>
      <c r="BV894" s="545"/>
      <c r="BW894" s="545"/>
      <c r="BX894" s="545"/>
      <c r="BY894" s="545"/>
      <c r="BZ894" s="545"/>
      <c r="CA894" s="545"/>
      <c r="CB894" s="545"/>
      <c r="CC894" s="545"/>
      <c r="CD894" s="545"/>
      <c r="CE894" s="545"/>
      <c r="CF894" s="545"/>
      <c r="CG894" s="545"/>
      <c r="CH894" s="546"/>
      <c r="CI894" s="544"/>
      <c r="CJ894" s="545"/>
      <c r="CK894" s="545"/>
      <c r="CL894" s="545"/>
      <c r="CM894" s="545"/>
      <c r="CN894" s="545"/>
      <c r="CO894" s="545"/>
      <c r="CP894" s="545"/>
      <c r="CQ894" s="545"/>
      <c r="CR894" s="545"/>
      <c r="CS894" s="545"/>
      <c r="CT894" s="545"/>
      <c r="CU894" s="545"/>
      <c r="CV894" s="545"/>
      <c r="CW894" s="545"/>
      <c r="CX894" s="545"/>
      <c r="CY894" s="545"/>
      <c r="CZ894" s="546"/>
    </row>
    <row r="895" spans="1:105" s="20" customFormat="1" ht="13.5" hidden="1" customHeight="1" x14ac:dyDescent="0.25">
      <c r="A895" s="553" t="s">
        <v>56</v>
      </c>
      <c r="B895" s="554"/>
      <c r="C895" s="554"/>
      <c r="D895" s="554"/>
      <c r="E895" s="554"/>
      <c r="F895" s="554"/>
      <c r="G895" s="554"/>
      <c r="H895" s="554"/>
      <c r="I895" s="554"/>
      <c r="J895" s="554"/>
      <c r="K895" s="554"/>
      <c r="L895" s="554"/>
      <c r="M895" s="554"/>
      <c r="N895" s="554"/>
      <c r="O895" s="554"/>
      <c r="P895" s="554"/>
      <c r="Q895" s="554"/>
      <c r="R895" s="554"/>
      <c r="S895" s="554"/>
      <c r="T895" s="554"/>
      <c r="U895" s="554"/>
      <c r="V895" s="554"/>
      <c r="W895" s="554"/>
      <c r="X895" s="554"/>
      <c r="Y895" s="554"/>
      <c r="Z895" s="554"/>
      <c r="AA895" s="554"/>
      <c r="AB895" s="554"/>
      <c r="AC895" s="554"/>
      <c r="AD895" s="554"/>
      <c r="AE895" s="554"/>
      <c r="AF895" s="554"/>
      <c r="AG895" s="554"/>
      <c r="AH895" s="554"/>
      <c r="AI895" s="554"/>
      <c r="AJ895" s="554"/>
      <c r="AK895" s="554"/>
      <c r="AL895" s="554"/>
      <c r="AM895" s="554"/>
      <c r="AN895" s="554"/>
      <c r="AO895" s="554"/>
      <c r="AP895" s="554"/>
      <c r="AQ895" s="554"/>
      <c r="AR895" s="554"/>
      <c r="AS895" s="554"/>
      <c r="AT895" s="554"/>
      <c r="AU895" s="554"/>
      <c r="AV895" s="554"/>
      <c r="AW895" s="554"/>
      <c r="AX895" s="554"/>
      <c r="AY895" s="554"/>
      <c r="AZ895" s="554"/>
      <c r="BA895" s="554"/>
      <c r="BB895" s="555"/>
      <c r="BC895" s="544" t="s">
        <v>4</v>
      </c>
      <c r="BD895" s="545"/>
      <c r="BE895" s="545"/>
      <c r="BF895" s="545"/>
      <c r="BG895" s="545"/>
      <c r="BH895" s="545"/>
      <c r="BI895" s="545"/>
      <c r="BJ895" s="545"/>
      <c r="BK895" s="545"/>
      <c r="BL895" s="545"/>
      <c r="BM895" s="545"/>
      <c r="BN895" s="545"/>
      <c r="BO895" s="545"/>
      <c r="BP895" s="545"/>
      <c r="BQ895" s="545"/>
      <c r="BR895" s="546"/>
      <c r="BS895" s="544" t="s">
        <v>4</v>
      </c>
      <c r="BT895" s="545"/>
      <c r="BU895" s="545"/>
      <c r="BV895" s="545"/>
      <c r="BW895" s="545"/>
      <c r="BX895" s="545"/>
      <c r="BY895" s="545"/>
      <c r="BZ895" s="545"/>
      <c r="CA895" s="545"/>
      <c r="CB895" s="545"/>
      <c r="CC895" s="545"/>
      <c r="CD895" s="545"/>
      <c r="CE895" s="545"/>
      <c r="CF895" s="545"/>
      <c r="CG895" s="545"/>
      <c r="CH895" s="546"/>
      <c r="CI895" s="544"/>
      <c r="CJ895" s="545"/>
      <c r="CK895" s="545"/>
      <c r="CL895" s="545"/>
      <c r="CM895" s="545"/>
      <c r="CN895" s="545"/>
      <c r="CO895" s="545"/>
      <c r="CP895" s="545"/>
      <c r="CQ895" s="545"/>
      <c r="CR895" s="545"/>
      <c r="CS895" s="545"/>
      <c r="CT895" s="545"/>
      <c r="CU895" s="545"/>
      <c r="CV895" s="545"/>
      <c r="CW895" s="545"/>
      <c r="CX895" s="545"/>
      <c r="CY895" s="545"/>
      <c r="CZ895" s="546"/>
    </row>
    <row r="896" spans="1:105" s="20" customFormat="1" ht="13.5" hidden="1"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c r="BC896" s="223"/>
      <c r="BD896" s="223"/>
      <c r="BE896" s="223"/>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23"/>
      <c r="CH896" s="223"/>
      <c r="CI896" s="223"/>
      <c r="CJ896" s="223"/>
      <c r="CK896" s="223"/>
      <c r="CL896" s="223"/>
      <c r="CM896" s="223"/>
      <c r="CN896" s="223"/>
      <c r="CO896" s="223"/>
      <c r="CP896" s="223"/>
      <c r="CQ896" s="223"/>
      <c r="CR896" s="223"/>
      <c r="CS896" s="223"/>
      <c r="CT896" s="223"/>
      <c r="CU896" s="223"/>
      <c r="CV896" s="223"/>
      <c r="CW896" s="223"/>
      <c r="CX896" s="223"/>
      <c r="CY896" s="223"/>
      <c r="CZ896" s="223"/>
    </row>
    <row r="897" spans="1:111" s="20" customFormat="1" ht="13.5" hidden="1" customHeight="1" x14ac:dyDescent="0.25">
      <c r="A897" s="524" t="s">
        <v>367</v>
      </c>
      <c r="B897" s="524"/>
      <c r="C897" s="524"/>
      <c r="D897" s="524"/>
      <c r="E897" s="524"/>
      <c r="F897" s="524"/>
      <c r="G897" s="524"/>
      <c r="H897" s="524"/>
      <c r="I897" s="524"/>
      <c r="J897" s="524"/>
      <c r="K897" s="524"/>
      <c r="L897" s="524"/>
      <c r="M897" s="524"/>
      <c r="N897" s="524"/>
      <c r="O897" s="524"/>
      <c r="P897" s="524"/>
      <c r="Q897" s="524"/>
      <c r="R897" s="524"/>
      <c r="S897" s="524"/>
      <c r="T897" s="524"/>
      <c r="U897" s="524"/>
      <c r="V897" s="524"/>
      <c r="W897" s="524"/>
      <c r="X897" s="524"/>
      <c r="Y897" s="524"/>
      <c r="Z897" s="524"/>
      <c r="AA897" s="524"/>
      <c r="AB897" s="524"/>
      <c r="AC897" s="524"/>
      <c r="AD897" s="524"/>
      <c r="AE897" s="524"/>
      <c r="AF897" s="524"/>
      <c r="AG897" s="524"/>
      <c r="AH897" s="524"/>
      <c r="AI897" s="524"/>
      <c r="AJ897" s="524"/>
      <c r="AK897" s="524"/>
      <c r="AL897" s="524"/>
      <c r="AM897" s="524"/>
      <c r="AN897" s="524"/>
      <c r="AO897" s="524"/>
      <c r="AP897" s="524"/>
      <c r="AQ897" s="524"/>
      <c r="AR897" s="524"/>
      <c r="AS897" s="524"/>
      <c r="AT897" s="524"/>
      <c r="AU897" s="524"/>
      <c r="AV897" s="524"/>
      <c r="AW897" s="524"/>
      <c r="AX897" s="524"/>
      <c r="AY897" s="524"/>
      <c r="AZ897" s="524"/>
      <c r="BA897" s="524"/>
      <c r="BB897" s="524"/>
      <c r="BC897" s="524"/>
      <c r="BD897" s="524"/>
      <c r="BE897" s="524"/>
      <c r="BF897" s="524"/>
      <c r="BG897" s="524"/>
      <c r="BH897" s="524"/>
      <c r="BI897" s="524"/>
      <c r="BJ897" s="524"/>
      <c r="BK897" s="524"/>
      <c r="BL897" s="524"/>
      <c r="BM897" s="524"/>
      <c r="BN897" s="524"/>
      <c r="BO897" s="524"/>
      <c r="BP897" s="524"/>
      <c r="BQ897" s="524"/>
      <c r="BR897" s="524"/>
      <c r="BS897" s="524"/>
      <c r="BT897" s="524"/>
      <c r="BU897" s="524"/>
      <c r="BV897" s="524"/>
      <c r="BW897" s="524"/>
      <c r="BX897" s="524"/>
      <c r="BY897" s="524"/>
      <c r="BZ897" s="524"/>
      <c r="CA897" s="524"/>
      <c r="CB897" s="524"/>
      <c r="CC897" s="524"/>
      <c r="CD897" s="524"/>
      <c r="CE897" s="524"/>
      <c r="CF897" s="524"/>
      <c r="CG897" s="524"/>
      <c r="CH897" s="524"/>
      <c r="CI897" s="524"/>
      <c r="CJ897" s="524"/>
      <c r="CK897" s="524"/>
      <c r="CL897" s="524"/>
      <c r="CM897" s="524"/>
      <c r="CN897" s="524"/>
      <c r="CO897" s="524"/>
      <c r="CP897" s="524"/>
      <c r="CQ897" s="524"/>
      <c r="CR897" s="524"/>
      <c r="CS897" s="524"/>
      <c r="CT897" s="524"/>
      <c r="CU897" s="524"/>
      <c r="CV897" s="524"/>
      <c r="CW897" s="524"/>
      <c r="CX897" s="524"/>
      <c r="CY897" s="524"/>
      <c r="CZ897" s="524"/>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24" t="s">
        <v>264</v>
      </c>
      <c r="B899" s="524"/>
      <c r="C899" s="524"/>
      <c r="D899" s="524"/>
      <c r="E899" s="524"/>
      <c r="F899" s="524"/>
      <c r="G899" s="524"/>
      <c r="H899" s="524"/>
      <c r="I899" s="524"/>
      <c r="J899" s="524"/>
      <c r="K899" s="524"/>
      <c r="L899" s="524"/>
      <c r="M899" s="524"/>
      <c r="N899" s="524"/>
      <c r="O899" s="524"/>
      <c r="P899" s="524"/>
      <c r="Q899" s="524"/>
      <c r="R899" s="524"/>
      <c r="S899" s="524"/>
      <c r="T899" s="524"/>
      <c r="U899" s="524"/>
      <c r="V899" s="524"/>
      <c r="W899" s="524"/>
      <c r="X899" s="524"/>
      <c r="Y899" s="524"/>
      <c r="Z899" s="524"/>
      <c r="AA899" s="524"/>
      <c r="AB899" s="524"/>
      <c r="AC899" s="524"/>
      <c r="AD899" s="524"/>
      <c r="AE899" s="524"/>
      <c r="AF899" s="524"/>
      <c r="AG899" s="524"/>
      <c r="AH899" s="524"/>
      <c r="AI899" s="524"/>
      <c r="AJ899" s="524"/>
      <c r="AK899" s="524"/>
      <c r="AL899" s="524"/>
      <c r="AM899" s="524"/>
      <c r="AN899" s="524"/>
      <c r="AO899" s="524"/>
      <c r="AP899" s="524"/>
      <c r="AQ899" s="524"/>
      <c r="AR899" s="524"/>
      <c r="AS899" s="524"/>
      <c r="AT899" s="524"/>
      <c r="AU899" s="524"/>
      <c r="AV899" s="524"/>
      <c r="AW899" s="524"/>
      <c r="AX899" s="524"/>
      <c r="AY899" s="524"/>
      <c r="AZ899" s="524"/>
      <c r="BA899" s="524"/>
      <c r="BB899" s="524"/>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475" t="s">
        <v>49</v>
      </c>
      <c r="B901" s="476"/>
      <c r="C901" s="476"/>
      <c r="D901" s="476"/>
      <c r="E901" s="476"/>
      <c r="F901" s="476"/>
      <c r="G901" s="477"/>
      <c r="H901" s="475" t="s">
        <v>0</v>
      </c>
      <c r="I901" s="476"/>
      <c r="J901" s="476"/>
      <c r="K901" s="476"/>
      <c r="L901" s="476"/>
      <c r="M901" s="476"/>
      <c r="N901" s="476"/>
      <c r="O901" s="476"/>
      <c r="P901" s="476"/>
      <c r="Q901" s="476"/>
      <c r="R901" s="476"/>
      <c r="S901" s="476"/>
      <c r="T901" s="476"/>
      <c r="U901" s="476"/>
      <c r="V901" s="476"/>
      <c r="W901" s="476"/>
      <c r="X901" s="476"/>
      <c r="Y901" s="476"/>
      <c r="Z901" s="476"/>
      <c r="AA901" s="476"/>
      <c r="AB901" s="476"/>
      <c r="AC901" s="476"/>
      <c r="AD901" s="476"/>
      <c r="AE901" s="476"/>
      <c r="AF901" s="476"/>
      <c r="AG901" s="476"/>
      <c r="AH901" s="476"/>
      <c r="AI901" s="476"/>
      <c r="AJ901" s="476"/>
      <c r="AK901" s="476"/>
      <c r="AL901" s="476"/>
      <c r="AM901" s="476"/>
      <c r="AN901" s="476"/>
      <c r="AO901" s="476"/>
      <c r="AP901" s="476"/>
      <c r="AQ901" s="476"/>
      <c r="AR901" s="476"/>
      <c r="AS901" s="476"/>
      <c r="AT901" s="476"/>
      <c r="AU901" s="476"/>
      <c r="AV901" s="476"/>
      <c r="AW901" s="476"/>
      <c r="AX901" s="476"/>
      <c r="AY901" s="476"/>
      <c r="AZ901" s="476"/>
      <c r="BA901" s="476"/>
      <c r="BB901" s="477"/>
      <c r="BC901" s="475" t="s">
        <v>265</v>
      </c>
      <c r="BD901" s="476"/>
      <c r="BE901" s="476"/>
      <c r="BF901" s="476"/>
      <c r="BG901" s="476"/>
      <c r="BH901" s="476"/>
      <c r="BI901" s="476"/>
      <c r="BJ901" s="476"/>
      <c r="BK901" s="476"/>
      <c r="BL901" s="476"/>
      <c r="BM901" s="476"/>
      <c r="BN901" s="476"/>
      <c r="BO901" s="476"/>
      <c r="BP901" s="476"/>
      <c r="BQ901" s="476"/>
      <c r="BR901" s="476"/>
      <c r="BS901" s="476"/>
      <c r="BT901" s="476"/>
      <c r="BU901" s="476"/>
      <c r="BV901" s="476"/>
      <c r="BW901" s="476"/>
      <c r="BX901" s="476"/>
      <c r="BY901" s="476"/>
      <c r="BZ901" s="476"/>
      <c r="CA901" s="476"/>
      <c r="CB901" s="476"/>
      <c r="CC901" s="476"/>
      <c r="CD901" s="476"/>
      <c r="CE901" s="476"/>
      <c r="CF901" s="476"/>
      <c r="CG901" s="476"/>
      <c r="CH901" s="476"/>
      <c r="CI901" s="476"/>
      <c r="CJ901" s="476"/>
      <c r="CK901" s="476"/>
      <c r="CL901" s="476"/>
      <c r="CM901" s="476"/>
      <c r="CN901" s="476"/>
      <c r="CO901" s="476"/>
      <c r="CP901" s="476"/>
      <c r="CQ901" s="476"/>
      <c r="CR901" s="476"/>
      <c r="CS901" s="476"/>
      <c r="CT901" s="476"/>
      <c r="CU901" s="476"/>
      <c r="CV901" s="476"/>
      <c r="CW901" s="476"/>
      <c r="CX901" s="476"/>
      <c r="CY901" s="476"/>
      <c r="CZ901" s="477"/>
    </row>
    <row r="902" spans="1:111" s="20" customFormat="1" ht="13.5" hidden="1" customHeight="1" x14ac:dyDescent="0.25">
      <c r="A902" s="661">
        <v>1</v>
      </c>
      <c r="B902" s="662"/>
      <c r="C902" s="662"/>
      <c r="D902" s="662"/>
      <c r="E902" s="662"/>
      <c r="F902" s="662"/>
      <c r="G902" s="663"/>
      <c r="H902" s="661">
        <v>2</v>
      </c>
      <c r="I902" s="662"/>
      <c r="J902" s="662"/>
      <c r="K902" s="662"/>
      <c r="L902" s="662"/>
      <c r="M902" s="662"/>
      <c r="N902" s="662"/>
      <c r="O902" s="662"/>
      <c r="P902" s="662"/>
      <c r="Q902" s="662"/>
      <c r="R902" s="662"/>
      <c r="S902" s="662"/>
      <c r="T902" s="662"/>
      <c r="U902" s="662"/>
      <c r="V902" s="662"/>
      <c r="W902" s="662"/>
      <c r="X902" s="662"/>
      <c r="Y902" s="662"/>
      <c r="Z902" s="662"/>
      <c r="AA902" s="662"/>
      <c r="AB902" s="662"/>
      <c r="AC902" s="662"/>
      <c r="AD902" s="662"/>
      <c r="AE902" s="662"/>
      <c r="AF902" s="662"/>
      <c r="AG902" s="662"/>
      <c r="AH902" s="662"/>
      <c r="AI902" s="662"/>
      <c r="AJ902" s="662"/>
      <c r="AK902" s="662"/>
      <c r="AL902" s="662"/>
      <c r="AM902" s="662"/>
      <c r="AN902" s="662"/>
      <c r="AO902" s="662"/>
      <c r="AP902" s="662"/>
      <c r="AQ902" s="662"/>
      <c r="AR902" s="662"/>
      <c r="AS902" s="662"/>
      <c r="AT902" s="662"/>
      <c r="AU902" s="662"/>
      <c r="AV902" s="662"/>
      <c r="AW902" s="662"/>
      <c r="AX902" s="662"/>
      <c r="AY902" s="662"/>
      <c r="AZ902" s="662"/>
      <c r="BA902" s="662"/>
      <c r="BB902" s="663"/>
      <c r="BC902" s="661">
        <v>3</v>
      </c>
      <c r="BD902" s="662"/>
      <c r="BE902" s="662"/>
      <c r="BF902" s="662"/>
      <c r="BG902" s="662"/>
      <c r="BH902" s="662"/>
      <c r="BI902" s="662"/>
      <c r="BJ902" s="662"/>
      <c r="BK902" s="662"/>
      <c r="BL902" s="662"/>
      <c r="BM902" s="662"/>
      <c r="BN902" s="662"/>
      <c r="BO902" s="662"/>
      <c r="BP902" s="662"/>
      <c r="BQ902" s="662"/>
      <c r="BR902" s="662"/>
      <c r="BS902" s="662"/>
      <c r="BT902" s="662"/>
      <c r="BU902" s="662"/>
      <c r="BV902" s="662"/>
      <c r="BW902" s="662"/>
      <c r="BX902" s="662"/>
      <c r="BY902" s="662"/>
      <c r="BZ902" s="662"/>
      <c r="CA902" s="662"/>
      <c r="CB902" s="662"/>
      <c r="CC902" s="662"/>
      <c r="CD902" s="662"/>
      <c r="CE902" s="662"/>
      <c r="CF902" s="662"/>
      <c r="CG902" s="662"/>
      <c r="CH902" s="662"/>
      <c r="CI902" s="662"/>
      <c r="CJ902" s="662"/>
      <c r="CK902" s="662"/>
      <c r="CL902" s="662"/>
      <c r="CM902" s="662"/>
      <c r="CN902" s="662"/>
      <c r="CO902" s="662"/>
      <c r="CP902" s="662"/>
      <c r="CQ902" s="662"/>
      <c r="CR902" s="662"/>
      <c r="CS902" s="662"/>
      <c r="CT902" s="662"/>
      <c r="CU902" s="662"/>
      <c r="CV902" s="662"/>
      <c r="CW902" s="662"/>
      <c r="CX902" s="662"/>
      <c r="CY902" s="662"/>
      <c r="CZ902" s="663"/>
    </row>
    <row r="903" spans="1:111" s="20" customFormat="1" ht="13.5" hidden="1" customHeight="1" x14ac:dyDescent="0.25">
      <c r="A903" s="648" t="s">
        <v>258</v>
      </c>
      <c r="B903" s="649"/>
      <c r="C903" s="649"/>
      <c r="D903" s="649"/>
      <c r="E903" s="649"/>
      <c r="F903" s="649"/>
      <c r="G903" s="649"/>
      <c r="H903" s="649"/>
      <c r="I903" s="649"/>
      <c r="J903" s="649"/>
      <c r="K903" s="649"/>
      <c r="L903" s="649"/>
      <c r="M903" s="649"/>
      <c r="N903" s="649"/>
      <c r="O903" s="649"/>
      <c r="P903" s="649"/>
      <c r="Q903" s="649"/>
      <c r="R903" s="649"/>
      <c r="S903" s="649"/>
      <c r="T903" s="649"/>
      <c r="U903" s="649"/>
      <c r="V903" s="649"/>
      <c r="W903" s="649"/>
      <c r="X903" s="649"/>
      <c r="Y903" s="649"/>
      <c r="Z903" s="649"/>
      <c r="AA903" s="649"/>
      <c r="AB903" s="649"/>
      <c r="AC903" s="649"/>
      <c r="AD903" s="649"/>
      <c r="AE903" s="649"/>
      <c r="AF903" s="649"/>
      <c r="AG903" s="649"/>
      <c r="AH903" s="649"/>
      <c r="AI903" s="649"/>
      <c r="AJ903" s="649"/>
      <c r="AK903" s="649"/>
      <c r="AL903" s="649"/>
      <c r="AM903" s="649"/>
      <c r="AN903" s="649"/>
      <c r="AO903" s="649"/>
      <c r="AP903" s="649"/>
      <c r="AQ903" s="649"/>
      <c r="AR903" s="649"/>
      <c r="AS903" s="649"/>
      <c r="AT903" s="649"/>
      <c r="AU903" s="649"/>
      <c r="AV903" s="649"/>
      <c r="AW903" s="649"/>
      <c r="AX903" s="649"/>
      <c r="AY903" s="649"/>
      <c r="AZ903" s="649"/>
      <c r="BA903" s="649"/>
      <c r="BB903" s="649"/>
      <c r="BC903" s="649"/>
      <c r="BD903" s="649"/>
      <c r="BE903" s="649"/>
      <c r="BF903" s="649"/>
      <c r="BG903" s="649"/>
      <c r="BH903" s="649"/>
      <c r="BI903" s="649"/>
      <c r="BJ903" s="649"/>
      <c r="BK903" s="649"/>
      <c r="BL903" s="649"/>
      <c r="BM903" s="649"/>
      <c r="BN903" s="649"/>
      <c r="BO903" s="649"/>
      <c r="BP903" s="649"/>
      <c r="BQ903" s="649"/>
      <c r="BR903" s="649"/>
      <c r="BS903" s="649"/>
      <c r="BT903" s="649"/>
      <c r="BU903" s="649"/>
      <c r="BV903" s="649"/>
      <c r="BW903" s="649"/>
      <c r="BX903" s="649"/>
      <c r="BY903" s="649"/>
      <c r="BZ903" s="649"/>
      <c r="CA903" s="649"/>
      <c r="CB903" s="649"/>
      <c r="CC903" s="649"/>
      <c r="CD903" s="649"/>
      <c r="CE903" s="649"/>
      <c r="CF903" s="649"/>
      <c r="CG903" s="649"/>
      <c r="CH903" s="649"/>
      <c r="CI903" s="649"/>
      <c r="CJ903" s="649"/>
      <c r="CK903" s="649"/>
      <c r="CL903" s="649"/>
      <c r="CM903" s="649"/>
      <c r="CN903" s="649"/>
      <c r="CO903" s="649"/>
      <c r="CP903" s="649"/>
      <c r="CQ903" s="649"/>
      <c r="CR903" s="649"/>
      <c r="CS903" s="649"/>
      <c r="CT903" s="649"/>
      <c r="CU903" s="649"/>
      <c r="CV903" s="649"/>
      <c r="CW903" s="649"/>
      <c r="CX903" s="649"/>
      <c r="CY903" s="649"/>
      <c r="CZ903" s="649"/>
    </row>
    <row r="904" spans="1:111" s="20" customFormat="1" ht="13.5" hidden="1" customHeight="1" x14ac:dyDescent="0.25">
      <c r="A904" s="630"/>
      <c r="B904" s="631"/>
      <c r="C904" s="631"/>
      <c r="D904" s="631"/>
      <c r="E904" s="631"/>
      <c r="F904" s="631"/>
      <c r="G904" s="632"/>
      <c r="H904" s="584"/>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5"/>
      <c r="AL904" s="585"/>
      <c r="AM904" s="585"/>
      <c r="AN904" s="585"/>
      <c r="AO904" s="585"/>
      <c r="AP904" s="585"/>
      <c r="AQ904" s="585"/>
      <c r="AR904" s="585"/>
      <c r="AS904" s="585"/>
      <c r="AT904" s="585"/>
      <c r="AU904" s="585"/>
      <c r="AV904" s="585"/>
      <c r="AW904" s="585"/>
      <c r="AX904" s="585"/>
      <c r="AY904" s="585"/>
      <c r="AZ904" s="585"/>
      <c r="BA904" s="585"/>
      <c r="BB904" s="586"/>
      <c r="BC904" s="544"/>
      <c r="BD904" s="545"/>
      <c r="BE904" s="545"/>
      <c r="BF904" s="545"/>
      <c r="BG904" s="545"/>
      <c r="BH904" s="545"/>
      <c r="BI904" s="545"/>
      <c r="BJ904" s="545"/>
      <c r="BK904" s="545"/>
      <c r="BL904" s="545"/>
      <c r="BM904" s="545"/>
      <c r="BN904" s="545"/>
      <c r="BO904" s="545"/>
      <c r="BP904" s="545"/>
      <c r="BQ904" s="545"/>
      <c r="BR904" s="545"/>
      <c r="BS904" s="545"/>
      <c r="BT904" s="545"/>
      <c r="BU904" s="545"/>
      <c r="BV904" s="545"/>
      <c r="BW904" s="545"/>
      <c r="BX904" s="545"/>
      <c r="BY904" s="545"/>
      <c r="BZ904" s="545"/>
      <c r="CA904" s="545"/>
      <c r="CB904" s="545"/>
      <c r="CC904" s="545"/>
      <c r="CD904" s="545"/>
      <c r="CE904" s="545"/>
      <c r="CF904" s="545"/>
      <c r="CG904" s="545"/>
      <c r="CH904" s="545"/>
      <c r="CI904" s="545"/>
      <c r="CJ904" s="545"/>
      <c r="CK904" s="545"/>
      <c r="CL904" s="545"/>
      <c r="CM904" s="545"/>
      <c r="CN904" s="545"/>
      <c r="CO904" s="545"/>
      <c r="CP904" s="545"/>
      <c r="CQ904" s="545"/>
      <c r="CR904" s="545"/>
      <c r="CS904" s="545"/>
      <c r="CT904" s="545"/>
      <c r="CU904" s="545"/>
      <c r="CV904" s="545"/>
      <c r="CW904" s="545"/>
      <c r="CX904" s="545"/>
      <c r="CY904" s="545"/>
      <c r="CZ904" s="546"/>
    </row>
    <row r="905" spans="1:111" s="20" customFormat="1" ht="13.5" hidden="1" customHeight="1" x14ac:dyDescent="0.25">
      <c r="A905" s="633" t="s">
        <v>292</v>
      </c>
      <c r="B905" s="634"/>
      <c r="C905" s="634"/>
      <c r="D905" s="634"/>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c r="AA905" s="634"/>
      <c r="AB905" s="634"/>
      <c r="AC905" s="634"/>
      <c r="AD905" s="634"/>
      <c r="AE905" s="634"/>
      <c r="AF905" s="634"/>
      <c r="AG905" s="634"/>
      <c r="AH905" s="634"/>
      <c r="AI905" s="634"/>
      <c r="AJ905" s="634"/>
      <c r="AK905" s="634"/>
      <c r="AL905" s="634"/>
      <c r="AM905" s="634"/>
      <c r="AN905" s="634"/>
      <c r="AO905" s="634"/>
      <c r="AP905" s="634"/>
      <c r="AQ905" s="634"/>
      <c r="AR905" s="634"/>
      <c r="AS905" s="634"/>
      <c r="AT905" s="634"/>
      <c r="AU905" s="634"/>
      <c r="AV905" s="634"/>
      <c r="AW905" s="634"/>
      <c r="AX905" s="634"/>
      <c r="AY905" s="634"/>
      <c r="AZ905" s="634"/>
      <c r="BA905" s="634"/>
      <c r="BB905" s="635"/>
      <c r="BC905" s="544"/>
      <c r="BD905" s="545"/>
      <c r="BE905" s="545"/>
      <c r="BF905" s="545"/>
      <c r="BG905" s="545"/>
      <c r="BH905" s="545"/>
      <c r="BI905" s="545"/>
      <c r="BJ905" s="545"/>
      <c r="BK905" s="545"/>
      <c r="BL905" s="545"/>
      <c r="BM905" s="545"/>
      <c r="BN905" s="545"/>
      <c r="BO905" s="545"/>
      <c r="BP905" s="545"/>
      <c r="BQ905" s="545"/>
      <c r="BR905" s="545"/>
      <c r="BS905" s="545"/>
      <c r="BT905" s="545"/>
      <c r="BU905" s="545"/>
      <c r="BV905" s="545"/>
      <c r="BW905" s="545"/>
      <c r="BX905" s="545"/>
      <c r="BY905" s="545"/>
      <c r="BZ905" s="545"/>
      <c r="CA905" s="545"/>
      <c r="CB905" s="545"/>
      <c r="CC905" s="545"/>
      <c r="CD905" s="545"/>
      <c r="CE905" s="545"/>
      <c r="CF905" s="545"/>
      <c r="CG905" s="545"/>
      <c r="CH905" s="545"/>
      <c r="CI905" s="545"/>
      <c r="CJ905" s="545"/>
      <c r="CK905" s="545"/>
      <c r="CL905" s="545"/>
      <c r="CM905" s="545"/>
      <c r="CN905" s="545"/>
      <c r="CO905" s="545"/>
      <c r="CP905" s="545"/>
      <c r="CQ905" s="545"/>
      <c r="CR905" s="545"/>
      <c r="CS905" s="545"/>
      <c r="CT905" s="545"/>
      <c r="CU905" s="545"/>
      <c r="CV905" s="545"/>
      <c r="CW905" s="545"/>
      <c r="CX905" s="545"/>
      <c r="CY905" s="545"/>
      <c r="CZ905" s="546"/>
    </row>
    <row r="906" spans="1:111" s="20" customFormat="1" ht="13.5" hidden="1" customHeight="1" x14ac:dyDescent="0.25">
      <c r="A906" s="648" t="s">
        <v>258</v>
      </c>
      <c r="B906" s="649"/>
      <c r="C906" s="649"/>
      <c r="D906" s="649"/>
      <c r="E906" s="649"/>
      <c r="F906" s="649"/>
      <c r="G906" s="649"/>
      <c r="H906" s="649"/>
      <c r="I906" s="649"/>
      <c r="J906" s="649"/>
      <c r="K906" s="649"/>
      <c r="L906" s="649"/>
      <c r="M906" s="649"/>
      <c r="N906" s="649"/>
      <c r="O906" s="649"/>
      <c r="P906" s="649"/>
      <c r="Q906" s="649"/>
      <c r="R906" s="649"/>
      <c r="S906" s="649"/>
      <c r="T906" s="649"/>
      <c r="U906" s="649"/>
      <c r="V906" s="649"/>
      <c r="W906" s="649"/>
      <c r="X906" s="649"/>
      <c r="Y906" s="649"/>
      <c r="Z906" s="649"/>
      <c r="AA906" s="649"/>
      <c r="AB906" s="649"/>
      <c r="AC906" s="649"/>
      <c r="AD906" s="649"/>
      <c r="AE906" s="649"/>
      <c r="AF906" s="649"/>
      <c r="AG906" s="649"/>
      <c r="AH906" s="649"/>
      <c r="AI906" s="649"/>
      <c r="AJ906" s="649"/>
      <c r="AK906" s="649"/>
      <c r="AL906" s="649"/>
      <c r="AM906" s="649"/>
      <c r="AN906" s="649"/>
      <c r="AO906" s="649"/>
      <c r="AP906" s="649"/>
      <c r="AQ906" s="649"/>
      <c r="AR906" s="649"/>
      <c r="AS906" s="649"/>
      <c r="AT906" s="649"/>
      <c r="AU906" s="649"/>
      <c r="AV906" s="649"/>
      <c r="AW906" s="649"/>
      <c r="AX906" s="649"/>
      <c r="AY906" s="649"/>
      <c r="AZ906" s="649"/>
      <c r="BA906" s="649"/>
      <c r="BB906" s="649"/>
      <c r="BC906" s="649"/>
      <c r="BD906" s="649"/>
      <c r="BE906" s="649"/>
      <c r="BF906" s="649"/>
      <c r="BG906" s="649"/>
      <c r="BH906" s="649"/>
      <c r="BI906" s="649"/>
      <c r="BJ906" s="649"/>
      <c r="BK906" s="649"/>
      <c r="BL906" s="649"/>
      <c r="BM906" s="649"/>
      <c r="BN906" s="649"/>
      <c r="BO906" s="649"/>
      <c r="BP906" s="649"/>
      <c r="BQ906" s="649"/>
      <c r="BR906" s="649"/>
      <c r="BS906" s="649"/>
      <c r="BT906" s="649"/>
      <c r="BU906" s="649"/>
      <c r="BV906" s="649"/>
      <c r="BW906" s="649"/>
      <c r="BX906" s="649"/>
      <c r="BY906" s="649"/>
      <c r="BZ906" s="649"/>
      <c r="CA906" s="649"/>
      <c r="CB906" s="649"/>
      <c r="CC906" s="649"/>
      <c r="CD906" s="649"/>
      <c r="CE906" s="649"/>
      <c r="CF906" s="649"/>
      <c r="CG906" s="649"/>
      <c r="CH906" s="649"/>
      <c r="CI906" s="649"/>
      <c r="CJ906" s="649"/>
      <c r="CK906" s="649"/>
      <c r="CL906" s="649"/>
      <c r="CM906" s="649"/>
      <c r="CN906" s="649"/>
      <c r="CO906" s="649"/>
      <c r="CP906" s="649"/>
      <c r="CQ906" s="649"/>
      <c r="CR906" s="649"/>
      <c r="CS906" s="649"/>
      <c r="CT906" s="649"/>
      <c r="CU906" s="649"/>
      <c r="CV906" s="649"/>
      <c r="CW906" s="649"/>
      <c r="CX906" s="649"/>
      <c r="CY906" s="649"/>
      <c r="CZ906" s="649"/>
    </row>
    <row r="907" spans="1:111" s="20" customFormat="1" ht="13.5" hidden="1" customHeight="1" x14ac:dyDescent="0.25">
      <c r="A907" s="630"/>
      <c r="B907" s="631"/>
      <c r="C907" s="631"/>
      <c r="D907" s="631"/>
      <c r="E907" s="631"/>
      <c r="F907" s="631"/>
      <c r="G907" s="632"/>
      <c r="H907" s="584"/>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5"/>
      <c r="AL907" s="585"/>
      <c r="AM907" s="585"/>
      <c r="AN907" s="585"/>
      <c r="AO907" s="585"/>
      <c r="AP907" s="585"/>
      <c r="AQ907" s="585"/>
      <c r="AR907" s="585"/>
      <c r="AS907" s="585"/>
      <c r="AT907" s="585"/>
      <c r="AU907" s="585"/>
      <c r="AV907" s="585"/>
      <c r="AW907" s="585"/>
      <c r="AX907" s="585"/>
      <c r="AY907" s="585"/>
      <c r="AZ907" s="585"/>
      <c r="BA907" s="585"/>
      <c r="BB907" s="586"/>
      <c r="BC907" s="544"/>
      <c r="BD907" s="545"/>
      <c r="BE907" s="545"/>
      <c r="BF907" s="545"/>
      <c r="BG907" s="545"/>
      <c r="BH907" s="545"/>
      <c r="BI907" s="545"/>
      <c r="BJ907" s="545"/>
      <c r="BK907" s="545"/>
      <c r="BL907" s="545"/>
      <c r="BM907" s="545"/>
      <c r="BN907" s="545"/>
      <c r="BO907" s="545"/>
      <c r="BP907" s="545"/>
      <c r="BQ907" s="545"/>
      <c r="BR907" s="545"/>
      <c r="BS907" s="545"/>
      <c r="BT907" s="545"/>
      <c r="BU907" s="545"/>
      <c r="BV907" s="545"/>
      <c r="BW907" s="545"/>
      <c r="BX907" s="545"/>
      <c r="BY907" s="545"/>
      <c r="BZ907" s="545"/>
      <c r="CA907" s="545"/>
      <c r="CB907" s="545"/>
      <c r="CC907" s="545"/>
      <c r="CD907" s="545"/>
      <c r="CE907" s="545"/>
      <c r="CF907" s="545"/>
      <c r="CG907" s="545"/>
      <c r="CH907" s="545"/>
      <c r="CI907" s="545"/>
      <c r="CJ907" s="545"/>
      <c r="CK907" s="545"/>
      <c r="CL907" s="545"/>
      <c r="CM907" s="545"/>
      <c r="CN907" s="545"/>
      <c r="CO907" s="545"/>
      <c r="CP907" s="545"/>
      <c r="CQ907" s="545"/>
      <c r="CR907" s="545"/>
      <c r="CS907" s="545"/>
      <c r="CT907" s="545"/>
      <c r="CU907" s="545"/>
      <c r="CV907" s="545"/>
      <c r="CW907" s="545"/>
      <c r="CX907" s="545"/>
      <c r="CY907" s="545"/>
      <c r="CZ907" s="546"/>
    </row>
    <row r="908" spans="1:111" s="20" customFormat="1" ht="13.5" hidden="1" customHeight="1" x14ac:dyDescent="0.25">
      <c r="A908" s="633" t="s">
        <v>292</v>
      </c>
      <c r="B908" s="634"/>
      <c r="C908" s="634"/>
      <c r="D908" s="634"/>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c r="AA908" s="634"/>
      <c r="AB908" s="634"/>
      <c r="AC908" s="634"/>
      <c r="AD908" s="634"/>
      <c r="AE908" s="634"/>
      <c r="AF908" s="634"/>
      <c r="AG908" s="634"/>
      <c r="AH908" s="634"/>
      <c r="AI908" s="634"/>
      <c r="AJ908" s="634"/>
      <c r="AK908" s="634"/>
      <c r="AL908" s="634"/>
      <c r="AM908" s="634"/>
      <c r="AN908" s="634"/>
      <c r="AO908" s="634"/>
      <c r="AP908" s="634"/>
      <c r="AQ908" s="634"/>
      <c r="AR908" s="634"/>
      <c r="AS908" s="634"/>
      <c r="AT908" s="634"/>
      <c r="AU908" s="634"/>
      <c r="AV908" s="634"/>
      <c r="AW908" s="634"/>
      <c r="AX908" s="634"/>
      <c r="AY908" s="634"/>
      <c r="AZ908" s="634"/>
      <c r="BA908" s="634"/>
      <c r="BB908" s="635"/>
      <c r="BC908" s="544"/>
      <c r="BD908" s="545"/>
      <c r="BE908" s="545"/>
      <c r="BF908" s="545"/>
      <c r="BG908" s="545"/>
      <c r="BH908" s="545"/>
      <c r="BI908" s="545"/>
      <c r="BJ908" s="545"/>
      <c r="BK908" s="545"/>
      <c r="BL908" s="545"/>
      <c r="BM908" s="545"/>
      <c r="BN908" s="545"/>
      <c r="BO908" s="545"/>
      <c r="BP908" s="545"/>
      <c r="BQ908" s="545"/>
      <c r="BR908" s="545"/>
      <c r="BS908" s="545"/>
      <c r="BT908" s="545"/>
      <c r="BU908" s="545"/>
      <c r="BV908" s="545"/>
      <c r="BW908" s="545"/>
      <c r="BX908" s="545"/>
      <c r="BY908" s="545"/>
      <c r="BZ908" s="545"/>
      <c r="CA908" s="545"/>
      <c r="CB908" s="545"/>
      <c r="CC908" s="545"/>
      <c r="CD908" s="545"/>
      <c r="CE908" s="545"/>
      <c r="CF908" s="545"/>
      <c r="CG908" s="545"/>
      <c r="CH908" s="545"/>
      <c r="CI908" s="545"/>
      <c r="CJ908" s="545"/>
      <c r="CK908" s="545"/>
      <c r="CL908" s="545"/>
      <c r="CM908" s="545"/>
      <c r="CN908" s="545"/>
      <c r="CO908" s="545"/>
      <c r="CP908" s="545"/>
      <c r="CQ908" s="545"/>
      <c r="CR908" s="545"/>
      <c r="CS908" s="545"/>
      <c r="CT908" s="545"/>
      <c r="CU908" s="545"/>
      <c r="CV908" s="545"/>
      <c r="CW908" s="545"/>
      <c r="CX908" s="545"/>
      <c r="CY908" s="545"/>
      <c r="CZ908" s="546"/>
    </row>
    <row r="909" spans="1:111" s="20" customFormat="1" ht="13.5" hidden="1" customHeight="1" x14ac:dyDescent="0.25">
      <c r="A909" s="633" t="s">
        <v>37</v>
      </c>
      <c r="B909" s="634"/>
      <c r="C909" s="634"/>
      <c r="D909" s="634"/>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c r="AA909" s="634"/>
      <c r="AB909" s="634"/>
      <c r="AC909" s="634"/>
      <c r="AD909" s="634"/>
      <c r="AE909" s="634"/>
      <c r="AF909" s="634"/>
      <c r="AG909" s="634"/>
      <c r="AH909" s="634"/>
      <c r="AI909" s="634"/>
      <c r="AJ909" s="634"/>
      <c r="AK909" s="634"/>
      <c r="AL909" s="634"/>
      <c r="AM909" s="634"/>
      <c r="AN909" s="634"/>
      <c r="AO909" s="634"/>
      <c r="AP909" s="634"/>
      <c r="AQ909" s="634"/>
      <c r="AR909" s="634"/>
      <c r="AS909" s="634"/>
      <c r="AT909" s="634"/>
      <c r="AU909" s="634"/>
      <c r="AV909" s="634"/>
      <c r="AW909" s="634"/>
      <c r="AX909" s="634"/>
      <c r="AY909" s="634"/>
      <c r="AZ909" s="634"/>
      <c r="BA909" s="634"/>
      <c r="BB909" s="635"/>
      <c r="BC909" s="544"/>
      <c r="BD909" s="545"/>
      <c r="BE909" s="545"/>
      <c r="BF909" s="545"/>
      <c r="BG909" s="545"/>
      <c r="BH909" s="545"/>
      <c r="BI909" s="545"/>
      <c r="BJ909" s="545"/>
      <c r="BK909" s="545"/>
      <c r="BL909" s="545"/>
      <c r="BM909" s="545"/>
      <c r="BN909" s="545"/>
      <c r="BO909" s="545"/>
      <c r="BP909" s="545"/>
      <c r="BQ909" s="545"/>
      <c r="BR909" s="545"/>
      <c r="BS909" s="545"/>
      <c r="BT909" s="545"/>
      <c r="BU909" s="545"/>
      <c r="BV909" s="545"/>
      <c r="BW909" s="545"/>
      <c r="BX909" s="545"/>
      <c r="BY909" s="545"/>
      <c r="BZ909" s="545"/>
      <c r="CA909" s="545"/>
      <c r="CB909" s="545"/>
      <c r="CC909" s="545"/>
      <c r="CD909" s="545"/>
      <c r="CE909" s="545"/>
      <c r="CF909" s="545"/>
      <c r="CG909" s="545"/>
      <c r="CH909" s="545"/>
      <c r="CI909" s="545"/>
      <c r="CJ909" s="545"/>
      <c r="CK909" s="545"/>
      <c r="CL909" s="545"/>
      <c r="CM909" s="545"/>
      <c r="CN909" s="545"/>
      <c r="CO909" s="545"/>
      <c r="CP909" s="545"/>
      <c r="CQ909" s="545"/>
      <c r="CR909" s="545"/>
      <c r="CS909" s="545"/>
      <c r="CT909" s="545"/>
      <c r="CU909" s="545"/>
      <c r="CV909" s="545"/>
      <c r="CW909" s="545"/>
      <c r="CX909" s="545"/>
      <c r="CY909" s="545"/>
      <c r="CZ909" s="546"/>
    </row>
    <row r="910" spans="1:111" s="20" customFormat="1" ht="13.5" hidden="1"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c r="BC910" s="223"/>
      <c r="BD910" s="223"/>
      <c r="BE910" s="223"/>
      <c r="BF910" s="223"/>
      <c r="BG910" s="223"/>
      <c r="BH910" s="223"/>
      <c r="BI910" s="223"/>
      <c r="BJ910" s="223"/>
      <c r="BK910" s="223"/>
      <c r="BL910" s="223"/>
      <c r="BM910" s="223"/>
      <c r="BN910" s="223"/>
      <c r="BO910" s="223"/>
      <c r="BP910" s="223"/>
      <c r="BQ910" s="223"/>
      <c r="BR910" s="223"/>
      <c r="BS910" s="223"/>
      <c r="BT910" s="223"/>
      <c r="BU910" s="223"/>
      <c r="BV910" s="223"/>
      <c r="BW910" s="223"/>
      <c r="BX910" s="223"/>
      <c r="BY910" s="223"/>
      <c r="BZ910" s="223"/>
      <c r="CA910" s="223"/>
      <c r="CB910" s="223"/>
      <c r="CC910" s="223"/>
      <c r="CD910" s="223"/>
      <c r="CE910" s="223"/>
      <c r="CF910" s="223"/>
      <c r="CG910" s="223"/>
      <c r="CH910" s="223"/>
      <c r="CI910" s="223"/>
      <c r="CJ910" s="223"/>
      <c r="CK910" s="223"/>
      <c r="CL910" s="223"/>
      <c r="CM910" s="223"/>
      <c r="CN910" s="223"/>
      <c r="CO910" s="223"/>
      <c r="CP910" s="223"/>
      <c r="CQ910" s="223"/>
      <c r="CR910" s="223"/>
      <c r="CS910" s="223"/>
      <c r="CT910" s="223"/>
      <c r="CU910" s="223"/>
      <c r="CV910" s="223"/>
      <c r="CW910" s="223"/>
      <c r="CX910" s="223"/>
      <c r="CY910" s="223"/>
      <c r="CZ910" s="223"/>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48" t="s">
        <v>464</v>
      </c>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c r="AA912" s="665"/>
      <c r="AB912" s="666"/>
      <c r="AC912" s="666"/>
      <c r="AD912" s="666"/>
      <c r="AE912" s="666"/>
      <c r="AF912" s="666"/>
      <c r="AG912" s="666"/>
      <c r="AH912" s="666"/>
      <c r="AI912" s="666"/>
      <c r="AJ912" s="666"/>
      <c r="AK912" s="666"/>
      <c r="AL912" s="666"/>
      <c r="AM912" s="666"/>
      <c r="AN912" s="667"/>
      <c r="AO912" s="668">
        <f>CI73+CI501+CI571+CI642+CI857+CI877+CI213</f>
        <v>0</v>
      </c>
      <c r="AP912" s="668"/>
      <c r="AQ912" s="668"/>
      <c r="AR912" s="668"/>
      <c r="AS912" s="668"/>
      <c r="AT912" s="668"/>
      <c r="AU912" s="668"/>
      <c r="AV912" s="668"/>
      <c r="AW912" s="668"/>
      <c r="AX912" s="668"/>
      <c r="AY912" s="668"/>
      <c r="AZ912" s="668"/>
      <c r="BA912" s="668"/>
      <c r="BB912" s="668"/>
      <c r="BC912" s="668">
        <f>CI12+CI67+CL115+CI202+CI230+CI250+CK313+CK361+CK384+CK407+CI481+CI550+CI736+BV106+CI343+CI871+CI96+CK426+CI617</f>
        <v>122067100.00151999</v>
      </c>
      <c r="BD912" s="457"/>
      <c r="BE912" s="457"/>
      <c r="BF912" s="457"/>
      <c r="BG912" s="457"/>
      <c r="BH912" s="457"/>
      <c r="BI912" s="457"/>
      <c r="BJ912" s="457"/>
      <c r="BK912" s="457"/>
      <c r="BL912" s="457"/>
      <c r="BM912" s="457"/>
      <c r="BN912" s="457"/>
      <c r="BO912" s="457"/>
      <c r="BP912" s="457"/>
      <c r="BQ912" s="457"/>
      <c r="BR912" s="457"/>
      <c r="BS912" s="668">
        <f>CI16+BV118+CL127+CI265+CK318+CK370+CK412+CI488+CI556+CI592+CI842+CK393+CI254+CI296+CK431+CL162</f>
        <v>12834599.996940002</v>
      </c>
      <c r="BT912" s="457"/>
      <c r="BU912" s="457"/>
      <c r="BV912" s="457"/>
      <c r="BW912" s="457"/>
      <c r="BX912" s="457"/>
      <c r="BY912" s="457"/>
      <c r="BZ912" s="457"/>
      <c r="CA912" s="457"/>
      <c r="CB912" s="457"/>
      <c r="CC912" s="457"/>
      <c r="CD912" s="457"/>
      <c r="CE912" s="457"/>
      <c r="CF912" s="457"/>
      <c r="CG912" s="457"/>
      <c r="CH912" s="457"/>
      <c r="CI912" s="665">
        <f>CI17+CI74+CL143+BV106+BV123+CI203+CI213+CI234+CI255+CI269+CK319+CI344+CK371+CK394+CK413+CI572+CI650+CI861+CI881+CI502+CI297+CI96+CI432+CK432+CL162</f>
        <v>134901699.99846002</v>
      </c>
      <c r="CJ912" s="666"/>
      <c r="CK912" s="666"/>
      <c r="CL912" s="666"/>
      <c r="CM912" s="666"/>
      <c r="CN912" s="666"/>
      <c r="CO912" s="666"/>
      <c r="CP912" s="666"/>
      <c r="CQ912" s="666"/>
      <c r="CR912" s="666"/>
      <c r="CS912" s="666"/>
      <c r="CT912" s="666"/>
      <c r="CU912" s="666"/>
      <c r="CV912" s="666"/>
      <c r="CW912" s="666"/>
      <c r="CX912" s="666"/>
      <c r="CY912" s="666"/>
      <c r="CZ912" s="667"/>
      <c r="DA912" s="243"/>
      <c r="DB912" s="250"/>
      <c r="DG912" s="250"/>
    </row>
    <row r="913" spans="1:113" x14ac:dyDescent="0.25">
      <c r="AA913" s="665"/>
      <c r="AB913" s="666"/>
      <c r="AC913" s="666"/>
      <c r="AD913" s="666"/>
      <c r="AE913" s="666"/>
      <c r="AF913" s="666"/>
      <c r="AG913" s="666"/>
      <c r="AH913" s="666"/>
      <c r="AI913" s="666"/>
      <c r="AJ913" s="666"/>
      <c r="AK913" s="666"/>
      <c r="AL913" s="666"/>
      <c r="AM913" s="666"/>
      <c r="AN913" s="667"/>
      <c r="AO913" s="668">
        <v>0</v>
      </c>
      <c r="AP913" s="668"/>
      <c r="AQ913" s="668"/>
      <c r="AR913" s="668"/>
      <c r="AS913" s="668"/>
      <c r="AT913" s="668"/>
      <c r="AU913" s="668"/>
      <c r="AV913" s="668"/>
      <c r="AW913" s="668"/>
      <c r="AX913" s="668"/>
      <c r="AY913" s="668"/>
      <c r="AZ913" s="668"/>
      <c r="BA913" s="668"/>
      <c r="BB913" s="668"/>
      <c r="BC913" s="668">
        <f>122067100</f>
        <v>122067100</v>
      </c>
      <c r="BD913" s="457"/>
      <c r="BE913" s="457"/>
      <c r="BF913" s="457"/>
      <c r="BG913" s="457"/>
      <c r="BH913" s="457"/>
      <c r="BI913" s="457"/>
      <c r="BJ913" s="457"/>
      <c r="BK913" s="457"/>
      <c r="BL913" s="457"/>
      <c r="BM913" s="457"/>
      <c r="BN913" s="457"/>
      <c r="BO913" s="457"/>
      <c r="BP913" s="457"/>
      <c r="BQ913" s="457"/>
      <c r="BR913" s="457"/>
      <c r="BS913" s="668">
        <f>12574600+260000</f>
        <v>12834600</v>
      </c>
      <c r="BT913" s="668"/>
      <c r="BU913" s="668"/>
      <c r="BV913" s="668"/>
      <c r="BW913" s="668"/>
      <c r="BX913" s="668"/>
      <c r="BY913" s="668"/>
      <c r="BZ913" s="668"/>
      <c r="CA913" s="668"/>
      <c r="CB913" s="668"/>
      <c r="CC913" s="668"/>
      <c r="CD913" s="668"/>
      <c r="CE913" s="668"/>
      <c r="CF913" s="668"/>
      <c r="CG913" s="668"/>
      <c r="CH913" s="668"/>
      <c r="CI913" s="668">
        <f>AO913+BC913+BS913</f>
        <v>134901700</v>
      </c>
      <c r="CJ913" s="668"/>
      <c r="CK913" s="668"/>
      <c r="CL913" s="668"/>
      <c r="CM913" s="668"/>
      <c r="CN913" s="668"/>
      <c r="CO913" s="668"/>
      <c r="CP913" s="668"/>
      <c r="CQ913" s="668"/>
      <c r="CR913" s="668"/>
      <c r="CS913" s="668"/>
      <c r="CT913" s="668"/>
      <c r="CU913" s="668"/>
      <c r="CV913" s="668"/>
      <c r="CW913" s="668"/>
      <c r="CX913" s="668"/>
      <c r="CY913" s="668"/>
      <c r="CZ913" s="668"/>
      <c r="DA913" s="243"/>
      <c r="DG913" s="250"/>
    </row>
    <row r="914" spans="1:113" x14ac:dyDescent="0.25">
      <c r="A914" s="669" t="s">
        <v>999</v>
      </c>
      <c r="B914" s="670"/>
      <c r="C914" s="670"/>
      <c r="D914" s="670"/>
      <c r="E914" s="670"/>
      <c r="F914" s="670"/>
      <c r="G914" s="670"/>
      <c r="H914" s="670"/>
      <c r="I914" s="670"/>
      <c r="J914" s="670"/>
      <c r="K914" s="670"/>
      <c r="L914" s="670"/>
      <c r="M914" s="670"/>
      <c r="N914" s="670"/>
      <c r="O914" s="670"/>
      <c r="P914" s="670"/>
      <c r="Q914" s="670"/>
      <c r="R914" s="670"/>
      <c r="S914" s="670"/>
      <c r="T914" s="670"/>
      <c r="U914" s="670"/>
      <c r="V914" s="670"/>
      <c r="W914" s="670"/>
      <c r="X914" s="670"/>
      <c r="Y914" s="670"/>
      <c r="Z914" s="671"/>
      <c r="AA914" s="665"/>
      <c r="AB914" s="666"/>
      <c r="AC914" s="666"/>
      <c r="AD914" s="666"/>
      <c r="AE914" s="666"/>
      <c r="AF914" s="666"/>
      <c r="AG914" s="666"/>
      <c r="AH914" s="666"/>
      <c r="AI914" s="666"/>
      <c r="AJ914" s="666"/>
      <c r="AK914" s="666"/>
      <c r="AL914" s="666"/>
      <c r="AM914" s="666"/>
      <c r="AN914" s="667"/>
      <c r="AO914" s="668">
        <v>0</v>
      </c>
      <c r="AP914" s="668"/>
      <c r="AQ914" s="668"/>
      <c r="AR914" s="668"/>
      <c r="AS914" s="668"/>
      <c r="AT914" s="668"/>
      <c r="AU914" s="668"/>
      <c r="AV914" s="668"/>
      <c r="AW914" s="668"/>
      <c r="AX914" s="668"/>
      <c r="AY914" s="668"/>
      <c r="AZ914" s="668"/>
      <c r="BA914" s="668"/>
      <c r="BB914" s="668"/>
      <c r="BC914" s="668"/>
      <c r="BD914" s="457"/>
      <c r="BE914" s="457"/>
      <c r="BF914" s="457"/>
      <c r="BG914" s="457"/>
      <c r="BH914" s="457"/>
      <c r="BI914" s="457"/>
      <c r="BJ914" s="457"/>
      <c r="BK914" s="457"/>
      <c r="BL914" s="457"/>
      <c r="BM914" s="457"/>
      <c r="BN914" s="457"/>
      <c r="BO914" s="457"/>
      <c r="BP914" s="457"/>
      <c r="BQ914" s="457"/>
      <c r="BR914" s="457"/>
      <c r="BS914" s="668"/>
      <c r="BT914" s="457"/>
      <c r="BU914" s="457"/>
      <c r="BV914" s="457"/>
      <c r="BW914" s="457"/>
      <c r="BX914" s="457"/>
      <c r="BY914" s="457"/>
      <c r="BZ914" s="457"/>
      <c r="CA914" s="457"/>
      <c r="CB914" s="457"/>
      <c r="CC914" s="457"/>
      <c r="CD914" s="457"/>
      <c r="CE914" s="457"/>
      <c r="CF914" s="457"/>
      <c r="CG914" s="457"/>
      <c r="CH914" s="457"/>
      <c r="CI914" s="668">
        <f>BC914+BS914</f>
        <v>0</v>
      </c>
      <c r="CJ914" s="457"/>
      <c r="CK914" s="457"/>
      <c r="CL914" s="457"/>
      <c r="CM914" s="457"/>
      <c r="CN914" s="457"/>
      <c r="CO914" s="457"/>
      <c r="CP914" s="457"/>
      <c r="CQ914" s="457"/>
      <c r="CR914" s="457"/>
      <c r="CS914" s="457"/>
      <c r="CT914" s="457"/>
      <c r="CU914" s="457"/>
      <c r="CV914" s="457"/>
      <c r="CW914" s="457"/>
      <c r="CX914" s="457"/>
      <c r="CY914" s="457"/>
      <c r="CZ914" s="457"/>
      <c r="DA914" s="243"/>
      <c r="DG914" s="250"/>
    </row>
    <row r="915" spans="1:113" x14ac:dyDescent="0.25">
      <c r="AA915" s="665"/>
      <c r="AB915" s="666"/>
      <c r="AC915" s="666"/>
      <c r="AD915" s="666"/>
      <c r="AE915" s="666"/>
      <c r="AF915" s="666"/>
      <c r="AG915" s="666"/>
      <c r="AH915" s="666"/>
      <c r="AI915" s="666"/>
      <c r="AJ915" s="666"/>
      <c r="AK915" s="666"/>
      <c r="AL915" s="666"/>
      <c r="AM915" s="666"/>
      <c r="AN915" s="667"/>
      <c r="AO915" s="668">
        <f>AO912-AO913</f>
        <v>0</v>
      </c>
      <c r="AP915" s="457"/>
      <c r="AQ915" s="457"/>
      <c r="AR915" s="457"/>
      <c r="AS915" s="457"/>
      <c r="AT915" s="457"/>
      <c r="AU915" s="457"/>
      <c r="AV915" s="457"/>
      <c r="AW915" s="457"/>
      <c r="AX915" s="457"/>
      <c r="AY915" s="457"/>
      <c r="AZ915" s="457"/>
      <c r="BA915" s="457"/>
      <c r="BB915" s="457"/>
      <c r="BC915" s="668">
        <f>BC913+BC914-BC912</f>
        <v>-1.5199929475784302E-3</v>
      </c>
      <c r="BD915" s="668"/>
      <c r="BE915" s="668"/>
      <c r="BF915" s="668"/>
      <c r="BG915" s="668"/>
      <c r="BH915" s="668"/>
      <c r="BI915" s="668"/>
      <c r="BJ915" s="668"/>
      <c r="BK915" s="668"/>
      <c r="BL915" s="668"/>
      <c r="BM915" s="668"/>
      <c r="BN915" s="668"/>
      <c r="BO915" s="668"/>
      <c r="BP915" s="668"/>
      <c r="BQ915" s="668"/>
      <c r="BR915" s="668"/>
      <c r="BS915" s="668">
        <f>BS913+BS914-BS912</f>
        <v>3.0599981546401978E-3</v>
      </c>
      <c r="BT915" s="457"/>
      <c r="BU915" s="457"/>
      <c r="BV915" s="457"/>
      <c r="BW915" s="457"/>
      <c r="BX915" s="457"/>
      <c r="BY915" s="457"/>
      <c r="BZ915" s="457"/>
      <c r="CA915" s="457"/>
      <c r="CB915" s="457"/>
      <c r="CC915" s="457"/>
      <c r="CD915" s="457"/>
      <c r="CE915" s="457"/>
      <c r="CF915" s="457"/>
      <c r="CG915" s="457"/>
      <c r="CH915" s="457"/>
      <c r="CI915" s="668">
        <f>CI912-CI913-CI914</f>
        <v>-1.5399754047393799E-3</v>
      </c>
      <c r="CJ915" s="457"/>
      <c r="CK915" s="457"/>
      <c r="CL915" s="457"/>
      <c r="CM915" s="457"/>
      <c r="CN915" s="457"/>
      <c r="CO915" s="457"/>
      <c r="CP915" s="457"/>
      <c r="CQ915" s="457"/>
      <c r="CR915" s="457"/>
      <c r="CS915" s="457"/>
      <c r="CT915" s="457"/>
      <c r="CU915" s="457"/>
      <c r="CV915" s="457"/>
      <c r="CW915" s="457"/>
      <c r="CX915" s="457"/>
      <c r="CY915" s="457"/>
      <c r="CZ915" s="457"/>
      <c r="DA915" s="243"/>
      <c r="DG915" s="250"/>
      <c r="DI915" s="20"/>
    </row>
    <row r="916" spans="1:113" x14ac:dyDescent="0.25">
      <c r="DA916" s="243"/>
      <c r="DG916" s="250"/>
    </row>
    <row r="919" spans="1:113" x14ac:dyDescent="0.25">
      <c r="DA919" s="243"/>
    </row>
  </sheetData>
  <mergeCells count="3618">
    <mergeCell ref="GW421:HL421"/>
    <mergeCell ref="HM421:IB421"/>
    <mergeCell ref="IC421:IR421"/>
    <mergeCell ref="IS421:JH421"/>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H422:BB422"/>
    <mergeCell ref="H423:BB423"/>
    <mergeCell ref="H424:BB424"/>
    <mergeCell ref="BC422:BR422"/>
    <mergeCell ref="BC423:BR423"/>
    <mergeCell ref="BC424:BR424"/>
    <mergeCell ref="BS422:CH422"/>
    <mergeCell ref="BS423:CH423"/>
    <mergeCell ref="BS424:CH424"/>
    <mergeCell ref="BS893:CH893"/>
    <mergeCell ref="CI893:CZ893"/>
    <mergeCell ref="A894:BB894"/>
    <mergeCell ref="A895:BB895"/>
    <mergeCell ref="A897:CZ897"/>
    <mergeCell ref="A899:BB899"/>
    <mergeCell ref="BC901:CZ901"/>
    <mergeCell ref="BC891:BR891"/>
    <mergeCell ref="BS891:CH891"/>
    <mergeCell ref="CI891:CZ891"/>
    <mergeCell ref="A890:G890"/>
    <mergeCell ref="BC890:BR890"/>
    <mergeCell ref="BS890:CH890"/>
    <mergeCell ref="CI890:CZ890"/>
    <mergeCell ref="BC895:BR895"/>
    <mergeCell ref="BS895:CH895"/>
    <mergeCell ref="CI895:CZ895"/>
    <mergeCell ref="BC894:BR894"/>
    <mergeCell ref="BS894:CH894"/>
    <mergeCell ref="CI894:CZ894"/>
    <mergeCell ref="A863:CZ863"/>
    <mergeCell ref="W865:CZ865"/>
    <mergeCell ref="A867:G867"/>
    <mergeCell ref="H867:BR867"/>
    <mergeCell ref="BS867:CH867"/>
    <mergeCell ref="CI867:CZ867"/>
    <mergeCell ref="H868:BR868"/>
    <mergeCell ref="A869:CZ869"/>
    <mergeCell ref="H870:BR870"/>
    <mergeCell ref="A871:BR871"/>
    <mergeCell ref="A872:CZ872"/>
    <mergeCell ref="H873:BR873"/>
    <mergeCell ref="A874:BR874"/>
    <mergeCell ref="A875:CZ875"/>
    <mergeCell ref="H876:BR876"/>
    <mergeCell ref="A877:BR877"/>
    <mergeCell ref="A878:CZ878"/>
    <mergeCell ref="A870:G870"/>
    <mergeCell ref="BS870:CH870"/>
    <mergeCell ref="CI870:CZ870"/>
    <mergeCell ref="BS871:CH871"/>
    <mergeCell ref="CI871:CZ871"/>
    <mergeCell ref="A868:G868"/>
    <mergeCell ref="BS868:CH868"/>
    <mergeCell ref="CI868:CZ868"/>
    <mergeCell ref="BS874:CH874"/>
    <mergeCell ref="CI874:CZ874"/>
    <mergeCell ref="A873:G873"/>
    <mergeCell ref="BS873:CH873"/>
    <mergeCell ref="CI873:CZ873"/>
    <mergeCell ref="A857:BR857"/>
    <mergeCell ref="BS857:CH857"/>
    <mergeCell ref="CI857:CZ857"/>
    <mergeCell ref="A858:CZ858"/>
    <mergeCell ref="A859:G859"/>
    <mergeCell ref="H859:AT859"/>
    <mergeCell ref="AU859:BB859"/>
    <mergeCell ref="BC859:BR859"/>
    <mergeCell ref="BS859:CH859"/>
    <mergeCell ref="CI859:CZ859"/>
    <mergeCell ref="A860:BR860"/>
    <mergeCell ref="BS860:CH860"/>
    <mergeCell ref="CI860:CZ860"/>
    <mergeCell ref="A861:BB861"/>
    <mergeCell ref="BC861:BR861"/>
    <mergeCell ref="BS861:CH861"/>
    <mergeCell ref="CI861:CZ861"/>
    <mergeCell ref="H853:AT853"/>
    <mergeCell ref="AU853:BB853"/>
    <mergeCell ref="BC853:BR853"/>
    <mergeCell ref="BS853:CH853"/>
    <mergeCell ref="CI853:CZ853"/>
    <mergeCell ref="A854:G854"/>
    <mergeCell ref="H854:AT854"/>
    <mergeCell ref="AU854:BB854"/>
    <mergeCell ref="BC854:BR854"/>
    <mergeCell ref="BS854:CH854"/>
    <mergeCell ref="CI854:CZ854"/>
    <mergeCell ref="H855:AT855"/>
    <mergeCell ref="AU855:BB855"/>
    <mergeCell ref="BC855:BR855"/>
    <mergeCell ref="BS855:CH855"/>
    <mergeCell ref="CI855:CZ855"/>
    <mergeCell ref="A856:G856"/>
    <mergeCell ref="H856:AT856"/>
    <mergeCell ref="AU856:BB856"/>
    <mergeCell ref="BC856:BR856"/>
    <mergeCell ref="BS856:CH856"/>
    <mergeCell ref="CI856:CZ856"/>
    <mergeCell ref="BS849:CH849"/>
    <mergeCell ref="CI849:CZ849"/>
    <mergeCell ref="A850:G850"/>
    <mergeCell ref="H850:AT850"/>
    <mergeCell ref="AU850:BB850"/>
    <mergeCell ref="BC850:BR850"/>
    <mergeCell ref="BS850:CH850"/>
    <mergeCell ref="CI850:CZ850"/>
    <mergeCell ref="A851:G851"/>
    <mergeCell ref="H851:AT851"/>
    <mergeCell ref="AU851:BB851"/>
    <mergeCell ref="BC851:BR851"/>
    <mergeCell ref="BS851:CH851"/>
    <mergeCell ref="CI851:CZ851"/>
    <mergeCell ref="H852:AT852"/>
    <mergeCell ref="AU852:BB852"/>
    <mergeCell ref="BC852:BR852"/>
    <mergeCell ref="BS852:CH852"/>
    <mergeCell ref="CI852:CZ852"/>
    <mergeCell ref="A840:G840"/>
    <mergeCell ref="H840:AT840"/>
    <mergeCell ref="AU840:BB840"/>
    <mergeCell ref="BC840:BR840"/>
    <mergeCell ref="BS840:CH840"/>
    <mergeCell ref="CI840:CZ840"/>
    <mergeCell ref="A845:G845"/>
    <mergeCell ref="H845:AT845"/>
    <mergeCell ref="AU845:BB845"/>
    <mergeCell ref="A846:G846"/>
    <mergeCell ref="H846:AT846"/>
    <mergeCell ref="AU846:BB846"/>
    <mergeCell ref="A847:G847"/>
    <mergeCell ref="H847:AT847"/>
    <mergeCell ref="AU847:BB847"/>
    <mergeCell ref="BC847:BR847"/>
    <mergeCell ref="BS847:CH847"/>
    <mergeCell ref="CI847:CZ847"/>
    <mergeCell ref="A841:G841"/>
    <mergeCell ref="H841:AT841"/>
    <mergeCell ref="AU841:BB841"/>
    <mergeCell ref="BC841:BR841"/>
    <mergeCell ref="BS841:CH841"/>
    <mergeCell ref="CI841:CZ841"/>
    <mergeCell ref="BS842:CH842"/>
    <mergeCell ref="CI842:CZ842"/>
    <mergeCell ref="A843:CZ843"/>
    <mergeCell ref="A844:G844"/>
    <mergeCell ref="H844:AT844"/>
    <mergeCell ref="AU844:BB844"/>
    <mergeCell ref="BC844:BR844"/>
    <mergeCell ref="BS844:CH844"/>
    <mergeCell ref="A833:G833"/>
    <mergeCell ref="H833:AT833"/>
    <mergeCell ref="AU833:BB833"/>
    <mergeCell ref="BC833:BR833"/>
    <mergeCell ref="A834:G834"/>
    <mergeCell ref="H834:AT834"/>
    <mergeCell ref="AU834:BB834"/>
    <mergeCell ref="BC834:BR834"/>
    <mergeCell ref="BS834:CH834"/>
    <mergeCell ref="CI834:CZ834"/>
    <mergeCell ref="A835:G835"/>
    <mergeCell ref="H835:AT835"/>
    <mergeCell ref="AU835:BB835"/>
    <mergeCell ref="BC835:BR835"/>
    <mergeCell ref="BS835:CH835"/>
    <mergeCell ref="CI835:CZ835"/>
    <mergeCell ref="A836:G836"/>
    <mergeCell ref="H836:AT836"/>
    <mergeCell ref="AU836:BB836"/>
    <mergeCell ref="BC836:BR836"/>
    <mergeCell ref="BS836:CH836"/>
    <mergeCell ref="CI836:CZ836"/>
    <mergeCell ref="BS833:CH833"/>
    <mergeCell ref="CI833:CZ833"/>
    <mergeCell ref="H828:AT828"/>
    <mergeCell ref="AU828:BB828"/>
    <mergeCell ref="BC828:BR828"/>
    <mergeCell ref="A829:G829"/>
    <mergeCell ref="H829:AT829"/>
    <mergeCell ref="AU829:BB829"/>
    <mergeCell ref="BC829:BR829"/>
    <mergeCell ref="A830:G830"/>
    <mergeCell ref="H830:AT830"/>
    <mergeCell ref="AU830:BB830"/>
    <mergeCell ref="BC830:BR830"/>
    <mergeCell ref="BS830:CH830"/>
    <mergeCell ref="CI830:CZ830"/>
    <mergeCell ref="H831:AT831"/>
    <mergeCell ref="AU831:BB831"/>
    <mergeCell ref="BC831:BR831"/>
    <mergeCell ref="A832:G832"/>
    <mergeCell ref="H832:AT832"/>
    <mergeCell ref="AU832:BB832"/>
    <mergeCell ref="BC832:BR832"/>
    <mergeCell ref="CI831:CZ831"/>
    <mergeCell ref="A828:G828"/>
    <mergeCell ref="BS828:CH828"/>
    <mergeCell ref="CI828:CZ828"/>
    <mergeCell ref="BS832:CH832"/>
    <mergeCell ref="CI832:CZ832"/>
    <mergeCell ref="A824:G824"/>
    <mergeCell ref="H824:AT824"/>
    <mergeCell ref="AU824:BB824"/>
    <mergeCell ref="BC824:BR824"/>
    <mergeCell ref="BS824:CH824"/>
    <mergeCell ref="CI824:CZ824"/>
    <mergeCell ref="H825:AT825"/>
    <mergeCell ref="AU825:BB825"/>
    <mergeCell ref="BC825:BR825"/>
    <mergeCell ref="A826:G826"/>
    <mergeCell ref="H826:AT826"/>
    <mergeCell ref="AU826:BB826"/>
    <mergeCell ref="BC826:BR826"/>
    <mergeCell ref="A827:G827"/>
    <mergeCell ref="H827:AT827"/>
    <mergeCell ref="AU827:BB827"/>
    <mergeCell ref="BC827:BR827"/>
    <mergeCell ref="BS827:CH827"/>
    <mergeCell ref="CI827:CZ827"/>
    <mergeCell ref="A825:G825"/>
    <mergeCell ref="BS825:CH825"/>
    <mergeCell ref="CI825:CZ825"/>
    <mergeCell ref="BS826:CH826"/>
    <mergeCell ref="CI826:CZ826"/>
    <mergeCell ref="CI821:CZ821"/>
    <mergeCell ref="H822:AT822"/>
    <mergeCell ref="AU822:BB822"/>
    <mergeCell ref="BC822:BR822"/>
    <mergeCell ref="A823:G823"/>
    <mergeCell ref="H823:AT823"/>
    <mergeCell ref="AU823:BB823"/>
    <mergeCell ref="BC823:BR823"/>
    <mergeCell ref="A820:G820"/>
    <mergeCell ref="BS820:CH820"/>
    <mergeCell ref="CI820:CZ820"/>
    <mergeCell ref="A822:G822"/>
    <mergeCell ref="BS822:CH822"/>
    <mergeCell ref="CI822:CZ822"/>
    <mergeCell ref="A819:G819"/>
    <mergeCell ref="BS819:CH819"/>
    <mergeCell ref="CI819:CZ819"/>
    <mergeCell ref="BS823:CH823"/>
    <mergeCell ref="CI823:CZ823"/>
    <mergeCell ref="A816:G816"/>
    <mergeCell ref="H816:AT816"/>
    <mergeCell ref="AU816:BB816"/>
    <mergeCell ref="BC816:BR816"/>
    <mergeCell ref="BS816:CH816"/>
    <mergeCell ref="CI816:CZ816"/>
    <mergeCell ref="H819:AT819"/>
    <mergeCell ref="AU819:BB819"/>
    <mergeCell ref="BC819:BR819"/>
    <mergeCell ref="H820:AT820"/>
    <mergeCell ref="AU820:BB820"/>
    <mergeCell ref="BC820:BR820"/>
    <mergeCell ref="CI817:CZ817"/>
    <mergeCell ref="A818:G818"/>
    <mergeCell ref="H818:AT818"/>
    <mergeCell ref="AU818:BB818"/>
    <mergeCell ref="BC818:BR818"/>
    <mergeCell ref="BS818:CH818"/>
    <mergeCell ref="CI818:CZ818"/>
    <mergeCell ref="A817:G817"/>
    <mergeCell ref="H817:AT817"/>
    <mergeCell ref="AU817:BB817"/>
    <mergeCell ref="BC817:BR817"/>
    <mergeCell ref="BS817:CH817"/>
    <mergeCell ref="A814:G814"/>
    <mergeCell ref="H814:AT814"/>
    <mergeCell ref="AU814:BB814"/>
    <mergeCell ref="BC814:BR814"/>
    <mergeCell ref="BS814:CH814"/>
    <mergeCell ref="CI814:CZ814"/>
    <mergeCell ref="H628:BB628"/>
    <mergeCell ref="H629:BB629"/>
    <mergeCell ref="H630:BB630"/>
    <mergeCell ref="H631:BB631"/>
    <mergeCell ref="H632:BB632"/>
    <mergeCell ref="H633:BB633"/>
    <mergeCell ref="H634:BB634"/>
    <mergeCell ref="H635:BB635"/>
    <mergeCell ref="H636:BB636"/>
    <mergeCell ref="H637:BB637"/>
    <mergeCell ref="A815:G815"/>
    <mergeCell ref="H815:AT815"/>
    <mergeCell ref="AU815:BB815"/>
    <mergeCell ref="BC815:BR815"/>
    <mergeCell ref="BS815:CH815"/>
    <mergeCell ref="CI815:CZ815"/>
    <mergeCell ref="CI635:CZ635"/>
    <mergeCell ref="A640:G640"/>
    <mergeCell ref="BC640:BR640"/>
    <mergeCell ref="BS640:CH640"/>
    <mergeCell ref="CI640:CZ640"/>
    <mergeCell ref="A639:G639"/>
    <mergeCell ref="BC639:BR639"/>
    <mergeCell ref="BS639:CH639"/>
    <mergeCell ref="CI639:CZ639"/>
    <mergeCell ref="A638:G638"/>
    <mergeCell ref="BS628:CH628"/>
    <mergeCell ref="CI628:CZ628"/>
    <mergeCell ref="A631:G631"/>
    <mergeCell ref="BC631:BR631"/>
    <mergeCell ref="BS631:CH631"/>
    <mergeCell ref="CI631:CZ631"/>
    <mergeCell ref="A630:G630"/>
    <mergeCell ref="BC630:BR630"/>
    <mergeCell ref="BS630:CH630"/>
    <mergeCell ref="CI630:CZ630"/>
    <mergeCell ref="A629:G629"/>
    <mergeCell ref="BC629:BR629"/>
    <mergeCell ref="BS629:CH629"/>
    <mergeCell ref="H813:AT813"/>
    <mergeCell ref="AU813:BB813"/>
    <mergeCell ref="BC625:BR625"/>
    <mergeCell ref="BS625:CH625"/>
    <mergeCell ref="CI625:CZ625"/>
    <mergeCell ref="A637:G637"/>
    <mergeCell ref="BC637:BR637"/>
    <mergeCell ref="BS637:CH637"/>
    <mergeCell ref="CI637:CZ637"/>
    <mergeCell ref="A636:G636"/>
    <mergeCell ref="BC636:BR636"/>
    <mergeCell ref="BS636:CH636"/>
    <mergeCell ref="CI636:CZ636"/>
    <mergeCell ref="A635:G635"/>
    <mergeCell ref="BC635:BR635"/>
    <mergeCell ref="BS635:CH635"/>
    <mergeCell ref="BC638:BR638"/>
    <mergeCell ref="BS638:CH638"/>
    <mergeCell ref="CI638:CZ638"/>
    <mergeCell ref="A620:G620"/>
    <mergeCell ref="H620:BB620"/>
    <mergeCell ref="BC620:BR620"/>
    <mergeCell ref="BS620:CH620"/>
    <mergeCell ref="CI620:CZ620"/>
    <mergeCell ref="A621:G621"/>
    <mergeCell ref="H621:BB621"/>
    <mergeCell ref="BC621:BR621"/>
    <mergeCell ref="BS621:CH621"/>
    <mergeCell ref="CI621:CZ621"/>
    <mergeCell ref="A622:G622"/>
    <mergeCell ref="H622:BB622"/>
    <mergeCell ref="BC622:BR622"/>
    <mergeCell ref="BS622:CH622"/>
    <mergeCell ref="CI622:CZ622"/>
    <mergeCell ref="A623:G623"/>
    <mergeCell ref="H623:BB623"/>
    <mergeCell ref="BC623:BR623"/>
    <mergeCell ref="BS623:CH623"/>
    <mergeCell ref="CI623:CZ623"/>
    <mergeCell ref="CI610:CZ610"/>
    <mergeCell ref="A613:G613"/>
    <mergeCell ref="H613:BB613"/>
    <mergeCell ref="BC613:BR613"/>
    <mergeCell ref="BS613:CH613"/>
    <mergeCell ref="CI613:CZ613"/>
    <mergeCell ref="A615:G615"/>
    <mergeCell ref="H615:BB615"/>
    <mergeCell ref="A616:G616"/>
    <mergeCell ref="H616:BB616"/>
    <mergeCell ref="BC616:BR616"/>
    <mergeCell ref="BS616:CH616"/>
    <mergeCell ref="CI616:CZ616"/>
    <mergeCell ref="A612:G612"/>
    <mergeCell ref="H612:BB612"/>
    <mergeCell ref="BC612:BR612"/>
    <mergeCell ref="BS612:CH612"/>
    <mergeCell ref="CI612:CZ612"/>
    <mergeCell ref="A611:G611"/>
    <mergeCell ref="H611:BB611"/>
    <mergeCell ref="BC611:BR611"/>
    <mergeCell ref="BS611:CH611"/>
    <mergeCell ref="CI611:CZ611"/>
    <mergeCell ref="A604:G604"/>
    <mergeCell ref="H604:BB604"/>
    <mergeCell ref="BC604:BR604"/>
    <mergeCell ref="A605:G605"/>
    <mergeCell ref="H605:BB605"/>
    <mergeCell ref="BC605:BR605"/>
    <mergeCell ref="A606:G606"/>
    <mergeCell ref="H606:BB606"/>
    <mergeCell ref="BC606:BR606"/>
    <mergeCell ref="BS606:CH606"/>
    <mergeCell ref="CI606:CZ606"/>
    <mergeCell ref="A607:G607"/>
    <mergeCell ref="H607:BB607"/>
    <mergeCell ref="BC607:BR607"/>
    <mergeCell ref="BS607:CH607"/>
    <mergeCell ref="CI607:CZ607"/>
    <mergeCell ref="BS605:CH605"/>
    <mergeCell ref="CI605:CZ605"/>
    <mergeCell ref="BS604:CH604"/>
    <mergeCell ref="CI604:CZ604"/>
    <mergeCell ref="A598:G598"/>
    <mergeCell ref="H598:BB598"/>
    <mergeCell ref="BC598:BR598"/>
    <mergeCell ref="A599:G599"/>
    <mergeCell ref="H599:BB599"/>
    <mergeCell ref="BC599:BR599"/>
    <mergeCell ref="BS599:CH599"/>
    <mergeCell ref="CI599:CZ599"/>
    <mergeCell ref="H600:BB600"/>
    <mergeCell ref="BC600:BR600"/>
    <mergeCell ref="H601:BB601"/>
    <mergeCell ref="BC601:BR601"/>
    <mergeCell ref="H602:BB602"/>
    <mergeCell ref="BC602:BR602"/>
    <mergeCell ref="H603:BB603"/>
    <mergeCell ref="BC603:BR603"/>
    <mergeCell ref="A603:G603"/>
    <mergeCell ref="BS603:CH603"/>
    <mergeCell ref="CI603:CZ603"/>
    <mergeCell ref="A601:G601"/>
    <mergeCell ref="BS601:CH601"/>
    <mergeCell ref="CI601:CZ601"/>
    <mergeCell ref="A602:G602"/>
    <mergeCell ref="BS602:CH602"/>
    <mergeCell ref="CI602:CZ602"/>
    <mergeCell ref="BS598:CH598"/>
    <mergeCell ref="CI598:CZ598"/>
    <mergeCell ref="A600:G600"/>
    <mergeCell ref="BS600:CH600"/>
    <mergeCell ref="CI600:CZ600"/>
    <mergeCell ref="H587:BB587"/>
    <mergeCell ref="BC587:BR587"/>
    <mergeCell ref="H588:BB588"/>
    <mergeCell ref="BC588:BR588"/>
    <mergeCell ref="H589:BB589"/>
    <mergeCell ref="BC589:BR589"/>
    <mergeCell ref="H590:BB590"/>
    <mergeCell ref="BC590:BR590"/>
    <mergeCell ref="H591:BB591"/>
    <mergeCell ref="BC591:BR591"/>
    <mergeCell ref="A592:BB592"/>
    <mergeCell ref="BC592:BR592"/>
    <mergeCell ref="A593:CZ593"/>
    <mergeCell ref="A591:G591"/>
    <mergeCell ref="BS591:CH591"/>
    <mergeCell ref="CI591:CZ591"/>
    <mergeCell ref="BS592:CH592"/>
    <mergeCell ref="CI592:CZ592"/>
    <mergeCell ref="A589:G589"/>
    <mergeCell ref="BS589:CH589"/>
    <mergeCell ref="CI589:CZ589"/>
    <mergeCell ref="A590:G590"/>
    <mergeCell ref="BS590:CH590"/>
    <mergeCell ref="CI590:CZ590"/>
    <mergeCell ref="A587:G587"/>
    <mergeCell ref="BS587:CH587"/>
    <mergeCell ref="CI587:CZ587"/>
    <mergeCell ref="A588:G588"/>
    <mergeCell ref="BS588:CH588"/>
    <mergeCell ref="CI588:CZ588"/>
    <mergeCell ref="A556:BR556"/>
    <mergeCell ref="BS556:CH556"/>
    <mergeCell ref="CI556:CZ556"/>
    <mergeCell ref="A557:CZ557"/>
    <mergeCell ref="A558:G558"/>
    <mergeCell ref="H558:BR558"/>
    <mergeCell ref="BS558:CH558"/>
    <mergeCell ref="CI558:CZ558"/>
    <mergeCell ref="A561:BR561"/>
    <mergeCell ref="BS561:CH561"/>
    <mergeCell ref="CI561:CZ561"/>
    <mergeCell ref="A562:CZ562"/>
    <mergeCell ref="A571:BR571"/>
    <mergeCell ref="A572:BR572"/>
    <mergeCell ref="A574:CZ574"/>
    <mergeCell ref="W576:CZ576"/>
    <mergeCell ref="A560:G560"/>
    <mergeCell ref="H560:BR560"/>
    <mergeCell ref="BS560:CH560"/>
    <mergeCell ref="CI560:CZ560"/>
    <mergeCell ref="A559:G559"/>
    <mergeCell ref="H559:BR559"/>
    <mergeCell ref="BS559:CH559"/>
    <mergeCell ref="CI559:CZ559"/>
    <mergeCell ref="A564:G564"/>
    <mergeCell ref="H564:BR564"/>
    <mergeCell ref="BS564:CH564"/>
    <mergeCell ref="CI564:CZ564"/>
    <mergeCell ref="BS571:CH571"/>
    <mergeCell ref="CI571:CZ571"/>
    <mergeCell ref="BS572:CH572"/>
    <mergeCell ref="CI572:CZ572"/>
    <mergeCell ref="H546:BR546"/>
    <mergeCell ref="H547:BR547"/>
    <mergeCell ref="H548:BR548"/>
    <mergeCell ref="H549:BR549"/>
    <mergeCell ref="A550:BR550"/>
    <mergeCell ref="A551:CZ551"/>
    <mergeCell ref="A552:G552"/>
    <mergeCell ref="H552:BR552"/>
    <mergeCell ref="A539:G539"/>
    <mergeCell ref="BS539:CH539"/>
    <mergeCell ref="CI539:CZ539"/>
    <mergeCell ref="A547:G547"/>
    <mergeCell ref="BS547:CH547"/>
    <mergeCell ref="CI547:CZ547"/>
    <mergeCell ref="BS550:CH550"/>
    <mergeCell ref="CI550:CZ550"/>
    <mergeCell ref="A548:G548"/>
    <mergeCell ref="BS548:CH548"/>
    <mergeCell ref="CI548:CZ548"/>
    <mergeCell ref="A549:G549"/>
    <mergeCell ref="BS549:CH549"/>
    <mergeCell ref="CI549:CZ549"/>
    <mergeCell ref="BS552:CH552"/>
    <mergeCell ref="CI552:CZ552"/>
    <mergeCell ref="A483:G483"/>
    <mergeCell ref="H483:BB483"/>
    <mergeCell ref="BC483:BR483"/>
    <mergeCell ref="BS483:CH483"/>
    <mergeCell ref="CI483:CZ483"/>
    <mergeCell ref="A488:BB488"/>
    <mergeCell ref="A489:CZ489"/>
    <mergeCell ref="A501:BB501"/>
    <mergeCell ref="A502:BB502"/>
    <mergeCell ref="A504:CZ504"/>
    <mergeCell ref="W506:CZ506"/>
    <mergeCell ref="H508:BR508"/>
    <mergeCell ref="H509:BR509"/>
    <mergeCell ref="A510:CZ510"/>
    <mergeCell ref="H511:BR511"/>
    <mergeCell ref="H512:BR512"/>
    <mergeCell ref="H513:BR513"/>
    <mergeCell ref="A486:G486"/>
    <mergeCell ref="H486:BB486"/>
    <mergeCell ref="BC486:BR486"/>
    <mergeCell ref="BS486:CH486"/>
    <mergeCell ref="CI486:CZ486"/>
    <mergeCell ref="A487:G487"/>
    <mergeCell ref="H487:BB487"/>
    <mergeCell ref="BC487:BR487"/>
    <mergeCell ref="BS487:CH487"/>
    <mergeCell ref="CI487:CZ487"/>
    <mergeCell ref="A484:G484"/>
    <mergeCell ref="H484:BB484"/>
    <mergeCell ref="BC484:BR484"/>
    <mergeCell ref="BS484:CH484"/>
    <mergeCell ref="CI484:CZ484"/>
    <mergeCell ref="A478:G478"/>
    <mergeCell ref="H478:BB478"/>
    <mergeCell ref="BC478:BR478"/>
    <mergeCell ref="BS478:CH478"/>
    <mergeCell ref="CI478:CZ478"/>
    <mergeCell ref="A479:G479"/>
    <mergeCell ref="H479:BB479"/>
    <mergeCell ref="BC479:BR479"/>
    <mergeCell ref="BS479:CH479"/>
    <mergeCell ref="CI479:CZ479"/>
    <mergeCell ref="A480:G480"/>
    <mergeCell ref="H480:BB480"/>
    <mergeCell ref="BC480:BR480"/>
    <mergeCell ref="BS480:CH480"/>
    <mergeCell ref="CI480:CZ480"/>
    <mergeCell ref="A481:BB481"/>
    <mergeCell ref="A482:CZ482"/>
    <mergeCell ref="BC481:BR481"/>
    <mergeCell ref="BS481:CH481"/>
    <mergeCell ref="CI481:CZ481"/>
    <mergeCell ref="A472:G472"/>
    <mergeCell ref="H472:BB472"/>
    <mergeCell ref="BC472:BR472"/>
    <mergeCell ref="BS472:CH472"/>
    <mergeCell ref="CI472:CZ472"/>
    <mergeCell ref="A474:G474"/>
    <mergeCell ref="H474:BB474"/>
    <mergeCell ref="A475:G475"/>
    <mergeCell ref="H475:BB475"/>
    <mergeCell ref="A476:G476"/>
    <mergeCell ref="H476:BB476"/>
    <mergeCell ref="BC476:BR476"/>
    <mergeCell ref="BS476:CH476"/>
    <mergeCell ref="CI476:CZ476"/>
    <mergeCell ref="A477:G477"/>
    <mergeCell ref="H477:BB477"/>
    <mergeCell ref="BC477:BR477"/>
    <mergeCell ref="BS477:CH477"/>
    <mergeCell ref="CI477:CZ477"/>
    <mergeCell ref="BC474:BR474"/>
    <mergeCell ref="BS474:CH474"/>
    <mergeCell ref="CI474:CZ474"/>
    <mergeCell ref="BC475:BR475"/>
    <mergeCell ref="BS475:CH475"/>
    <mergeCell ref="CI475:CZ475"/>
    <mergeCell ref="A473:G473"/>
    <mergeCell ref="H473:BB473"/>
    <mergeCell ref="BC473:BR473"/>
    <mergeCell ref="BS473:CH473"/>
    <mergeCell ref="CI473:CZ473"/>
    <mergeCell ref="H468:BB468"/>
    <mergeCell ref="BC468:BR468"/>
    <mergeCell ref="BS468:CH468"/>
    <mergeCell ref="CI468:CZ468"/>
    <mergeCell ref="H469:BB469"/>
    <mergeCell ref="BC469:BR469"/>
    <mergeCell ref="BS469:CH469"/>
    <mergeCell ref="CI469:CZ469"/>
    <mergeCell ref="H470:BB470"/>
    <mergeCell ref="BC470:BR470"/>
    <mergeCell ref="BS470:CH470"/>
    <mergeCell ref="CI470:CZ470"/>
    <mergeCell ref="A471:G471"/>
    <mergeCell ref="H471:BB471"/>
    <mergeCell ref="BC471:BR471"/>
    <mergeCell ref="BS471:CH471"/>
    <mergeCell ref="CI471:CZ471"/>
    <mergeCell ref="A470:G470"/>
    <mergeCell ref="A469:G469"/>
    <mergeCell ref="A468:G468"/>
    <mergeCell ref="A466:G466"/>
    <mergeCell ref="H466:BB466"/>
    <mergeCell ref="BC466:BR466"/>
    <mergeCell ref="BS466:CH466"/>
    <mergeCell ref="CI466:CZ466"/>
    <mergeCell ref="H467:BB467"/>
    <mergeCell ref="BC467:BR467"/>
    <mergeCell ref="BS467:CH467"/>
    <mergeCell ref="CI467:CZ467"/>
    <mergeCell ref="A467:G467"/>
    <mergeCell ref="A465:G465"/>
    <mergeCell ref="H465:BB465"/>
    <mergeCell ref="BC465:BR465"/>
    <mergeCell ref="BS465:CH465"/>
    <mergeCell ref="CI465:CZ465"/>
    <mergeCell ref="A464:G464"/>
    <mergeCell ref="H464:BB464"/>
    <mergeCell ref="BC464:BR464"/>
    <mergeCell ref="BS464:CH464"/>
    <mergeCell ref="CI464:CZ464"/>
    <mergeCell ref="A460:G460"/>
    <mergeCell ref="H460:BB460"/>
    <mergeCell ref="BC460:BR460"/>
    <mergeCell ref="BS460:CH460"/>
    <mergeCell ref="CI460:CZ460"/>
    <mergeCell ref="A461:G461"/>
    <mergeCell ref="H461:BB461"/>
    <mergeCell ref="BC461:BR461"/>
    <mergeCell ref="BS461:CH461"/>
    <mergeCell ref="CI461:CZ461"/>
    <mergeCell ref="A462:G462"/>
    <mergeCell ref="H462:BB462"/>
    <mergeCell ref="BC462:BR462"/>
    <mergeCell ref="BS462:CH462"/>
    <mergeCell ref="CI462:CZ462"/>
    <mergeCell ref="A463:G463"/>
    <mergeCell ref="H463:BB463"/>
    <mergeCell ref="BC463:BR463"/>
    <mergeCell ref="BS463:CH463"/>
    <mergeCell ref="CI463:CZ463"/>
    <mergeCell ref="H456:BB456"/>
    <mergeCell ref="BC456:BR456"/>
    <mergeCell ref="BS456:CH456"/>
    <mergeCell ref="CI456:CZ456"/>
    <mergeCell ref="A457:G457"/>
    <mergeCell ref="H457:BB457"/>
    <mergeCell ref="BC457:BR457"/>
    <mergeCell ref="BS457:CH457"/>
    <mergeCell ref="CI457:CZ457"/>
    <mergeCell ref="A454:G454"/>
    <mergeCell ref="A456:G456"/>
    <mergeCell ref="A458:G458"/>
    <mergeCell ref="H458:BB458"/>
    <mergeCell ref="BC458:BR458"/>
    <mergeCell ref="BS458:CH458"/>
    <mergeCell ref="CI458:CZ458"/>
    <mergeCell ref="A459:G459"/>
    <mergeCell ref="H459:BB459"/>
    <mergeCell ref="BC459:BR459"/>
    <mergeCell ref="BS459:CH459"/>
    <mergeCell ref="CI459:CZ459"/>
    <mergeCell ref="A452:G452"/>
    <mergeCell ref="H452:BB452"/>
    <mergeCell ref="BC452:BR452"/>
    <mergeCell ref="BS452:CH452"/>
    <mergeCell ref="CI452:CZ452"/>
    <mergeCell ref="H453:BB453"/>
    <mergeCell ref="BC453:BR453"/>
    <mergeCell ref="BS453:CH453"/>
    <mergeCell ref="CI453:CZ453"/>
    <mergeCell ref="A453:G453"/>
    <mergeCell ref="H454:BB454"/>
    <mergeCell ref="BC454:BR454"/>
    <mergeCell ref="BS454:CH454"/>
    <mergeCell ref="CI454:CZ454"/>
    <mergeCell ref="A455:G455"/>
    <mergeCell ref="H455:BB455"/>
    <mergeCell ref="BC455:BR455"/>
    <mergeCell ref="BS455:CH455"/>
    <mergeCell ref="CI455:CZ455"/>
    <mergeCell ref="A440:CZ440"/>
    <mergeCell ref="H441:BB441"/>
    <mergeCell ref="BC441:BR441"/>
    <mergeCell ref="BS441:CH441"/>
    <mergeCell ref="CI441:CZ441"/>
    <mergeCell ref="H442:BB442"/>
    <mergeCell ref="BC442:BR442"/>
    <mergeCell ref="BS442:CH442"/>
    <mergeCell ref="A450:G450"/>
    <mergeCell ref="H450:BB450"/>
    <mergeCell ref="BC450:BR450"/>
    <mergeCell ref="BS450:CH450"/>
    <mergeCell ref="CI450:CZ450"/>
    <mergeCell ref="A451:G451"/>
    <mergeCell ref="H451:BB451"/>
    <mergeCell ref="BC451:BR451"/>
    <mergeCell ref="BS451:CH451"/>
    <mergeCell ref="CI451:CZ451"/>
    <mergeCell ref="H447:BB447"/>
    <mergeCell ref="BC447:BR447"/>
    <mergeCell ref="BS447:CH447"/>
    <mergeCell ref="CI447:CZ447"/>
    <mergeCell ref="A448:G448"/>
    <mergeCell ref="H448:BB448"/>
    <mergeCell ref="BC448:BR448"/>
    <mergeCell ref="BS448:CH448"/>
    <mergeCell ref="CI448:CZ448"/>
    <mergeCell ref="A449:G449"/>
    <mergeCell ref="H449:BB449"/>
    <mergeCell ref="BC449:BR449"/>
    <mergeCell ref="BS449:CH449"/>
    <mergeCell ref="CI449:CZ449"/>
    <mergeCell ref="A447:G447"/>
    <mergeCell ref="A442:G442"/>
    <mergeCell ref="A441:G441"/>
    <mergeCell ref="H425:BB425"/>
    <mergeCell ref="A426:BB426"/>
    <mergeCell ref="BC425:BR425"/>
    <mergeCell ref="BC426:BR426"/>
    <mergeCell ref="CK426:CZ426"/>
    <mergeCell ref="BS425:CH425"/>
    <mergeCell ref="BS426:CH426"/>
    <mergeCell ref="A421:CZ421"/>
    <mergeCell ref="A422:G422"/>
    <mergeCell ref="CK422:CZ422"/>
    <mergeCell ref="A423:G423"/>
    <mergeCell ref="CK423:CZ423"/>
    <mergeCell ref="A424:G424"/>
    <mergeCell ref="CK424:CZ424"/>
    <mergeCell ref="BC439:BR439"/>
    <mergeCell ref="BS439:CH439"/>
    <mergeCell ref="CI439:CZ439"/>
    <mergeCell ref="A432:BB432"/>
    <mergeCell ref="BC432:BR432"/>
    <mergeCell ref="BS432:CH432"/>
    <mergeCell ref="A425:G425"/>
    <mergeCell ref="CK425:CZ425"/>
    <mergeCell ref="H428:AN428"/>
    <mergeCell ref="AO428:BD428"/>
    <mergeCell ref="AO430:BD430"/>
    <mergeCell ref="BE430:BT430"/>
    <mergeCell ref="BU430:CJ430"/>
    <mergeCell ref="CK430:CZ430"/>
    <mergeCell ref="A428:G428"/>
    <mergeCell ref="BE390:BT390"/>
    <mergeCell ref="BU390:CJ390"/>
    <mergeCell ref="CK390:CZ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394:AN394"/>
    <mergeCell ref="A390:G390"/>
    <mergeCell ref="H390:AN390"/>
    <mergeCell ref="AO390:BD390"/>
    <mergeCell ref="AO394:BD394"/>
    <mergeCell ref="BE394:BT394"/>
    <mergeCell ref="BU394:CJ394"/>
    <mergeCell ref="CK394:CZ394"/>
    <mergeCell ref="AO393:BD393"/>
    <mergeCell ref="BE393:BT393"/>
    <mergeCell ref="BU393:CJ393"/>
    <mergeCell ref="CK393:CZ393"/>
    <mergeCell ref="A378:G378"/>
    <mergeCell ref="H378:AN378"/>
    <mergeCell ref="AO378:BD378"/>
    <mergeCell ref="BE378:BT378"/>
    <mergeCell ref="BU378:CJ378"/>
    <mergeCell ref="CK378:CZ378"/>
    <mergeCell ref="BU381:CJ381"/>
    <mergeCell ref="CK381:CZ381"/>
    <mergeCell ref="H382:AN382"/>
    <mergeCell ref="AO382:BD382"/>
    <mergeCell ref="BE382:BT382"/>
    <mergeCell ref="BU382:CJ382"/>
    <mergeCell ref="CK382:CZ382"/>
    <mergeCell ref="H383:AN383"/>
    <mergeCell ref="AO383:BD383"/>
    <mergeCell ref="BE383:BT383"/>
    <mergeCell ref="BU383:CJ383"/>
    <mergeCell ref="CK383:CZ383"/>
    <mergeCell ref="A370:AN370"/>
    <mergeCell ref="AO370:BD370"/>
    <mergeCell ref="BE370:BT370"/>
    <mergeCell ref="BU370:CJ370"/>
    <mergeCell ref="CK370:CZ370"/>
    <mergeCell ref="A371:AN371"/>
    <mergeCell ref="AO371:BD371"/>
    <mergeCell ref="BE371:BT371"/>
    <mergeCell ref="BU371:CJ371"/>
    <mergeCell ref="CK371:CZ371"/>
    <mergeCell ref="W375:CZ375"/>
    <mergeCell ref="A377:G377"/>
    <mergeCell ref="H377:AN377"/>
    <mergeCell ref="AO377:BD377"/>
    <mergeCell ref="BE377:BT377"/>
    <mergeCell ref="BU377:CJ377"/>
    <mergeCell ref="CK377:CZ377"/>
    <mergeCell ref="A365:G365"/>
    <mergeCell ref="H365:AN365"/>
    <mergeCell ref="AO365:BD365"/>
    <mergeCell ref="BE365:BT365"/>
    <mergeCell ref="BU365:CJ365"/>
    <mergeCell ref="CK365:CZ365"/>
    <mergeCell ref="BU367:CJ367"/>
    <mergeCell ref="CK367:CZ367"/>
    <mergeCell ref="H368:AN368"/>
    <mergeCell ref="AO368:BD368"/>
    <mergeCell ref="BE368:BT368"/>
    <mergeCell ref="BU368:CJ368"/>
    <mergeCell ref="CK368:CZ368"/>
    <mergeCell ref="H369:AN369"/>
    <mergeCell ref="AO369:BD369"/>
    <mergeCell ref="BE369:BT369"/>
    <mergeCell ref="BU369:CJ369"/>
    <mergeCell ref="CK369:CZ369"/>
    <mergeCell ref="A352:CZ352"/>
    <mergeCell ref="A353:G353"/>
    <mergeCell ref="H353:AN353"/>
    <mergeCell ref="AO353:BD353"/>
    <mergeCell ref="BE353:BT353"/>
    <mergeCell ref="BU353:CJ353"/>
    <mergeCell ref="CK353:CZ353"/>
    <mergeCell ref="A363:G363"/>
    <mergeCell ref="H363:AN363"/>
    <mergeCell ref="AO363:BD363"/>
    <mergeCell ref="BE363:BT363"/>
    <mergeCell ref="BU363:CJ363"/>
    <mergeCell ref="CK363:CZ363"/>
    <mergeCell ref="AO357:BD357"/>
    <mergeCell ref="BE357:BT357"/>
    <mergeCell ref="BU357:CJ357"/>
    <mergeCell ref="CK357:CZ357"/>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7:G357"/>
    <mergeCell ref="H357:AN357"/>
    <mergeCell ref="A358:G358"/>
    <mergeCell ref="A330:CZ330"/>
    <mergeCell ref="A331:G331"/>
    <mergeCell ref="H331:BB331"/>
    <mergeCell ref="BC331:BR331"/>
    <mergeCell ref="BS331:CH331"/>
    <mergeCell ref="CI331:CZ331"/>
    <mergeCell ref="A329:BB329"/>
    <mergeCell ref="BC329:BR329"/>
    <mergeCell ref="BS329:CH329"/>
    <mergeCell ref="CI329:CZ329"/>
    <mergeCell ref="H342:BB342"/>
    <mergeCell ref="A344:BB344"/>
    <mergeCell ref="BC344:BR344"/>
    <mergeCell ref="BS344:CH344"/>
    <mergeCell ref="CI344:CZ344"/>
    <mergeCell ref="A332:BB332"/>
    <mergeCell ref="BC332:BR332"/>
    <mergeCell ref="BS332:CH332"/>
    <mergeCell ref="CI332:CZ332"/>
    <mergeCell ref="A333:BB333"/>
    <mergeCell ref="BC333:BR333"/>
    <mergeCell ref="BS333:CH333"/>
    <mergeCell ref="CI333:CZ333"/>
    <mergeCell ref="A335:CZ335"/>
    <mergeCell ref="W337:CZ337"/>
    <mergeCell ref="BC342:BR342"/>
    <mergeCell ref="BS342:CH342"/>
    <mergeCell ref="CI342:CZ342"/>
    <mergeCell ref="A343:BB343"/>
    <mergeCell ref="BC343:BR343"/>
    <mergeCell ref="BS343:CH343"/>
    <mergeCell ref="CI343:CZ343"/>
    <mergeCell ref="A313:AN313"/>
    <mergeCell ref="AO313:BD313"/>
    <mergeCell ref="BE313:BT313"/>
    <mergeCell ref="BU313:CJ313"/>
    <mergeCell ref="CK313:CZ313"/>
    <mergeCell ref="BU316:CJ316"/>
    <mergeCell ref="CK316:CZ316"/>
    <mergeCell ref="A317:G317"/>
    <mergeCell ref="H317:AN317"/>
    <mergeCell ref="AO317:BD317"/>
    <mergeCell ref="BE317:BT317"/>
    <mergeCell ref="BU317:CJ317"/>
    <mergeCell ref="CK317:CZ317"/>
    <mergeCell ref="A318:AN318"/>
    <mergeCell ref="AO318:BD318"/>
    <mergeCell ref="BE318:BT318"/>
    <mergeCell ref="BU318:CJ318"/>
    <mergeCell ref="CK318:CZ318"/>
    <mergeCell ref="A314:CZ314"/>
    <mergeCell ref="A315:G315"/>
    <mergeCell ref="H315:AN315"/>
    <mergeCell ref="AO315:BD315"/>
    <mergeCell ref="BE315:BT315"/>
    <mergeCell ref="BU315:CJ315"/>
    <mergeCell ref="CK315:CZ315"/>
    <mergeCell ref="A316:G316"/>
    <mergeCell ref="H316:AN316"/>
    <mergeCell ref="AO316:BD316"/>
    <mergeCell ref="BE316:BT316"/>
    <mergeCell ref="CK309:CZ309"/>
    <mergeCell ref="H310:AN310"/>
    <mergeCell ref="AO310:BD310"/>
    <mergeCell ref="BE310:BT310"/>
    <mergeCell ref="BU310:CJ310"/>
    <mergeCell ref="CK310:CZ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285:CZ285"/>
    <mergeCell ref="W287:CZ287"/>
    <mergeCell ref="A290:G290"/>
    <mergeCell ref="H290:BB290"/>
    <mergeCell ref="BC290:BR290"/>
    <mergeCell ref="BS290:CH290"/>
    <mergeCell ref="CI290:CZ290"/>
    <mergeCell ref="A291:CZ291"/>
    <mergeCell ref="A293:BB293"/>
    <mergeCell ref="A294:CZ294"/>
    <mergeCell ref="A296:BB296"/>
    <mergeCell ref="A299:CZ299"/>
    <mergeCell ref="A301:CZ301"/>
    <mergeCell ref="A292:G292"/>
    <mergeCell ref="H292:BB292"/>
    <mergeCell ref="BC292:BR292"/>
    <mergeCell ref="BS292:CH292"/>
    <mergeCell ref="CI292:CZ292"/>
    <mergeCell ref="A289:G289"/>
    <mergeCell ref="H289:BB289"/>
    <mergeCell ref="BC289:BR289"/>
    <mergeCell ref="BS289:CH289"/>
    <mergeCell ref="CI289:CZ289"/>
    <mergeCell ref="A295:G295"/>
    <mergeCell ref="H295:BB295"/>
    <mergeCell ref="BC295:BR295"/>
    <mergeCell ref="BS295:CH295"/>
    <mergeCell ref="CI295:CZ295"/>
    <mergeCell ref="BC296:BR296"/>
    <mergeCell ref="BS296:CH296"/>
    <mergeCell ref="CI296:CZ296"/>
    <mergeCell ref="BC293:BR293"/>
    <mergeCell ref="BC268:BR268"/>
    <mergeCell ref="BS268:CH268"/>
    <mergeCell ref="CI268:CZ268"/>
    <mergeCell ref="A269:BB269"/>
    <mergeCell ref="BC269:BR269"/>
    <mergeCell ref="BS269:CH269"/>
    <mergeCell ref="CI269:CZ269"/>
    <mergeCell ref="A271:CZ271"/>
    <mergeCell ref="W273:CZ273"/>
    <mergeCell ref="A275:G275"/>
    <mergeCell ref="H275:BB275"/>
    <mergeCell ref="BC275:BR275"/>
    <mergeCell ref="BS275:CH275"/>
    <mergeCell ref="CI275:CZ275"/>
    <mergeCell ref="A283:BB283"/>
    <mergeCell ref="BC283:BR283"/>
    <mergeCell ref="BS283:CH283"/>
    <mergeCell ref="CI283:CZ283"/>
    <mergeCell ref="BS255:CH255"/>
    <mergeCell ref="CI255:CZ255"/>
    <mergeCell ref="A257:CZ257"/>
    <mergeCell ref="A249:G249"/>
    <mergeCell ref="H249:BB249"/>
    <mergeCell ref="BC249:BR249"/>
    <mergeCell ref="BS249:CH249"/>
    <mergeCell ref="CI249:CZ249"/>
    <mergeCell ref="A250:BB250"/>
    <mergeCell ref="BC250:BR250"/>
    <mergeCell ref="BS250:CH250"/>
    <mergeCell ref="CI250:CZ250"/>
    <mergeCell ref="A247:G247"/>
    <mergeCell ref="H247:BB247"/>
    <mergeCell ref="BC247:BR247"/>
    <mergeCell ref="BS247:CH247"/>
    <mergeCell ref="CI247:CZ247"/>
    <mergeCell ref="A254:BB254"/>
    <mergeCell ref="BC254:BR254"/>
    <mergeCell ref="BS254:CH254"/>
    <mergeCell ref="CI254:CZ254"/>
    <mergeCell ref="A252:G252"/>
    <mergeCell ref="H252:BB252"/>
    <mergeCell ref="BC252:BR252"/>
    <mergeCell ref="BS252:CH252"/>
    <mergeCell ref="CI252:CZ252"/>
    <mergeCell ref="A255:BB255"/>
    <mergeCell ref="BC255:BR255"/>
    <mergeCell ref="A231:CZ231"/>
    <mergeCell ref="A233:BB233"/>
    <mergeCell ref="A234:BB234"/>
    <mergeCell ref="BC234:BR234"/>
    <mergeCell ref="BS234:CH234"/>
    <mergeCell ref="CI234:CZ234"/>
    <mergeCell ref="A236:CZ236"/>
    <mergeCell ref="W238:CZ238"/>
    <mergeCell ref="A240:G240"/>
    <mergeCell ref="H240:BB240"/>
    <mergeCell ref="A241:G241"/>
    <mergeCell ref="H241:BB241"/>
    <mergeCell ref="BC241:BR241"/>
    <mergeCell ref="BS241:CH241"/>
    <mergeCell ref="CI241:CZ241"/>
    <mergeCell ref="BC240:BR240"/>
    <mergeCell ref="BS240:CH240"/>
    <mergeCell ref="CI240:CZ240"/>
    <mergeCell ref="BC233:BR233"/>
    <mergeCell ref="BS233:CH233"/>
    <mergeCell ref="CI233:CZ233"/>
    <mergeCell ref="A232:G232"/>
    <mergeCell ref="H232:BB232"/>
    <mergeCell ref="BC232:BR232"/>
    <mergeCell ref="BS232:CH232"/>
    <mergeCell ref="CI232:CZ232"/>
    <mergeCell ref="A209:G209"/>
    <mergeCell ref="H209:BB209"/>
    <mergeCell ref="BC209:BR209"/>
    <mergeCell ref="BS209:CH209"/>
    <mergeCell ref="CI209:CZ209"/>
    <mergeCell ref="A210:G210"/>
    <mergeCell ref="H210:BB210"/>
    <mergeCell ref="BC210:BR210"/>
    <mergeCell ref="BS210:CH210"/>
    <mergeCell ref="CI210:CZ210"/>
    <mergeCell ref="BC217:BR217"/>
    <mergeCell ref="BS217:CH217"/>
    <mergeCell ref="CI217:CZ217"/>
    <mergeCell ref="A219:CZ219"/>
    <mergeCell ref="A221:CZ221"/>
    <mergeCell ref="W223:CZ223"/>
    <mergeCell ref="A225:G225"/>
    <mergeCell ref="H225:BB225"/>
    <mergeCell ref="BC225:BR225"/>
    <mergeCell ref="BS225:CH225"/>
    <mergeCell ref="CI225:CZ225"/>
    <mergeCell ref="A216:BB216"/>
    <mergeCell ref="BC216:BR216"/>
    <mergeCell ref="BS216:CH216"/>
    <mergeCell ref="CI216:CZ216"/>
    <mergeCell ref="A217:BB217"/>
    <mergeCell ref="H172:BU172"/>
    <mergeCell ref="H173:BU173"/>
    <mergeCell ref="A174:F174"/>
    <mergeCell ref="G174:BU174"/>
    <mergeCell ref="BV174:CK174"/>
    <mergeCell ref="CL174:CZ174"/>
    <mergeCell ref="A175:F175"/>
    <mergeCell ref="G175:BU175"/>
    <mergeCell ref="BV175:CK175"/>
    <mergeCell ref="CL175:CZ175"/>
    <mergeCell ref="A185:G185"/>
    <mergeCell ref="H185:BB185"/>
    <mergeCell ref="A187:CZ187"/>
    <mergeCell ref="A188:G188"/>
    <mergeCell ref="H188:BB188"/>
    <mergeCell ref="BC188:BR188"/>
    <mergeCell ref="BS188:CH188"/>
    <mergeCell ref="CI188:CZ188"/>
    <mergeCell ref="BC185:BR185"/>
    <mergeCell ref="BS185:CH185"/>
    <mergeCell ref="CI185:CZ185"/>
    <mergeCell ref="A186:BB186"/>
    <mergeCell ref="BC186:BR186"/>
    <mergeCell ref="BS186:CH186"/>
    <mergeCell ref="CI186:CZ186"/>
    <mergeCell ref="A172:F172"/>
    <mergeCell ref="BV172:CK172"/>
    <mergeCell ref="CL172:CZ172"/>
    <mergeCell ref="A173:F173"/>
    <mergeCell ref="BV173:CK173"/>
    <mergeCell ref="CL173:CZ173"/>
    <mergeCell ref="A142:F142"/>
    <mergeCell ref="G142:BU142"/>
    <mergeCell ref="BV142:CK142"/>
    <mergeCell ref="CL142:CZ142"/>
    <mergeCell ref="A143:F143"/>
    <mergeCell ref="G143:BU143"/>
    <mergeCell ref="BV143:CK143"/>
    <mergeCell ref="CL143:CZ143"/>
    <mergeCell ref="A145:CZ145"/>
    <mergeCell ref="W147:CZ147"/>
    <mergeCell ref="A149:F149"/>
    <mergeCell ref="G149:BU149"/>
    <mergeCell ref="BV149:CK149"/>
    <mergeCell ref="CL149:CZ149"/>
    <mergeCell ref="G150:BU150"/>
    <mergeCell ref="A151:CZ151"/>
    <mergeCell ref="A152:F152"/>
    <mergeCell ref="BV152:CK152"/>
    <mergeCell ref="CL152:CZ152"/>
    <mergeCell ref="BV150:CK150"/>
    <mergeCell ref="CL150:CZ150"/>
    <mergeCell ref="H135:BU135"/>
    <mergeCell ref="BV135:CK136"/>
    <mergeCell ref="CL135:CZ136"/>
    <mergeCell ref="H136:BU136"/>
    <mergeCell ref="A137:F137"/>
    <mergeCell ref="H137:BU137"/>
    <mergeCell ref="BV137:CK137"/>
    <mergeCell ref="CL137:CZ137"/>
    <mergeCell ref="A138:F138"/>
    <mergeCell ref="H138:BU138"/>
    <mergeCell ref="BV138:CK138"/>
    <mergeCell ref="CL138:CZ138"/>
    <mergeCell ref="A139:F139"/>
    <mergeCell ref="H139:BU139"/>
    <mergeCell ref="BV139:CK139"/>
    <mergeCell ref="CL139:CZ139"/>
    <mergeCell ref="A140:F140"/>
    <mergeCell ref="H140:BU140"/>
    <mergeCell ref="BV140:CK140"/>
    <mergeCell ref="CL140:CZ140"/>
    <mergeCell ref="A127:F127"/>
    <mergeCell ref="G127:BU127"/>
    <mergeCell ref="BV127:CK127"/>
    <mergeCell ref="CL127:CZ127"/>
    <mergeCell ref="A129:F129"/>
    <mergeCell ref="H129:BU129"/>
    <mergeCell ref="BV129:CK129"/>
    <mergeCell ref="CL129:CZ129"/>
    <mergeCell ref="A130:F131"/>
    <mergeCell ref="H130:BU130"/>
    <mergeCell ref="BV130:CK131"/>
    <mergeCell ref="CL130:CZ131"/>
    <mergeCell ref="H131:BU131"/>
    <mergeCell ref="A132:F132"/>
    <mergeCell ref="H132:BU132"/>
    <mergeCell ref="BV132:CK132"/>
    <mergeCell ref="CL132:CZ132"/>
    <mergeCell ref="A128:CZ128"/>
    <mergeCell ref="A109:F109"/>
    <mergeCell ref="H109:BU109"/>
    <mergeCell ref="BV109:CK109"/>
    <mergeCell ref="CL109:CZ109"/>
    <mergeCell ref="A106:F107"/>
    <mergeCell ref="H106:BU106"/>
    <mergeCell ref="BV106:CK107"/>
    <mergeCell ref="CL106:CZ107"/>
    <mergeCell ref="H107:BU107"/>
    <mergeCell ref="A108:F108"/>
    <mergeCell ref="H108:BU108"/>
    <mergeCell ref="BV108:CK108"/>
    <mergeCell ref="CL108:CZ108"/>
    <mergeCell ref="A105:F105"/>
    <mergeCell ref="H105:BU105"/>
    <mergeCell ref="BV105:CK105"/>
    <mergeCell ref="CL105:CZ105"/>
    <mergeCell ref="A95:AX95"/>
    <mergeCell ref="AY95:BP95"/>
    <mergeCell ref="BQ95:CH95"/>
    <mergeCell ref="CI95:CZ95"/>
    <mergeCell ref="G96:AX96"/>
    <mergeCell ref="AY96:BP96"/>
    <mergeCell ref="BQ96:CH96"/>
    <mergeCell ref="CI96:CZ96"/>
    <mergeCell ref="A98:CZ98"/>
    <mergeCell ref="W100:CZ100"/>
    <mergeCell ref="A102:F102"/>
    <mergeCell ref="G102:BU102"/>
    <mergeCell ref="BV102:CK102"/>
    <mergeCell ref="CL102:CZ102"/>
    <mergeCell ref="G103:BU103"/>
    <mergeCell ref="A104:CZ104"/>
    <mergeCell ref="A103:F103"/>
    <mergeCell ref="BV103:CK103"/>
    <mergeCell ref="CL103:CZ103"/>
    <mergeCell ref="A96:F96"/>
    <mergeCell ref="A71:F71"/>
    <mergeCell ref="G71:AX71"/>
    <mergeCell ref="AY71:BP71"/>
    <mergeCell ref="BQ71:CH71"/>
    <mergeCell ref="AY78:BP78"/>
    <mergeCell ref="BQ78:CH78"/>
    <mergeCell ref="CI78:CZ78"/>
    <mergeCell ref="A79:F79"/>
    <mergeCell ref="AY79:BP79"/>
    <mergeCell ref="BQ79:CH79"/>
    <mergeCell ref="CI79:CZ79"/>
    <mergeCell ref="A74:F74"/>
    <mergeCell ref="G74:AX74"/>
    <mergeCell ref="AY74:BP74"/>
    <mergeCell ref="BQ74:CH74"/>
    <mergeCell ref="CI74:CZ74"/>
    <mergeCell ref="CI84:CZ84"/>
    <mergeCell ref="A83:F83"/>
    <mergeCell ref="G55:AC55"/>
    <mergeCell ref="AD55:AX55"/>
    <mergeCell ref="A56:AC56"/>
    <mergeCell ref="AD56:AX56"/>
    <mergeCell ref="A57:F57"/>
    <mergeCell ref="G57:AC57"/>
    <mergeCell ref="AD57:AX57"/>
    <mergeCell ref="A50:F50"/>
    <mergeCell ref="AY50:BP50"/>
    <mergeCell ref="BQ50:CH50"/>
    <mergeCell ref="CI50:CZ50"/>
    <mergeCell ref="CI71:CZ71"/>
    <mergeCell ref="A72:F72"/>
    <mergeCell ref="G72:AX72"/>
    <mergeCell ref="AY72:BP72"/>
    <mergeCell ref="BQ72:CH72"/>
    <mergeCell ref="CI72:CZ72"/>
    <mergeCell ref="W60:CZ60"/>
    <mergeCell ref="A62:F62"/>
    <mergeCell ref="G62:AX62"/>
    <mergeCell ref="AY62:BP62"/>
    <mergeCell ref="BQ62:CH62"/>
    <mergeCell ref="CI62:CZ62"/>
    <mergeCell ref="A59:CZ59"/>
    <mergeCell ref="AY56:BP56"/>
    <mergeCell ref="BQ56:CH56"/>
    <mergeCell ref="CI56:CZ56"/>
    <mergeCell ref="AY57:BP57"/>
    <mergeCell ref="BQ57:CH57"/>
    <mergeCell ref="CI57:CZ57"/>
    <mergeCell ref="A66:F66"/>
    <mergeCell ref="G66:AX66"/>
    <mergeCell ref="W35:CZ35"/>
    <mergeCell ref="A37:F37"/>
    <mergeCell ref="G37:AX37"/>
    <mergeCell ref="AY37:BP37"/>
    <mergeCell ref="BQ37:CH37"/>
    <mergeCell ref="CI37:CZ37"/>
    <mergeCell ref="G38:AC38"/>
    <mergeCell ref="AD38:AX38"/>
    <mergeCell ref="A39:CZ39"/>
    <mergeCell ref="A40:F40"/>
    <mergeCell ref="G40:AX40"/>
    <mergeCell ref="AY40:BP40"/>
    <mergeCell ref="BQ40:CH40"/>
    <mergeCell ref="CI40:CZ40"/>
    <mergeCell ref="A41:AX41"/>
    <mergeCell ref="A42:CZ42"/>
    <mergeCell ref="A44:AX44"/>
    <mergeCell ref="AY44:BP44"/>
    <mergeCell ref="BQ44:CH44"/>
    <mergeCell ref="CI44:CZ44"/>
    <mergeCell ref="A43:F43"/>
    <mergeCell ref="G43:AX43"/>
    <mergeCell ref="AY43:BP43"/>
    <mergeCell ref="BQ43:CH43"/>
    <mergeCell ref="CI43:CZ43"/>
    <mergeCell ref="AY41:BP41"/>
    <mergeCell ref="BQ41:CH41"/>
    <mergeCell ref="CI41:CZ41"/>
    <mergeCell ref="A17:AC17"/>
    <mergeCell ref="AD17:BB17"/>
    <mergeCell ref="BC17:BR17"/>
    <mergeCell ref="BS17:CH17"/>
    <mergeCell ref="CI17:CZ17"/>
    <mergeCell ref="A19:CZ19"/>
    <mergeCell ref="W20:CZ20"/>
    <mergeCell ref="A23:F23"/>
    <mergeCell ref="G23:AC23"/>
    <mergeCell ref="AD23:AX23"/>
    <mergeCell ref="AY23:BP23"/>
    <mergeCell ref="BQ23:CH23"/>
    <mergeCell ref="CI23:CZ23"/>
    <mergeCell ref="A24:CZ24"/>
    <mergeCell ref="A25:F25"/>
    <mergeCell ref="G25:AC25"/>
    <mergeCell ref="A26:F26"/>
    <mergeCell ref="G26:AC26"/>
    <mergeCell ref="AD26:AX26"/>
    <mergeCell ref="AY26:BP26"/>
    <mergeCell ref="BQ26:CH26"/>
    <mergeCell ref="CI26:CZ26"/>
    <mergeCell ref="A22:F22"/>
    <mergeCell ref="G22:AC22"/>
    <mergeCell ref="AD22:AX22"/>
    <mergeCell ref="AY22:BP22"/>
    <mergeCell ref="BQ22:CH22"/>
    <mergeCell ref="CI22:CZ22"/>
    <mergeCell ref="A7:F7"/>
    <mergeCell ref="G7:AC7"/>
    <mergeCell ref="AD7:BB7"/>
    <mergeCell ref="BC7:BR7"/>
    <mergeCell ref="BS7:CH7"/>
    <mergeCell ref="CI7:CZ7"/>
    <mergeCell ref="A1:CZ1"/>
    <mergeCell ref="A2:CZ2"/>
    <mergeCell ref="W4:CZ4"/>
    <mergeCell ref="A6:F6"/>
    <mergeCell ref="G6:AC6"/>
    <mergeCell ref="AD6:BB6"/>
    <mergeCell ref="BC6:BR6"/>
    <mergeCell ref="BS6:CH6"/>
    <mergeCell ref="CI6:CZ6"/>
    <mergeCell ref="A11:F11"/>
    <mergeCell ref="G11:AC11"/>
    <mergeCell ref="AD11:BB11"/>
    <mergeCell ref="BC11:BR11"/>
    <mergeCell ref="BS11:CH11"/>
    <mergeCell ref="CI11:CZ11"/>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D15:BB15"/>
    <mergeCell ref="BC15:BR15"/>
    <mergeCell ref="BS15:CH15"/>
    <mergeCell ref="CI15:CZ15"/>
    <mergeCell ref="A16:AC16"/>
    <mergeCell ref="AD16:BB16"/>
    <mergeCell ref="BC16:BR16"/>
    <mergeCell ref="BS16:CH16"/>
    <mergeCell ref="CI16:CZ16"/>
    <mergeCell ref="A14:F14"/>
    <mergeCell ref="G14:AC14"/>
    <mergeCell ref="AD14:BB14"/>
    <mergeCell ref="BC14:BR14"/>
    <mergeCell ref="BS14:CH14"/>
    <mergeCell ref="CI14:CZ14"/>
    <mergeCell ref="A12:AC12"/>
    <mergeCell ref="AD12:BB12"/>
    <mergeCell ref="BC12:BR12"/>
    <mergeCell ref="BS12:CH12"/>
    <mergeCell ref="CI12:CZ12"/>
    <mergeCell ref="A13:CZ13"/>
    <mergeCell ref="A15:F15"/>
    <mergeCell ref="G15:AC15"/>
    <mergeCell ref="A29:F29"/>
    <mergeCell ref="G29:AC29"/>
    <mergeCell ref="AD29:AX29"/>
    <mergeCell ref="AY29:BP29"/>
    <mergeCell ref="BQ29:CH29"/>
    <mergeCell ref="AD27:AX27"/>
    <mergeCell ref="AY27:BP27"/>
    <mergeCell ref="BQ27:CH27"/>
    <mergeCell ref="CI27:CZ27"/>
    <mergeCell ref="AD25:AX25"/>
    <mergeCell ref="AY25:BP25"/>
    <mergeCell ref="BQ25:CH25"/>
    <mergeCell ref="CI25:CZ25"/>
    <mergeCell ref="A27:AC27"/>
    <mergeCell ref="A28:CZ28"/>
    <mergeCell ref="A38:F38"/>
    <mergeCell ref="AY38:BP38"/>
    <mergeCell ref="BQ38:CH38"/>
    <mergeCell ref="CI38:CZ38"/>
    <mergeCell ref="CI29:CZ29"/>
    <mergeCell ref="A30:AC30"/>
    <mergeCell ref="AD30:AX30"/>
    <mergeCell ref="AY30:BP30"/>
    <mergeCell ref="BQ30:CH30"/>
    <mergeCell ref="CI30:CZ30"/>
    <mergeCell ref="A31:F31"/>
    <mergeCell ref="G31:AC31"/>
    <mergeCell ref="AD31:AX31"/>
    <mergeCell ref="AY31:BP31"/>
    <mergeCell ref="BQ31:CH31"/>
    <mergeCell ref="CI31:CZ31"/>
    <mergeCell ref="A33:CZ33"/>
    <mergeCell ref="A45:F45"/>
    <mergeCell ref="G45:AX45"/>
    <mergeCell ref="AY45:BP45"/>
    <mergeCell ref="BQ45:CH45"/>
    <mergeCell ref="CI45:CZ45"/>
    <mergeCell ref="A46:CZ46"/>
    <mergeCell ref="W47:CZ47"/>
    <mergeCell ref="A49:F49"/>
    <mergeCell ref="G49:AC49"/>
    <mergeCell ref="AD49:AX49"/>
    <mergeCell ref="AY49:BP49"/>
    <mergeCell ref="BQ49:CH49"/>
    <mergeCell ref="CI49:CZ49"/>
    <mergeCell ref="A55:F55"/>
    <mergeCell ref="AY55:BP55"/>
    <mergeCell ref="BQ55:CH55"/>
    <mergeCell ref="CI55:CZ55"/>
    <mergeCell ref="AY53:BP53"/>
    <mergeCell ref="BQ53:CH53"/>
    <mergeCell ref="CI53:CZ53"/>
    <mergeCell ref="G50:AC50"/>
    <mergeCell ref="AD50:AX50"/>
    <mergeCell ref="A51:CZ51"/>
    <mergeCell ref="A52:F52"/>
    <mergeCell ref="G52:AC52"/>
    <mergeCell ref="AD52:AX52"/>
    <mergeCell ref="AY52:BP52"/>
    <mergeCell ref="BQ52:CH52"/>
    <mergeCell ref="CI52:CZ52"/>
    <mergeCell ref="A53:AC53"/>
    <mergeCell ref="AD53:AX53"/>
    <mergeCell ref="A54:CZ54"/>
    <mergeCell ref="AY66:BP66"/>
    <mergeCell ref="BQ66:CH66"/>
    <mergeCell ref="CI66:CZ66"/>
    <mergeCell ref="AY67:BP67"/>
    <mergeCell ref="BQ67:CH67"/>
    <mergeCell ref="CI67:CZ67"/>
    <mergeCell ref="A64:CZ64"/>
    <mergeCell ref="A65:F65"/>
    <mergeCell ref="G65:AX65"/>
    <mergeCell ref="AY65:BP65"/>
    <mergeCell ref="BQ65:CH65"/>
    <mergeCell ref="CI65:CZ65"/>
    <mergeCell ref="A63:F63"/>
    <mergeCell ref="G63:AC63"/>
    <mergeCell ref="AD63:AX63"/>
    <mergeCell ref="AY63:BP63"/>
    <mergeCell ref="BQ63:CH63"/>
    <mergeCell ref="CI63:CZ63"/>
    <mergeCell ref="A67:AX67"/>
    <mergeCell ref="A69:F69"/>
    <mergeCell ref="G69:AX69"/>
    <mergeCell ref="AY69:BP69"/>
    <mergeCell ref="BQ69:CH69"/>
    <mergeCell ref="CI69:CZ69"/>
    <mergeCell ref="A68:CZ68"/>
    <mergeCell ref="A70:F70"/>
    <mergeCell ref="G70:AX70"/>
    <mergeCell ref="AY70:BP70"/>
    <mergeCell ref="BQ70:CH70"/>
    <mergeCell ref="CI70:CZ70"/>
    <mergeCell ref="A81:F81"/>
    <mergeCell ref="G81:AX81"/>
    <mergeCell ref="AY81:BP81"/>
    <mergeCell ref="BQ81:CH81"/>
    <mergeCell ref="CI81:CZ81"/>
    <mergeCell ref="A82:F82"/>
    <mergeCell ref="G82:AX82"/>
    <mergeCell ref="AY82:BP82"/>
    <mergeCell ref="BQ82:CH82"/>
    <mergeCell ref="CI82:CZ82"/>
    <mergeCell ref="A73:AX73"/>
    <mergeCell ref="AY73:BP73"/>
    <mergeCell ref="BQ73:CH73"/>
    <mergeCell ref="CI73:CZ73"/>
    <mergeCell ref="A75:CZ75"/>
    <mergeCell ref="W76:CZ76"/>
    <mergeCell ref="A78:F78"/>
    <mergeCell ref="G78:AX78"/>
    <mergeCell ref="G79:AC79"/>
    <mergeCell ref="AD79:AX79"/>
    <mergeCell ref="A80:CZ80"/>
    <mergeCell ref="BQ94:CH94"/>
    <mergeCell ref="CI94:CZ94"/>
    <mergeCell ref="G83:AX83"/>
    <mergeCell ref="AY83:BP83"/>
    <mergeCell ref="BQ83:CH83"/>
    <mergeCell ref="CI83:CZ83"/>
    <mergeCell ref="A84:AX84"/>
    <mergeCell ref="AY84:BP84"/>
    <mergeCell ref="BQ84:CH84"/>
    <mergeCell ref="G85:AX85"/>
    <mergeCell ref="AY85:BP85"/>
    <mergeCell ref="BQ85:CH85"/>
    <mergeCell ref="CI85:CZ85"/>
    <mergeCell ref="A88:CZ88"/>
    <mergeCell ref="W89:CZ89"/>
    <mergeCell ref="G91:AX91"/>
    <mergeCell ref="AY91:BP91"/>
    <mergeCell ref="BQ91:CH91"/>
    <mergeCell ref="CI91:CZ91"/>
    <mergeCell ref="A85:F85"/>
    <mergeCell ref="A91:F91"/>
    <mergeCell ref="A92:F92"/>
    <mergeCell ref="G92:AC92"/>
    <mergeCell ref="AD92:AX92"/>
    <mergeCell ref="AY92:BP92"/>
    <mergeCell ref="BQ92:CH92"/>
    <mergeCell ref="CI92:CZ92"/>
    <mergeCell ref="A93:CZ93"/>
    <mergeCell ref="A94:F94"/>
    <mergeCell ref="G94:AX94"/>
    <mergeCell ref="AY94:BP94"/>
    <mergeCell ref="H113:BU113"/>
    <mergeCell ref="H114:BU114"/>
    <mergeCell ref="A115:F115"/>
    <mergeCell ref="BV115:CK115"/>
    <mergeCell ref="CL115:CZ115"/>
    <mergeCell ref="A110:F110"/>
    <mergeCell ref="BV110:CK110"/>
    <mergeCell ref="CL110:CZ110"/>
    <mergeCell ref="H112:BU112"/>
    <mergeCell ref="A111:F112"/>
    <mergeCell ref="H111:BU111"/>
    <mergeCell ref="BV111:CK112"/>
    <mergeCell ref="CL111:CZ112"/>
    <mergeCell ref="A113:F113"/>
    <mergeCell ref="BV113:CK113"/>
    <mergeCell ref="CL113:CZ113"/>
    <mergeCell ref="A114:F114"/>
    <mergeCell ref="BV114:CK114"/>
    <mergeCell ref="CL114:CZ114"/>
    <mergeCell ref="G115:BU115"/>
    <mergeCell ref="H110:BU110"/>
    <mergeCell ref="A118:F119"/>
    <mergeCell ref="H118:BU118"/>
    <mergeCell ref="BV118:CK119"/>
    <mergeCell ref="CL118:CZ119"/>
    <mergeCell ref="H119:BU119"/>
    <mergeCell ref="A120:F120"/>
    <mergeCell ref="H120:BU120"/>
    <mergeCell ref="BV120:CK120"/>
    <mergeCell ref="CL120:CZ120"/>
    <mergeCell ref="A117:F117"/>
    <mergeCell ref="H117:BU117"/>
    <mergeCell ref="BV117:CK117"/>
    <mergeCell ref="CL117:CZ117"/>
    <mergeCell ref="A116:CZ116"/>
    <mergeCell ref="A125:F125"/>
    <mergeCell ref="BV125:CK125"/>
    <mergeCell ref="CL125:CZ125"/>
    <mergeCell ref="A126:F126"/>
    <mergeCell ref="BV126:CK126"/>
    <mergeCell ref="CL126:CZ126"/>
    <mergeCell ref="H123:BU123"/>
    <mergeCell ref="H124:BU124"/>
    <mergeCell ref="A121:F121"/>
    <mergeCell ref="H121:BU121"/>
    <mergeCell ref="BV121:CK121"/>
    <mergeCell ref="CL121:CZ121"/>
    <mergeCell ref="A122:F122"/>
    <mergeCell ref="H122:BU122"/>
    <mergeCell ref="BV122:CK122"/>
    <mergeCell ref="CL122:CZ122"/>
    <mergeCell ref="A123:F124"/>
    <mergeCell ref="BV123:CK124"/>
    <mergeCell ref="CL123:CZ124"/>
    <mergeCell ref="H125:BU125"/>
    <mergeCell ref="H126:BU126"/>
    <mergeCell ref="A133:F133"/>
    <mergeCell ref="H133:BU133"/>
    <mergeCell ref="BV133:CK133"/>
    <mergeCell ref="CL133:CZ133"/>
    <mergeCell ref="A134:F134"/>
    <mergeCell ref="H134:BU134"/>
    <mergeCell ref="BV134:CK134"/>
    <mergeCell ref="CL134:CZ134"/>
    <mergeCell ref="A135:F136"/>
    <mergeCell ref="A141:F141"/>
    <mergeCell ref="H141:BU141"/>
    <mergeCell ref="BV141:CK141"/>
    <mergeCell ref="CL141:CZ141"/>
    <mergeCell ref="A184:G184"/>
    <mergeCell ref="H184:BB184"/>
    <mergeCell ref="BC184:BR184"/>
    <mergeCell ref="BS184:CH184"/>
    <mergeCell ref="CI184:CZ184"/>
    <mergeCell ref="A182:G182"/>
    <mergeCell ref="H182:BB182"/>
    <mergeCell ref="BC182:BR182"/>
    <mergeCell ref="BS182:CH182"/>
    <mergeCell ref="CI182:CZ182"/>
    <mergeCell ref="A183:CZ183"/>
    <mergeCell ref="A177:CZ177"/>
    <mergeCell ref="W179:CZ179"/>
    <mergeCell ref="A181:G181"/>
    <mergeCell ref="H181:BB181"/>
    <mergeCell ref="BC181:BR181"/>
    <mergeCell ref="BS181:CH181"/>
    <mergeCell ref="CI181:CZ181"/>
    <mergeCell ref="A150:F150"/>
    <mergeCell ref="A189:BB189"/>
    <mergeCell ref="BC189:BR189"/>
    <mergeCell ref="BS189:CH189"/>
    <mergeCell ref="CI189:CZ189"/>
    <mergeCell ref="A190:BB190"/>
    <mergeCell ref="BC190:BR190"/>
    <mergeCell ref="BS190:CH190"/>
    <mergeCell ref="CI190:CZ190"/>
    <mergeCell ref="A192:CZ192"/>
    <mergeCell ref="A194:CZ194"/>
    <mergeCell ref="W196:CZ196"/>
    <mergeCell ref="A198:G198"/>
    <mergeCell ref="H198:BB198"/>
    <mergeCell ref="BC198:BR198"/>
    <mergeCell ref="BS198:CH198"/>
    <mergeCell ref="CI198:CZ198"/>
    <mergeCell ref="A199:G199"/>
    <mergeCell ref="H199:BB199"/>
    <mergeCell ref="BC199:BR199"/>
    <mergeCell ref="BS199:CH199"/>
    <mergeCell ref="CI199:CZ199"/>
    <mergeCell ref="A200:CZ200"/>
    <mergeCell ref="A201:G201"/>
    <mergeCell ref="H201:BB201"/>
    <mergeCell ref="BC201:BR201"/>
    <mergeCell ref="BS201:CH201"/>
    <mergeCell ref="A211:CZ211"/>
    <mergeCell ref="A212:G212"/>
    <mergeCell ref="H212:BB212"/>
    <mergeCell ref="BC212:BR212"/>
    <mergeCell ref="BS212:CH212"/>
    <mergeCell ref="CI212:CZ212"/>
    <mergeCell ref="A213:BB213"/>
    <mergeCell ref="BC213:BR213"/>
    <mergeCell ref="BS213:CH213"/>
    <mergeCell ref="CI213:CZ213"/>
    <mergeCell ref="A214:CZ214"/>
    <mergeCell ref="A215:G215"/>
    <mergeCell ref="H215:BB215"/>
    <mergeCell ref="BC215:BR215"/>
    <mergeCell ref="BS215:CH215"/>
    <mergeCell ref="CI215:CZ215"/>
    <mergeCell ref="CI201:CZ201"/>
    <mergeCell ref="A202:BB202"/>
    <mergeCell ref="BC202:BR202"/>
    <mergeCell ref="BS202:CH202"/>
    <mergeCell ref="CI202:CZ202"/>
    <mergeCell ref="A203:BB203"/>
    <mergeCell ref="BC203:BR203"/>
    <mergeCell ref="BS203:CH203"/>
    <mergeCell ref="CI203:CZ203"/>
    <mergeCell ref="A205:CZ205"/>
    <mergeCell ref="W207:CZ207"/>
    <mergeCell ref="A228:G228"/>
    <mergeCell ref="H228:BB228"/>
    <mergeCell ref="BC228:BR228"/>
    <mergeCell ref="BS228:CH228"/>
    <mergeCell ref="CI228:CZ228"/>
    <mergeCell ref="A229:G229"/>
    <mergeCell ref="H229:BB229"/>
    <mergeCell ref="BC229:BR229"/>
    <mergeCell ref="BS229:CH229"/>
    <mergeCell ref="CI229:CZ229"/>
    <mergeCell ref="A230:BB230"/>
    <mergeCell ref="A226:G226"/>
    <mergeCell ref="H226:BB226"/>
    <mergeCell ref="BC226:BR226"/>
    <mergeCell ref="BS226:CH226"/>
    <mergeCell ref="CI226:CZ226"/>
    <mergeCell ref="A227:CZ227"/>
    <mergeCell ref="BC230:BR230"/>
    <mergeCell ref="BS230:CH230"/>
    <mergeCell ref="CI230:CZ230"/>
    <mergeCell ref="A242:CZ242"/>
    <mergeCell ref="A246:G246"/>
    <mergeCell ref="H246:BB246"/>
    <mergeCell ref="BC246:BR246"/>
    <mergeCell ref="BS246:CH246"/>
    <mergeCell ref="CI246:CZ246"/>
    <mergeCell ref="A243:G243"/>
    <mergeCell ref="H243:BB243"/>
    <mergeCell ref="BC243:BR243"/>
    <mergeCell ref="BS243:CH243"/>
    <mergeCell ref="CI243:CZ243"/>
    <mergeCell ref="A244:G244"/>
    <mergeCell ref="H244:BB244"/>
    <mergeCell ref="BC244:BR244"/>
    <mergeCell ref="BS244:CH244"/>
    <mergeCell ref="CI244:CZ244"/>
    <mergeCell ref="BC253:BR253"/>
    <mergeCell ref="BS253:CH253"/>
    <mergeCell ref="CI253:CZ253"/>
    <mergeCell ref="A245:G245"/>
    <mergeCell ref="H245:BB245"/>
    <mergeCell ref="BC245:BR245"/>
    <mergeCell ref="BS245:CH245"/>
    <mergeCell ref="CI245:CZ245"/>
    <mergeCell ref="A248:G248"/>
    <mergeCell ref="H248:BB248"/>
    <mergeCell ref="BC248:BR248"/>
    <mergeCell ref="BS248:CH248"/>
    <mergeCell ref="CI248:CZ248"/>
    <mergeCell ref="A253:G253"/>
    <mergeCell ref="H253:BB253"/>
    <mergeCell ref="A251:CZ251"/>
    <mergeCell ref="W259:CZ259"/>
    <mergeCell ref="A265:BB265"/>
    <mergeCell ref="BC265:BR265"/>
    <mergeCell ref="BS265:CH265"/>
    <mergeCell ref="CI265:CZ265"/>
    <mergeCell ref="BC264:BR264"/>
    <mergeCell ref="BS264:CH264"/>
    <mergeCell ref="CI264:CZ264"/>
    <mergeCell ref="A261:G261"/>
    <mergeCell ref="H261:BB261"/>
    <mergeCell ref="BC261:BR261"/>
    <mergeCell ref="BS261:CH261"/>
    <mergeCell ref="CI261:CZ261"/>
    <mergeCell ref="A262:G262"/>
    <mergeCell ref="H262:BB262"/>
    <mergeCell ref="BC262:BR262"/>
    <mergeCell ref="BS262:CH262"/>
    <mergeCell ref="CI262:CZ262"/>
    <mergeCell ref="A263:CZ263"/>
    <mergeCell ref="A264:G264"/>
    <mergeCell ref="H264:BB264"/>
    <mergeCell ref="A266:CZ266"/>
    <mergeCell ref="A267:G267"/>
    <mergeCell ref="H267:BB267"/>
    <mergeCell ref="A276:G276"/>
    <mergeCell ref="H276:BB276"/>
    <mergeCell ref="BC276:BR276"/>
    <mergeCell ref="BS276:CH276"/>
    <mergeCell ref="CI276:CZ276"/>
    <mergeCell ref="A277:CZ277"/>
    <mergeCell ref="BC281:BR281"/>
    <mergeCell ref="BS281:CH281"/>
    <mergeCell ref="CI281:CZ281"/>
    <mergeCell ref="A282:BB282"/>
    <mergeCell ref="BC282:BR282"/>
    <mergeCell ref="BS282:CH282"/>
    <mergeCell ref="CI282:CZ282"/>
    <mergeCell ref="BC278:BR278"/>
    <mergeCell ref="BS278:CH278"/>
    <mergeCell ref="CI278:CZ278"/>
    <mergeCell ref="A278:G278"/>
    <mergeCell ref="H278:BB278"/>
    <mergeCell ref="A279:BB279"/>
    <mergeCell ref="BC279:BR279"/>
    <mergeCell ref="BS279:CH279"/>
    <mergeCell ref="CI279:CZ279"/>
    <mergeCell ref="A280:CZ280"/>
    <mergeCell ref="A281:G281"/>
    <mergeCell ref="H281:BB281"/>
    <mergeCell ref="BC267:BR267"/>
    <mergeCell ref="BS267:CH267"/>
    <mergeCell ref="CI267:CZ267"/>
    <mergeCell ref="A268:BB268"/>
    <mergeCell ref="BS293:CH293"/>
    <mergeCell ref="CI293:CZ293"/>
    <mergeCell ref="A297:BB297"/>
    <mergeCell ref="BC297:BR297"/>
    <mergeCell ref="BS297:CH297"/>
    <mergeCell ref="CI297:CZ297"/>
    <mergeCell ref="A310:G310"/>
    <mergeCell ref="A308:G308"/>
    <mergeCell ref="W303:CZ303"/>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CZ307"/>
    <mergeCell ref="H308:AN308"/>
    <mergeCell ref="AO308:BD308"/>
    <mergeCell ref="BE308:BT308"/>
    <mergeCell ref="BU308:CJ308"/>
    <mergeCell ref="CK308:CZ308"/>
    <mergeCell ref="A309:G309"/>
    <mergeCell ref="H309:AN309"/>
    <mergeCell ref="AO309:BD309"/>
    <mergeCell ref="BE309:BT309"/>
    <mergeCell ref="BU309:CJ309"/>
    <mergeCell ref="BC325:BR325"/>
    <mergeCell ref="BS325:CH325"/>
    <mergeCell ref="CI325:CZ325"/>
    <mergeCell ref="BC328:BR328"/>
    <mergeCell ref="BS328:CH328"/>
    <mergeCell ref="CI328:CZ328"/>
    <mergeCell ref="A319:AN319"/>
    <mergeCell ref="AO319:BD319"/>
    <mergeCell ref="BE319:BT319"/>
    <mergeCell ref="BU319:CJ319"/>
    <mergeCell ref="CK319:CZ319"/>
    <mergeCell ref="A321:CZ321"/>
    <mergeCell ref="W323:CZ323"/>
    <mergeCell ref="A325:G325"/>
    <mergeCell ref="H325:BB325"/>
    <mergeCell ref="A326:G326"/>
    <mergeCell ref="H326:BB326"/>
    <mergeCell ref="BC326:BR326"/>
    <mergeCell ref="BS326:CH326"/>
    <mergeCell ref="CI326:CZ326"/>
    <mergeCell ref="A327:CZ327"/>
    <mergeCell ref="A328:G328"/>
    <mergeCell ref="H328:BB328"/>
    <mergeCell ref="BC339:BR339"/>
    <mergeCell ref="BS339:CH339"/>
    <mergeCell ref="CI339:CZ339"/>
    <mergeCell ref="A339:G339"/>
    <mergeCell ref="H339:BB339"/>
    <mergeCell ref="A340:G340"/>
    <mergeCell ref="H340:BB340"/>
    <mergeCell ref="BC340:BR340"/>
    <mergeCell ref="BS340:CH340"/>
    <mergeCell ref="CI340:CZ340"/>
    <mergeCell ref="A341:CZ341"/>
    <mergeCell ref="A342:G342"/>
    <mergeCell ref="A354:G354"/>
    <mergeCell ref="H354:AN354"/>
    <mergeCell ref="AO354:BD354"/>
    <mergeCell ref="BE354:BT354"/>
    <mergeCell ref="BU354:CJ354"/>
    <mergeCell ref="CK354:CZ354"/>
    <mergeCell ref="A351:G351"/>
    <mergeCell ref="H351:AN351"/>
    <mergeCell ref="AO351:BD351"/>
    <mergeCell ref="BE351:BT351"/>
    <mergeCell ref="BU351:CJ351"/>
    <mergeCell ref="CK351:CZ351"/>
    <mergeCell ref="A346:CZ346"/>
    <mergeCell ref="W348:CZ348"/>
    <mergeCell ref="A350:G350"/>
    <mergeCell ref="H350:AN350"/>
    <mergeCell ref="AO350:BD350"/>
    <mergeCell ref="BE350:BT350"/>
    <mergeCell ref="BU350:CJ350"/>
    <mergeCell ref="CK350:CZ350"/>
    <mergeCell ref="H358:AN358"/>
    <mergeCell ref="AO358:BD358"/>
    <mergeCell ref="BE358:BT358"/>
    <mergeCell ref="BU358:CJ358"/>
    <mergeCell ref="CK358:CZ358"/>
    <mergeCell ref="A361:AN361"/>
    <mergeCell ref="AO361:BD361"/>
    <mergeCell ref="BE361:BT361"/>
    <mergeCell ref="BU361:CJ361"/>
    <mergeCell ref="CK361:CZ361"/>
    <mergeCell ref="A360:G360"/>
    <mergeCell ref="H360:AN360"/>
    <mergeCell ref="AO360:BD360"/>
    <mergeCell ref="BE360:BT360"/>
    <mergeCell ref="BU360:CJ360"/>
    <mergeCell ref="CK360:CZ360"/>
    <mergeCell ref="A359:G359"/>
    <mergeCell ref="H359:AN359"/>
    <mergeCell ref="AO359:BD359"/>
    <mergeCell ref="BE359:BT359"/>
    <mergeCell ref="BU359:CJ359"/>
    <mergeCell ref="CK359:CZ359"/>
    <mergeCell ref="A362:CZ362"/>
    <mergeCell ref="A369:G369"/>
    <mergeCell ref="A368:G368"/>
    <mergeCell ref="A366:G366"/>
    <mergeCell ref="H366:AN366"/>
    <mergeCell ref="AO366:BD366"/>
    <mergeCell ref="BE366:BT366"/>
    <mergeCell ref="BU366:CJ366"/>
    <mergeCell ref="CK366:CZ366"/>
    <mergeCell ref="A367:G367"/>
    <mergeCell ref="H367:AN367"/>
    <mergeCell ref="AO367:BD367"/>
    <mergeCell ref="BE367:BT367"/>
    <mergeCell ref="A382:G382"/>
    <mergeCell ref="A373:CZ373"/>
    <mergeCell ref="A379:CZ379"/>
    <mergeCell ref="A380:G380"/>
    <mergeCell ref="H380:AN380"/>
    <mergeCell ref="AO380:BD380"/>
    <mergeCell ref="BE380:BT380"/>
    <mergeCell ref="BU380:CJ380"/>
    <mergeCell ref="CK380:CZ380"/>
    <mergeCell ref="A381:G381"/>
    <mergeCell ref="H381:AN381"/>
    <mergeCell ref="AO381:BD381"/>
    <mergeCell ref="BE381:BT381"/>
    <mergeCell ref="A364:G364"/>
    <mergeCell ref="H364:AN364"/>
    <mergeCell ref="AO364:BD364"/>
    <mergeCell ref="BE364:BT364"/>
    <mergeCell ref="BU364:CJ364"/>
    <mergeCell ref="CK364:CZ364"/>
    <mergeCell ref="A387:BB387"/>
    <mergeCell ref="BC387:BR387"/>
    <mergeCell ref="BS387:CH387"/>
    <mergeCell ref="CI387:CZ387"/>
    <mergeCell ref="A389:CZ389"/>
    <mergeCell ref="BC386:BR386"/>
    <mergeCell ref="BS386:CH386"/>
    <mergeCell ref="CI386:CZ386"/>
    <mergeCell ref="A383:G383"/>
    <mergeCell ref="A385:CZ385"/>
    <mergeCell ref="A386:G386"/>
    <mergeCell ref="H386:BB386"/>
    <mergeCell ref="A388:AN388"/>
    <mergeCell ref="AO388:BD388"/>
    <mergeCell ref="BE388:BT388"/>
    <mergeCell ref="BU388:CJ388"/>
    <mergeCell ref="CK388:CZ388"/>
    <mergeCell ref="A384:AN384"/>
    <mergeCell ref="AO384:BD384"/>
    <mergeCell ref="BE384:BT384"/>
    <mergeCell ref="BU384:CJ384"/>
    <mergeCell ref="CK384:CZ384"/>
    <mergeCell ref="A396:CZ396"/>
    <mergeCell ref="W398:CZ398"/>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402:CZ402"/>
    <mergeCell ref="A406:G406"/>
    <mergeCell ref="H406:AN406"/>
    <mergeCell ref="AO406:BD406"/>
    <mergeCell ref="BE406:BT406"/>
    <mergeCell ref="BU406:CJ406"/>
    <mergeCell ref="CK406:CZ406"/>
    <mergeCell ref="AO404:BD404"/>
    <mergeCell ref="BE404:BT404"/>
    <mergeCell ref="BU404:CJ404"/>
    <mergeCell ref="CK404:CZ404"/>
    <mergeCell ref="A403:G403"/>
    <mergeCell ref="H403:AN403"/>
    <mergeCell ref="AO403:BD403"/>
    <mergeCell ref="BE403:BT403"/>
    <mergeCell ref="BU403:CJ403"/>
    <mergeCell ref="CK403:CZ403"/>
    <mergeCell ref="A404:G404"/>
    <mergeCell ref="H404:AN404"/>
    <mergeCell ref="A405:G405"/>
    <mergeCell ref="H405:AN405"/>
    <mergeCell ref="AO405:BD405"/>
    <mergeCell ref="BE405:BT405"/>
    <mergeCell ref="BU405:CJ405"/>
    <mergeCell ref="CK405:CZ405"/>
    <mergeCell ref="A409:G409"/>
    <mergeCell ref="H409:AN409"/>
    <mergeCell ref="AO409:BD409"/>
    <mergeCell ref="BE409:BT409"/>
    <mergeCell ref="BU409:CJ409"/>
    <mergeCell ref="CK409:CZ409"/>
    <mergeCell ref="AO407:BD407"/>
    <mergeCell ref="BE407:BT407"/>
    <mergeCell ref="BU407:CJ407"/>
    <mergeCell ref="CK407:CZ407"/>
    <mergeCell ref="A407:AN407"/>
    <mergeCell ref="A408:CZ408"/>
    <mergeCell ref="AO412:BD412"/>
    <mergeCell ref="BE412:BT412"/>
    <mergeCell ref="BU412:CJ412"/>
    <mergeCell ref="CK412:CZ412"/>
    <mergeCell ref="A411:G411"/>
    <mergeCell ref="H411:AN411"/>
    <mergeCell ref="AO411:BD411"/>
    <mergeCell ref="BE411:BT411"/>
    <mergeCell ref="BU411:CJ411"/>
    <mergeCell ref="CK411:CZ411"/>
    <mergeCell ref="A410:G410"/>
    <mergeCell ref="H410:AN410"/>
    <mergeCell ref="AO410:BD410"/>
    <mergeCell ref="BE410:BT410"/>
    <mergeCell ref="BU410:CJ410"/>
    <mergeCell ref="CK410:CZ410"/>
    <mergeCell ref="A412:AN412"/>
    <mergeCell ref="A420:G420"/>
    <mergeCell ref="A413:AN413"/>
    <mergeCell ref="AO413:BD413"/>
    <mergeCell ref="BE413:BT413"/>
    <mergeCell ref="BU413:CJ413"/>
    <mergeCell ref="CK413:CZ413"/>
    <mergeCell ref="A415:CZ415"/>
    <mergeCell ref="W417:CZ417"/>
    <mergeCell ref="A419:G419"/>
    <mergeCell ref="H419:BB419"/>
    <mergeCell ref="BC419:BR419"/>
    <mergeCell ref="BS419:CH419"/>
    <mergeCell ref="CI419:CZ419"/>
    <mergeCell ref="H420:BB420"/>
    <mergeCell ref="BC420:BR420"/>
    <mergeCell ref="BS420:CH420"/>
    <mergeCell ref="CI420:CZ420"/>
    <mergeCell ref="A427:CZ427"/>
    <mergeCell ref="A439:G439"/>
    <mergeCell ref="A430:G430"/>
    <mergeCell ref="H430:AN430"/>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H439:BB439"/>
    <mergeCell ref="BE428:BT428"/>
    <mergeCell ref="BU428:CJ428"/>
    <mergeCell ref="CK428:CZ428"/>
    <mergeCell ref="A429:G429"/>
    <mergeCell ref="H429:AN429"/>
    <mergeCell ref="AO429:BD429"/>
    <mergeCell ref="BE429:BT429"/>
    <mergeCell ref="BU429:CJ429"/>
    <mergeCell ref="CK429:CZ429"/>
    <mergeCell ref="CI442:CZ442"/>
    <mergeCell ref="A446:G446"/>
    <mergeCell ref="A445:G445"/>
    <mergeCell ref="A443:G443"/>
    <mergeCell ref="H443:BB443"/>
    <mergeCell ref="BC443:BR443"/>
    <mergeCell ref="BS443:CH443"/>
    <mergeCell ref="CI443:CZ443"/>
    <mergeCell ref="A444:G444"/>
    <mergeCell ref="H444:BB444"/>
    <mergeCell ref="BC444:BR444"/>
    <mergeCell ref="BS444:CH444"/>
    <mergeCell ref="CI444:CZ444"/>
    <mergeCell ref="H445:BB445"/>
    <mergeCell ref="BC445:BR445"/>
    <mergeCell ref="BS445:CH445"/>
    <mergeCell ref="CI445:CZ445"/>
    <mergeCell ref="H446:BB446"/>
    <mergeCell ref="BC446:BR446"/>
    <mergeCell ref="BS446:CH446"/>
    <mergeCell ref="CI446:CZ446"/>
    <mergeCell ref="A485:G485"/>
    <mergeCell ref="H485:BB485"/>
    <mergeCell ref="BC485:BR485"/>
    <mergeCell ref="BS485:CH485"/>
    <mergeCell ref="CI485:CZ485"/>
    <mergeCell ref="A490:G490"/>
    <mergeCell ref="H490:BB490"/>
    <mergeCell ref="BC490:BR490"/>
    <mergeCell ref="BS490:CH490"/>
    <mergeCell ref="CI490:CZ490"/>
    <mergeCell ref="A491:G491"/>
    <mergeCell ref="H491:BB491"/>
    <mergeCell ref="BC491:BR491"/>
    <mergeCell ref="BS491:CH491"/>
    <mergeCell ref="CI491:CZ491"/>
    <mergeCell ref="BC488:BR488"/>
    <mergeCell ref="BS488:CH488"/>
    <mergeCell ref="CI488:CZ488"/>
    <mergeCell ref="A494:G494"/>
    <mergeCell ref="H494:BB494"/>
    <mergeCell ref="BC494:BR494"/>
    <mergeCell ref="BS494:CH494"/>
    <mergeCell ref="CI494:CZ494"/>
    <mergeCell ref="A495:G495"/>
    <mergeCell ref="H495:BB495"/>
    <mergeCell ref="BC495:BR495"/>
    <mergeCell ref="BS495:CH495"/>
    <mergeCell ref="CI495:CZ495"/>
    <mergeCell ref="A493:G493"/>
    <mergeCell ref="H493:BB493"/>
    <mergeCell ref="BC493:BR493"/>
    <mergeCell ref="BS493:CH493"/>
    <mergeCell ref="CI493:CZ493"/>
    <mergeCell ref="A492:G492"/>
    <mergeCell ref="H492:BB492"/>
    <mergeCell ref="BC492:BR492"/>
    <mergeCell ref="BS492:CH492"/>
    <mergeCell ref="CI492:CZ492"/>
    <mergeCell ref="A498:G498"/>
    <mergeCell ref="H498:BB498"/>
    <mergeCell ref="BC498:BR498"/>
    <mergeCell ref="BS498:CH498"/>
    <mergeCell ref="CI498:CZ498"/>
    <mergeCell ref="A499:G499"/>
    <mergeCell ref="H499:BB499"/>
    <mergeCell ref="BC499:BR499"/>
    <mergeCell ref="BS499:CH499"/>
    <mergeCell ref="CI499:CZ499"/>
    <mergeCell ref="A496:G496"/>
    <mergeCell ref="H496:BB496"/>
    <mergeCell ref="BC496:BR496"/>
    <mergeCell ref="BS496:CH496"/>
    <mergeCell ref="CI496:CZ496"/>
    <mergeCell ref="A497:G497"/>
    <mergeCell ref="H497:BB497"/>
    <mergeCell ref="BC497:BR497"/>
    <mergeCell ref="BS497:CH497"/>
    <mergeCell ref="CI497:CZ497"/>
    <mergeCell ref="BC502:BR502"/>
    <mergeCell ref="BS502:CH502"/>
    <mergeCell ref="CI502:CZ502"/>
    <mergeCell ref="A500:G500"/>
    <mergeCell ref="H500:BB500"/>
    <mergeCell ref="BC500:BR500"/>
    <mergeCell ref="BS500:CH500"/>
    <mergeCell ref="CI500:CZ500"/>
    <mergeCell ref="BC501:BR501"/>
    <mergeCell ref="BS501:CH501"/>
    <mergeCell ref="CI501:CZ501"/>
    <mergeCell ref="A511:G511"/>
    <mergeCell ref="BS511:CH511"/>
    <mergeCell ref="CI511:CZ511"/>
    <mergeCell ref="A508:G508"/>
    <mergeCell ref="BS508:CH508"/>
    <mergeCell ref="CI508:CZ508"/>
    <mergeCell ref="A509:G509"/>
    <mergeCell ref="BS509:CH509"/>
    <mergeCell ref="CI509:CZ509"/>
    <mergeCell ref="A514:G514"/>
    <mergeCell ref="BS514:CH514"/>
    <mergeCell ref="CI514:CZ514"/>
    <mergeCell ref="A515:G515"/>
    <mergeCell ref="BS515:CH515"/>
    <mergeCell ref="CI515:CZ515"/>
    <mergeCell ref="A512:G512"/>
    <mergeCell ref="BS512:CH512"/>
    <mergeCell ref="CI512:CZ512"/>
    <mergeCell ref="A513:G513"/>
    <mergeCell ref="BS513:CH513"/>
    <mergeCell ref="CI513:CZ513"/>
    <mergeCell ref="H514:BR514"/>
    <mergeCell ref="H515:BR515"/>
    <mergeCell ref="A518:G518"/>
    <mergeCell ref="BS518:CH518"/>
    <mergeCell ref="CI518:CZ518"/>
    <mergeCell ref="A519:G519"/>
    <mergeCell ref="BS519:CH519"/>
    <mergeCell ref="CI519:CZ519"/>
    <mergeCell ref="A516:G516"/>
    <mergeCell ref="BS516:CH516"/>
    <mergeCell ref="CI516:CZ516"/>
    <mergeCell ref="A517:G517"/>
    <mergeCell ref="BS517:CH517"/>
    <mergeCell ref="CI517:CZ517"/>
    <mergeCell ref="H516:BR516"/>
    <mergeCell ref="H517:BR517"/>
    <mergeCell ref="H518:BR518"/>
    <mergeCell ref="H519:BR519"/>
    <mergeCell ref="A523:G523"/>
    <mergeCell ref="BS523:CH523"/>
    <mergeCell ref="CI523:CZ523"/>
    <mergeCell ref="A524:G524"/>
    <mergeCell ref="BS524:CH524"/>
    <mergeCell ref="CI524:CZ524"/>
    <mergeCell ref="BS520:CH520"/>
    <mergeCell ref="CI520:CZ520"/>
    <mergeCell ref="A522:G522"/>
    <mergeCell ref="BS522:CH522"/>
    <mergeCell ref="CI522:CZ522"/>
    <mergeCell ref="A520:G520"/>
    <mergeCell ref="H520:BR520"/>
    <mergeCell ref="A521:G521"/>
    <mergeCell ref="H521:BR521"/>
    <mergeCell ref="BS521:CH521"/>
    <mergeCell ref="CI521:CZ521"/>
    <mergeCell ref="H522:BR522"/>
    <mergeCell ref="H523:BR523"/>
    <mergeCell ref="H524:BR524"/>
    <mergeCell ref="BS527:CH527"/>
    <mergeCell ref="CI527:CZ527"/>
    <mergeCell ref="A529:G529"/>
    <mergeCell ref="BS529:CH529"/>
    <mergeCell ref="CI529:CZ529"/>
    <mergeCell ref="A525:G525"/>
    <mergeCell ref="BS525:CH525"/>
    <mergeCell ref="CI525:CZ525"/>
    <mergeCell ref="A526:G526"/>
    <mergeCell ref="BS526:CH526"/>
    <mergeCell ref="CI526:CZ526"/>
    <mergeCell ref="H525:BR525"/>
    <mergeCell ref="H526:BR526"/>
    <mergeCell ref="A527:G527"/>
    <mergeCell ref="H527:BR527"/>
    <mergeCell ref="A528:G528"/>
    <mergeCell ref="H528:BR528"/>
    <mergeCell ref="BS528:CH528"/>
    <mergeCell ref="CI528:CZ528"/>
    <mergeCell ref="H529:BR529"/>
    <mergeCell ref="A532:G532"/>
    <mergeCell ref="BS532:CH532"/>
    <mergeCell ref="CI532:CZ532"/>
    <mergeCell ref="A533:G533"/>
    <mergeCell ref="BS533:CH533"/>
    <mergeCell ref="CI533:CZ533"/>
    <mergeCell ref="A530:G530"/>
    <mergeCell ref="BS530:CH530"/>
    <mergeCell ref="CI530:CZ530"/>
    <mergeCell ref="A531:G531"/>
    <mergeCell ref="BS531:CH531"/>
    <mergeCell ref="CI531:CZ531"/>
    <mergeCell ref="H530:BR530"/>
    <mergeCell ref="H531:BR531"/>
    <mergeCell ref="H532:BR532"/>
    <mergeCell ref="H533:BR533"/>
    <mergeCell ref="A538:G538"/>
    <mergeCell ref="BS538:CH538"/>
    <mergeCell ref="CI538:CZ538"/>
    <mergeCell ref="A537:G537"/>
    <mergeCell ref="BS537:CH537"/>
    <mergeCell ref="CI537:CZ537"/>
    <mergeCell ref="A534:G534"/>
    <mergeCell ref="BS534:CH534"/>
    <mergeCell ref="CI534:CZ534"/>
    <mergeCell ref="BS535:CH535"/>
    <mergeCell ref="CI535:CZ535"/>
    <mergeCell ref="H534:BR534"/>
    <mergeCell ref="A535:G535"/>
    <mergeCell ref="H535:BR535"/>
    <mergeCell ref="A536:G536"/>
    <mergeCell ref="H536:BR536"/>
    <mergeCell ref="BS536:CH536"/>
    <mergeCell ref="CI536:CZ536"/>
    <mergeCell ref="A542:G542"/>
    <mergeCell ref="BS542:CH542"/>
    <mergeCell ref="CI542:CZ542"/>
    <mergeCell ref="A543:G543"/>
    <mergeCell ref="BS543:CH543"/>
    <mergeCell ref="CI543:CZ543"/>
    <mergeCell ref="A540:G540"/>
    <mergeCell ref="BS540:CH540"/>
    <mergeCell ref="CI540:CZ540"/>
    <mergeCell ref="A541:G541"/>
    <mergeCell ref="BS541:CH541"/>
    <mergeCell ref="CI541:CZ541"/>
    <mergeCell ref="A546:G546"/>
    <mergeCell ref="BS546:CH546"/>
    <mergeCell ref="CI546:CZ546"/>
    <mergeCell ref="A544:G544"/>
    <mergeCell ref="BS544:CH544"/>
    <mergeCell ref="CI544:CZ544"/>
    <mergeCell ref="A545:G545"/>
    <mergeCell ref="BS545:CH545"/>
    <mergeCell ref="CI545:CZ545"/>
    <mergeCell ref="H537:BR537"/>
    <mergeCell ref="H538:BR538"/>
    <mergeCell ref="H539:BR539"/>
    <mergeCell ref="H540:BR540"/>
    <mergeCell ref="H541:BR541"/>
    <mergeCell ref="H542:BR542"/>
    <mergeCell ref="H543:BR543"/>
    <mergeCell ref="H544:BR544"/>
    <mergeCell ref="H545:BR545"/>
    <mergeCell ref="BS553:CH553"/>
    <mergeCell ref="CI553:CZ553"/>
    <mergeCell ref="A553:G553"/>
    <mergeCell ref="H553:BR553"/>
    <mergeCell ref="A554:G554"/>
    <mergeCell ref="H554:BR554"/>
    <mergeCell ref="BS554:CH554"/>
    <mergeCell ref="CI554:CZ554"/>
    <mergeCell ref="A555:G555"/>
    <mergeCell ref="H555:BR555"/>
    <mergeCell ref="BS555:CH555"/>
    <mergeCell ref="A567:G567"/>
    <mergeCell ref="H567:BR567"/>
    <mergeCell ref="BS567:CH567"/>
    <mergeCell ref="CI567:CZ567"/>
    <mergeCell ref="A568:G568"/>
    <mergeCell ref="H568:BR568"/>
    <mergeCell ref="BS568:CH568"/>
    <mergeCell ref="CI568:CZ568"/>
    <mergeCell ref="A565:G565"/>
    <mergeCell ref="H565:BR565"/>
    <mergeCell ref="BS565:CH565"/>
    <mergeCell ref="CI565:CZ565"/>
    <mergeCell ref="A566:G566"/>
    <mergeCell ref="H566:BR566"/>
    <mergeCell ref="BS566:CH566"/>
    <mergeCell ref="CI566:CZ566"/>
    <mergeCell ref="A563:G563"/>
    <mergeCell ref="H563:BR563"/>
    <mergeCell ref="BS563:CH563"/>
    <mergeCell ref="CI563:CZ563"/>
    <mergeCell ref="CI555:CZ555"/>
    <mergeCell ref="A569:G569"/>
    <mergeCell ref="H569:BR569"/>
    <mergeCell ref="BS569:CH569"/>
    <mergeCell ref="CI569:CZ569"/>
    <mergeCell ref="A570:G570"/>
    <mergeCell ref="H570:BR570"/>
    <mergeCell ref="BS570:CH570"/>
    <mergeCell ref="CI570:CZ570"/>
    <mergeCell ref="A579:G579"/>
    <mergeCell ref="BS579:CH579"/>
    <mergeCell ref="CI579:CZ579"/>
    <mergeCell ref="A578:G578"/>
    <mergeCell ref="BS578:CH578"/>
    <mergeCell ref="CI578:CZ578"/>
    <mergeCell ref="H578:BB578"/>
    <mergeCell ref="BC578:BR578"/>
    <mergeCell ref="H579:BB579"/>
    <mergeCell ref="BC579:BR579"/>
    <mergeCell ref="A580:CZ580"/>
    <mergeCell ref="A585:G585"/>
    <mergeCell ref="BS585:CH585"/>
    <mergeCell ref="CI585:CZ585"/>
    <mergeCell ref="A586:G586"/>
    <mergeCell ref="BS586:CH586"/>
    <mergeCell ref="CI586:CZ586"/>
    <mergeCell ref="A583:G583"/>
    <mergeCell ref="BS583:CH583"/>
    <mergeCell ref="CI583:CZ583"/>
    <mergeCell ref="A584:G584"/>
    <mergeCell ref="BS584:CH584"/>
    <mergeCell ref="CI584:CZ584"/>
    <mergeCell ref="A581:G581"/>
    <mergeCell ref="BS581:CH581"/>
    <mergeCell ref="CI581:CZ581"/>
    <mergeCell ref="A582:G582"/>
    <mergeCell ref="BS582:CH582"/>
    <mergeCell ref="CI582:CZ582"/>
    <mergeCell ref="H581:BB581"/>
    <mergeCell ref="BC581:BR581"/>
    <mergeCell ref="H582:BB582"/>
    <mergeCell ref="BC582:BR582"/>
    <mergeCell ref="H583:BB583"/>
    <mergeCell ref="BC583:BR583"/>
    <mergeCell ref="H584:BB584"/>
    <mergeCell ref="BC584:BR584"/>
    <mergeCell ref="H585:BB585"/>
    <mergeCell ref="BC585:BR585"/>
    <mergeCell ref="H586:BB586"/>
    <mergeCell ref="BC586:BR586"/>
    <mergeCell ref="A596:G596"/>
    <mergeCell ref="A597:G597"/>
    <mergeCell ref="BS597:CH597"/>
    <mergeCell ref="CI597:CZ597"/>
    <mergeCell ref="A594:G594"/>
    <mergeCell ref="H594:BB594"/>
    <mergeCell ref="BC594:BR594"/>
    <mergeCell ref="BS594:CH594"/>
    <mergeCell ref="CI594:CZ594"/>
    <mergeCell ref="A595:G595"/>
    <mergeCell ref="H595:BB595"/>
    <mergeCell ref="BC595:BR595"/>
    <mergeCell ref="BS595:CH595"/>
    <mergeCell ref="CI595:CZ595"/>
    <mergeCell ref="H596:BB596"/>
    <mergeCell ref="BC596:BR596"/>
    <mergeCell ref="BS596:CH596"/>
    <mergeCell ref="CI596:CZ596"/>
    <mergeCell ref="H597:BB597"/>
    <mergeCell ref="BC597:BR597"/>
    <mergeCell ref="A608:G608"/>
    <mergeCell ref="H608:BB608"/>
    <mergeCell ref="BC608:BR608"/>
    <mergeCell ref="BS608:CH608"/>
    <mergeCell ref="CI608:CZ608"/>
    <mergeCell ref="A609:G609"/>
    <mergeCell ref="H609:BB609"/>
    <mergeCell ref="BC609:BR609"/>
    <mergeCell ref="BS609:CH609"/>
    <mergeCell ref="BC619:BR619"/>
    <mergeCell ref="BS619:CH619"/>
    <mergeCell ref="CI619:CZ619"/>
    <mergeCell ref="BC617:BR617"/>
    <mergeCell ref="BS617:CH617"/>
    <mergeCell ref="CI617:CZ617"/>
    <mergeCell ref="A614:G614"/>
    <mergeCell ref="H614:BB614"/>
    <mergeCell ref="BC614:BR614"/>
    <mergeCell ref="BS614:CH614"/>
    <mergeCell ref="CI614:CZ614"/>
    <mergeCell ref="BC615:BR615"/>
    <mergeCell ref="BS615:CH615"/>
    <mergeCell ref="CI615:CZ615"/>
    <mergeCell ref="A617:BB617"/>
    <mergeCell ref="A618:CZ618"/>
    <mergeCell ref="A619:G619"/>
    <mergeCell ref="H619:BB619"/>
    <mergeCell ref="CI609:CZ609"/>
    <mergeCell ref="A610:G610"/>
    <mergeCell ref="H610:BB610"/>
    <mergeCell ref="BC610:BR610"/>
    <mergeCell ref="BS610:CH610"/>
    <mergeCell ref="A624:G624"/>
    <mergeCell ref="H624:BB624"/>
    <mergeCell ref="BC624:BR624"/>
    <mergeCell ref="BS624:CH624"/>
    <mergeCell ref="CI624:CZ624"/>
    <mergeCell ref="H625:BB625"/>
    <mergeCell ref="H626:BB626"/>
    <mergeCell ref="A627:G627"/>
    <mergeCell ref="H627:BB627"/>
    <mergeCell ref="BC627:BR627"/>
    <mergeCell ref="BS627:CH627"/>
    <mergeCell ref="CI627:CZ627"/>
    <mergeCell ref="CI629:CZ629"/>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A628:G628"/>
    <mergeCell ref="A626:G626"/>
    <mergeCell ref="BC626:BR626"/>
    <mergeCell ref="BS626:CH626"/>
    <mergeCell ref="CI626:CZ626"/>
    <mergeCell ref="A625:G625"/>
    <mergeCell ref="BC628:BR628"/>
    <mergeCell ref="H638:BB638"/>
    <mergeCell ref="H639:BB639"/>
    <mergeCell ref="H640:BB640"/>
    <mergeCell ref="A643:G643"/>
    <mergeCell ref="BC643:BR643"/>
    <mergeCell ref="BS643:CH643"/>
    <mergeCell ref="CI643:CZ643"/>
    <mergeCell ref="BC642:BR642"/>
    <mergeCell ref="BS642:CH642"/>
    <mergeCell ref="CI642:CZ642"/>
    <mergeCell ref="A641:G641"/>
    <mergeCell ref="BC641:BR641"/>
    <mergeCell ref="BS641:CH641"/>
    <mergeCell ref="CI641:CZ641"/>
    <mergeCell ref="A646:G646"/>
    <mergeCell ref="BC646:BR646"/>
    <mergeCell ref="BS646:CH646"/>
    <mergeCell ref="CI646:CZ646"/>
    <mergeCell ref="BC644:BR644"/>
    <mergeCell ref="BS644:CH644"/>
    <mergeCell ref="CI644:CZ644"/>
    <mergeCell ref="A644:BB644"/>
    <mergeCell ref="A645:CZ645"/>
    <mergeCell ref="H646:BB646"/>
    <mergeCell ref="H641:BB641"/>
    <mergeCell ref="A642:BB642"/>
    <mergeCell ref="H643:BB643"/>
    <mergeCell ref="BC648:BR648"/>
    <mergeCell ref="BS648:CH648"/>
    <mergeCell ref="CI648:CZ648"/>
    <mergeCell ref="BC647:BR647"/>
    <mergeCell ref="BS647:CH647"/>
    <mergeCell ref="CI647:CZ647"/>
    <mergeCell ref="A647:BB647"/>
    <mergeCell ref="A648:BB648"/>
    <mergeCell ref="BC650:BR650"/>
    <mergeCell ref="BS650:CH650"/>
    <mergeCell ref="CI650:CZ650"/>
    <mergeCell ref="A650:BB650"/>
    <mergeCell ref="A651:CZ651"/>
    <mergeCell ref="A655:G655"/>
    <mergeCell ref="H655:AT655"/>
    <mergeCell ref="AU655:BB655"/>
    <mergeCell ref="BC655:BR655"/>
    <mergeCell ref="BS655:CH655"/>
    <mergeCell ref="CI655:CZ655"/>
    <mergeCell ref="W653:CZ653"/>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61:G661"/>
    <mergeCell ref="H661:AT661"/>
    <mergeCell ref="AU661:BB661"/>
    <mergeCell ref="BC661:BR661"/>
    <mergeCell ref="BS661:CH661"/>
    <mergeCell ref="CI661:CZ661"/>
    <mergeCell ref="A660:G660"/>
    <mergeCell ref="H660:AT660"/>
    <mergeCell ref="AU660:BB660"/>
    <mergeCell ref="BC660:BR660"/>
    <mergeCell ref="BS660:CH660"/>
    <mergeCell ref="CI660:CZ660"/>
    <mergeCell ref="A659:G659"/>
    <mergeCell ref="H659:AT659"/>
    <mergeCell ref="AU659:BB659"/>
    <mergeCell ref="BC659:BR659"/>
    <mergeCell ref="BS659:CH659"/>
    <mergeCell ref="CI659:CZ659"/>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A662:G662"/>
    <mergeCell ref="H662:AT662"/>
    <mergeCell ref="AU662:BB662"/>
    <mergeCell ref="BC662:BR662"/>
    <mergeCell ref="BS662:CH662"/>
    <mergeCell ref="CI662:CZ662"/>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CI703:CZ703"/>
    <mergeCell ref="A704:G704"/>
    <mergeCell ref="H704:AT704"/>
    <mergeCell ref="AU704:BB704"/>
    <mergeCell ref="BC704:BR704"/>
    <mergeCell ref="BS704:CH704"/>
    <mergeCell ref="CI704:CZ704"/>
    <mergeCell ref="BC701:BR701"/>
    <mergeCell ref="BS701:CH701"/>
    <mergeCell ref="CI701:CZ701"/>
    <mergeCell ref="A703:G703"/>
    <mergeCell ref="H703:AT703"/>
    <mergeCell ref="AU703:BB703"/>
    <mergeCell ref="BC703:BR703"/>
    <mergeCell ref="BS703:CH703"/>
    <mergeCell ref="A701:G701"/>
    <mergeCell ref="H701:AT701"/>
    <mergeCell ref="AU701:BB701"/>
    <mergeCell ref="A702:G702"/>
    <mergeCell ref="H702:AT702"/>
    <mergeCell ref="AU702:BB702"/>
    <mergeCell ref="BC702:BR702"/>
    <mergeCell ref="BS702:CH702"/>
    <mergeCell ref="CI702:CZ702"/>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BC736:BR736"/>
    <mergeCell ref="BS736:CH736"/>
    <mergeCell ref="CI736:CZ736"/>
    <mergeCell ref="A735:G735"/>
    <mergeCell ref="H735:AT735"/>
    <mergeCell ref="AU735:BB735"/>
    <mergeCell ref="BC735:BR735"/>
    <mergeCell ref="BS735:CH735"/>
    <mergeCell ref="CI735:CZ735"/>
    <mergeCell ref="A736:BB736"/>
    <mergeCell ref="A737:CZ737"/>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70:G770"/>
    <mergeCell ref="H770:AT770"/>
    <mergeCell ref="AU770:BB770"/>
    <mergeCell ref="BC770:BR770"/>
    <mergeCell ref="BS770:CH770"/>
    <mergeCell ref="CI770:CZ770"/>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3:G773"/>
    <mergeCell ref="H773:AT773"/>
    <mergeCell ref="AU773:BB773"/>
    <mergeCell ref="BC773:BR773"/>
    <mergeCell ref="BS773:CH773"/>
    <mergeCell ref="CI773:CZ773"/>
    <mergeCell ref="A772:G772"/>
    <mergeCell ref="H772:AT772"/>
    <mergeCell ref="AU772:BB772"/>
    <mergeCell ref="BC772:BR772"/>
    <mergeCell ref="BS772:CH772"/>
    <mergeCell ref="CI772:CZ772"/>
    <mergeCell ref="A771:G771"/>
    <mergeCell ref="H771:AT771"/>
    <mergeCell ref="AU771:BB771"/>
    <mergeCell ref="BC771:BR771"/>
    <mergeCell ref="BS771:CH771"/>
    <mergeCell ref="CI771:CZ771"/>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A774:G774"/>
    <mergeCell ref="H774:AT774"/>
    <mergeCell ref="AU774:BB774"/>
    <mergeCell ref="BC774:BR774"/>
    <mergeCell ref="BS774:CH774"/>
    <mergeCell ref="CI774:CZ774"/>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5:G805"/>
    <mergeCell ref="H805:AT805"/>
    <mergeCell ref="AU805:BB805"/>
    <mergeCell ref="BC805:BR805"/>
    <mergeCell ref="BS805:CH805"/>
    <mergeCell ref="CI805:CZ805"/>
    <mergeCell ref="CI803:CZ803"/>
    <mergeCell ref="A804:G804"/>
    <mergeCell ref="H804:AT804"/>
    <mergeCell ref="AU804:BB804"/>
    <mergeCell ref="BC804:BR804"/>
    <mergeCell ref="BS804:CH804"/>
    <mergeCell ref="CI804:CZ804"/>
    <mergeCell ref="BC801:BR801"/>
    <mergeCell ref="BS801:CH801"/>
    <mergeCell ref="CI801:CZ801"/>
    <mergeCell ref="A803:G803"/>
    <mergeCell ref="H803:AT803"/>
    <mergeCell ref="AU803:BB803"/>
    <mergeCell ref="BC803:BR803"/>
    <mergeCell ref="BS803:CH803"/>
    <mergeCell ref="A801:G801"/>
    <mergeCell ref="H801:AT801"/>
    <mergeCell ref="AU801:BB801"/>
    <mergeCell ref="A802:G802"/>
    <mergeCell ref="H802:AT802"/>
    <mergeCell ref="AU802:BB802"/>
    <mergeCell ref="BC802:BR802"/>
    <mergeCell ref="BS802:CH802"/>
    <mergeCell ref="CI802:CZ802"/>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BS812:CH812"/>
    <mergeCell ref="CI812:CZ812"/>
    <mergeCell ref="BC813:BR813"/>
    <mergeCell ref="BS813:CH813"/>
    <mergeCell ref="CI813:CZ813"/>
    <mergeCell ref="BS809:CH809"/>
    <mergeCell ref="CI809:CZ809"/>
    <mergeCell ref="A811:G811"/>
    <mergeCell ref="H811:AT811"/>
    <mergeCell ref="AU811:BB811"/>
    <mergeCell ref="BC811:BR811"/>
    <mergeCell ref="BS811:CH811"/>
    <mergeCell ref="CI811:CZ811"/>
    <mergeCell ref="A809:G809"/>
    <mergeCell ref="H809:AT809"/>
    <mergeCell ref="AU809:BB809"/>
    <mergeCell ref="BC809:BR809"/>
    <mergeCell ref="A810:G810"/>
    <mergeCell ref="H810:AT810"/>
    <mergeCell ref="AU810:BB810"/>
    <mergeCell ref="BC810:BR810"/>
    <mergeCell ref="BS810:CH810"/>
    <mergeCell ref="CI810:CZ810"/>
    <mergeCell ref="A812:G812"/>
    <mergeCell ref="H812:AT812"/>
    <mergeCell ref="AU812:BB812"/>
    <mergeCell ref="BC812:BR812"/>
    <mergeCell ref="A813:G813"/>
    <mergeCell ref="A839:G839"/>
    <mergeCell ref="H839:AT839"/>
    <mergeCell ref="AU839:BB839"/>
    <mergeCell ref="BC839:BR839"/>
    <mergeCell ref="BS839:CH839"/>
    <mergeCell ref="CI839:CZ839"/>
    <mergeCell ref="BS829:CH829"/>
    <mergeCell ref="CI829:CZ829"/>
    <mergeCell ref="A831:G831"/>
    <mergeCell ref="BS831:CH831"/>
    <mergeCell ref="A821:G821"/>
    <mergeCell ref="H821:AT821"/>
    <mergeCell ref="AU821:BB821"/>
    <mergeCell ref="BC821:BR821"/>
    <mergeCell ref="BS821:CH821"/>
    <mergeCell ref="BS881:CH881"/>
    <mergeCell ref="CI881:CZ881"/>
    <mergeCell ref="BS879:CH879"/>
    <mergeCell ref="CI879:CZ879"/>
    <mergeCell ref="A876:G876"/>
    <mergeCell ref="BS876:CH876"/>
    <mergeCell ref="CI876:CZ876"/>
    <mergeCell ref="BS877:CH877"/>
    <mergeCell ref="CI877:CZ877"/>
    <mergeCell ref="A879:G879"/>
    <mergeCell ref="H879:BR879"/>
    <mergeCell ref="A880:BR880"/>
    <mergeCell ref="BS880:CH880"/>
    <mergeCell ref="CI880:CZ880"/>
    <mergeCell ref="A881:BR881"/>
    <mergeCell ref="A842:BB842"/>
    <mergeCell ref="BC842:BR842"/>
    <mergeCell ref="A883:CZ883"/>
    <mergeCell ref="A888:G888"/>
    <mergeCell ref="BC888:BR888"/>
    <mergeCell ref="BS888:CH888"/>
    <mergeCell ref="CI888:CZ888"/>
    <mergeCell ref="A887:G887"/>
    <mergeCell ref="BC887:BR887"/>
    <mergeCell ref="BS887:CH887"/>
    <mergeCell ref="CI887:CZ887"/>
    <mergeCell ref="W885:CZ885"/>
    <mergeCell ref="H887:AT887"/>
    <mergeCell ref="AU887:BB887"/>
    <mergeCell ref="H888:AT888"/>
    <mergeCell ref="AU888:BB888"/>
    <mergeCell ref="A904:G904"/>
    <mergeCell ref="H904:BB904"/>
    <mergeCell ref="A901:G901"/>
    <mergeCell ref="H901:BB901"/>
    <mergeCell ref="A902:G902"/>
    <mergeCell ref="H902:BB902"/>
    <mergeCell ref="BC902:CZ902"/>
    <mergeCell ref="A903:CZ903"/>
    <mergeCell ref="BC904:CZ904"/>
    <mergeCell ref="A889:CZ889"/>
    <mergeCell ref="H890:AT890"/>
    <mergeCell ref="AU890:BB890"/>
    <mergeCell ref="A891:BB891"/>
    <mergeCell ref="A892:CZ892"/>
    <mergeCell ref="A893:G893"/>
    <mergeCell ref="H893:AT893"/>
    <mergeCell ref="AU893:BB893"/>
    <mergeCell ref="BC893:BR893"/>
    <mergeCell ref="A907:G907"/>
    <mergeCell ref="H907:BB907"/>
    <mergeCell ref="A905:BB905"/>
    <mergeCell ref="BC905:CZ905"/>
    <mergeCell ref="A906:CZ906"/>
    <mergeCell ref="BC907:CZ907"/>
    <mergeCell ref="A908:BB908"/>
    <mergeCell ref="BC908:CZ908"/>
    <mergeCell ref="BC913:BR913"/>
    <mergeCell ref="BS913:CH913"/>
    <mergeCell ref="CI913:CZ913"/>
    <mergeCell ref="BC912:BR912"/>
    <mergeCell ref="BS912:CH912"/>
    <mergeCell ref="CI912:CZ912"/>
    <mergeCell ref="A909:BB909"/>
    <mergeCell ref="BC909:CZ909"/>
    <mergeCell ref="AA912:AN912"/>
    <mergeCell ref="AO912:BB912"/>
    <mergeCell ref="AA913:AN913"/>
    <mergeCell ref="AO913:BB913"/>
    <mergeCell ref="BC915:BR915"/>
    <mergeCell ref="BS915:CH915"/>
    <mergeCell ref="CI915:CZ915"/>
    <mergeCell ref="BC914:BR914"/>
    <mergeCell ref="BS914:CH914"/>
    <mergeCell ref="CI914:CZ914"/>
    <mergeCell ref="A914:Z914"/>
    <mergeCell ref="AA914:AN914"/>
    <mergeCell ref="AO914:BB914"/>
    <mergeCell ref="AA915:AN915"/>
    <mergeCell ref="AO915:BB915"/>
    <mergeCell ref="H154:BU154"/>
    <mergeCell ref="A155:F155"/>
    <mergeCell ref="H155:BU155"/>
    <mergeCell ref="BV155:CK155"/>
    <mergeCell ref="CL155:CZ155"/>
    <mergeCell ref="H152:BU152"/>
    <mergeCell ref="H153:BU153"/>
    <mergeCell ref="A153:F154"/>
    <mergeCell ref="BV153:CK154"/>
    <mergeCell ref="CL153:CZ154"/>
    <mergeCell ref="H159:BU159"/>
    <mergeCell ref="A160:F160"/>
    <mergeCell ref="BV160:CK160"/>
    <mergeCell ref="CL160:CZ160"/>
    <mergeCell ref="H156:BU156"/>
    <mergeCell ref="H157:BU157"/>
    <mergeCell ref="H158:BU158"/>
    <mergeCell ref="A156:F156"/>
    <mergeCell ref="BV156:CK156"/>
    <mergeCell ref="CL156:CZ156"/>
    <mergeCell ref="A157:F157"/>
    <mergeCell ref="BV157:CK157"/>
    <mergeCell ref="CL157:CZ157"/>
    <mergeCell ref="A158:F159"/>
    <mergeCell ref="BV158:CK159"/>
    <mergeCell ref="CL158:CZ159"/>
    <mergeCell ref="H160:BU160"/>
    <mergeCell ref="H165:BU165"/>
    <mergeCell ref="H166:BU166"/>
    <mergeCell ref="A162:F162"/>
    <mergeCell ref="BV162:CK162"/>
    <mergeCell ref="CL162:CZ162"/>
    <mergeCell ref="H164:BU164"/>
    <mergeCell ref="A161:F161"/>
    <mergeCell ref="H161:BU161"/>
    <mergeCell ref="BV161:CK161"/>
    <mergeCell ref="CL161:CZ161"/>
    <mergeCell ref="G162:BU162"/>
    <mergeCell ref="A163:CZ163"/>
    <mergeCell ref="A164:F164"/>
    <mergeCell ref="BV164:CK164"/>
    <mergeCell ref="CL164:CZ164"/>
    <mergeCell ref="A165:F166"/>
    <mergeCell ref="BV165:CK166"/>
    <mergeCell ref="CL165:CZ166"/>
    <mergeCell ref="H170:BU170"/>
    <mergeCell ref="H171:BU171"/>
    <mergeCell ref="A167:F167"/>
    <mergeCell ref="H167:BU167"/>
    <mergeCell ref="BV167:CK167"/>
    <mergeCell ref="CL167:CZ167"/>
    <mergeCell ref="H168:BU168"/>
    <mergeCell ref="H169:BU169"/>
    <mergeCell ref="A168:F168"/>
    <mergeCell ref="BV168:CK168"/>
    <mergeCell ref="CL168:CZ168"/>
    <mergeCell ref="A169:F169"/>
    <mergeCell ref="BV169:CK169"/>
    <mergeCell ref="CL169:CZ169"/>
    <mergeCell ref="A170:F171"/>
    <mergeCell ref="BV170:CK171"/>
    <mergeCell ref="CL170:CZ171"/>
    <mergeCell ref="A837:G837"/>
    <mergeCell ref="H837:AT837"/>
    <mergeCell ref="AU837:BB837"/>
    <mergeCell ref="BC837:BR837"/>
    <mergeCell ref="BS837:CH837"/>
    <mergeCell ref="CI837:CZ837"/>
    <mergeCell ref="A855:G855"/>
    <mergeCell ref="A852:G852"/>
    <mergeCell ref="A853:G853"/>
    <mergeCell ref="A848:G848"/>
    <mergeCell ref="H848:AT848"/>
    <mergeCell ref="AU848:BB848"/>
    <mergeCell ref="BC848:BR848"/>
    <mergeCell ref="BS848:CH848"/>
    <mergeCell ref="CI848:CZ848"/>
    <mergeCell ref="A849:G849"/>
    <mergeCell ref="H849:AT849"/>
    <mergeCell ref="AU849:BB849"/>
    <mergeCell ref="BC849:BR849"/>
    <mergeCell ref="A838:G838"/>
    <mergeCell ref="H838:AT838"/>
    <mergeCell ref="AU838:BB838"/>
    <mergeCell ref="BC838:BR838"/>
    <mergeCell ref="BS838:CH838"/>
    <mergeCell ref="CI838:CZ838"/>
    <mergeCell ref="CI844:CZ844"/>
    <mergeCell ref="BC845:BR845"/>
    <mergeCell ref="BS845:CH845"/>
    <mergeCell ref="CI845:CZ845"/>
    <mergeCell ref="BC846:BR846"/>
    <mergeCell ref="BS846:CH846"/>
    <mergeCell ref="CI846:CZ846"/>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H919"/>
  <sheetViews>
    <sheetView tabSelected="1" view="pageBreakPreview" topLeftCell="A16" zoomScale="80" zoomScaleNormal="100" zoomScaleSheetLayoutView="80" workbookViewId="0">
      <selection activeCell="GJ12" sqref="GJ12"/>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14.109375" style="13"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93" t="s">
        <v>951</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214" t="s">
        <v>912</v>
      </c>
      <c r="DB1" s="16"/>
    </row>
    <row r="2" spans="1:106" s="20" customFormat="1" x14ac:dyDescent="0.25">
      <c r="A2" s="732" t="s">
        <v>275</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c r="BH2" s="732"/>
      <c r="BI2" s="732"/>
      <c r="BJ2" s="732"/>
      <c r="BK2" s="732"/>
      <c r="BL2" s="732"/>
      <c r="BM2" s="732"/>
      <c r="BN2" s="732"/>
      <c r="BO2" s="732"/>
      <c r="BP2" s="732"/>
      <c r="BQ2" s="732"/>
      <c r="BR2" s="732"/>
      <c r="BS2" s="732"/>
      <c r="BT2" s="732"/>
      <c r="BU2" s="732"/>
      <c r="BV2" s="732"/>
      <c r="BW2" s="732"/>
      <c r="BX2" s="732"/>
      <c r="BY2" s="732"/>
      <c r="BZ2" s="732"/>
      <c r="CA2" s="732"/>
      <c r="CB2" s="732"/>
      <c r="CC2" s="732"/>
      <c r="CD2" s="732"/>
      <c r="CE2" s="732"/>
      <c r="CF2" s="732"/>
      <c r="CG2" s="732"/>
      <c r="CH2" s="732"/>
      <c r="CI2" s="732"/>
      <c r="CJ2" s="732"/>
      <c r="CK2" s="732"/>
      <c r="CL2" s="732"/>
      <c r="CM2" s="732"/>
      <c r="CN2" s="732"/>
      <c r="CO2" s="732"/>
      <c r="CP2" s="732"/>
      <c r="CQ2" s="732"/>
      <c r="CR2" s="732"/>
      <c r="CS2" s="732"/>
      <c r="CT2" s="732"/>
      <c r="CU2" s="732"/>
      <c r="CV2" s="732"/>
      <c r="CW2" s="732"/>
      <c r="CX2" s="732"/>
      <c r="CY2" s="732"/>
      <c r="CZ2" s="732"/>
      <c r="DA2" s="214"/>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5">
        <f>'[2]Раздел 1'!$G$82</f>
        <v>145799591.82999998</v>
      </c>
      <c r="DB3" s="216" t="s">
        <v>423</v>
      </c>
    </row>
    <row r="4" spans="1:106" s="20" customFormat="1" x14ac:dyDescent="0.25">
      <c r="A4" s="20" t="s">
        <v>47</v>
      </c>
      <c r="W4" s="595" t="s">
        <v>536</v>
      </c>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217" t="s">
        <v>913</v>
      </c>
      <c r="DB4" s="16"/>
    </row>
    <row r="5" spans="1:106" s="20" customFormat="1" ht="12" customHeight="1" x14ac:dyDescent="0.25">
      <c r="DA5" s="214"/>
      <c r="DB5" s="16"/>
    </row>
    <row r="6" spans="1:106" s="18" customFormat="1" ht="45" customHeight="1" x14ac:dyDescent="0.25">
      <c r="A6" s="597" t="s">
        <v>49</v>
      </c>
      <c r="B6" s="598"/>
      <c r="C6" s="598"/>
      <c r="D6" s="598"/>
      <c r="E6" s="598"/>
      <c r="F6" s="599"/>
      <c r="G6" s="597" t="s">
        <v>57</v>
      </c>
      <c r="H6" s="598"/>
      <c r="I6" s="598"/>
      <c r="J6" s="598"/>
      <c r="K6" s="598"/>
      <c r="L6" s="598"/>
      <c r="M6" s="598"/>
      <c r="N6" s="598"/>
      <c r="O6" s="598"/>
      <c r="P6" s="598"/>
      <c r="Q6" s="598"/>
      <c r="R6" s="598"/>
      <c r="S6" s="598"/>
      <c r="T6" s="598"/>
      <c r="U6" s="598"/>
      <c r="V6" s="598"/>
      <c r="W6" s="598"/>
      <c r="X6" s="598"/>
      <c r="Y6" s="598"/>
      <c r="Z6" s="598"/>
      <c r="AA6" s="598"/>
      <c r="AB6" s="598"/>
      <c r="AC6" s="599"/>
      <c r="AD6" s="597" t="s">
        <v>58</v>
      </c>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597" t="s">
        <v>59</v>
      </c>
      <c r="BD6" s="598"/>
      <c r="BE6" s="598"/>
      <c r="BF6" s="598"/>
      <c r="BG6" s="598"/>
      <c r="BH6" s="598"/>
      <c r="BI6" s="598"/>
      <c r="BJ6" s="598"/>
      <c r="BK6" s="598"/>
      <c r="BL6" s="598"/>
      <c r="BM6" s="598"/>
      <c r="BN6" s="598"/>
      <c r="BO6" s="598"/>
      <c r="BP6" s="598"/>
      <c r="BQ6" s="598"/>
      <c r="BR6" s="599"/>
      <c r="BS6" s="597" t="s">
        <v>60</v>
      </c>
      <c r="BT6" s="598"/>
      <c r="BU6" s="598"/>
      <c r="BV6" s="598"/>
      <c r="BW6" s="598"/>
      <c r="BX6" s="598"/>
      <c r="BY6" s="598"/>
      <c r="BZ6" s="598"/>
      <c r="CA6" s="598"/>
      <c r="CB6" s="598"/>
      <c r="CC6" s="598"/>
      <c r="CD6" s="598"/>
      <c r="CE6" s="598"/>
      <c r="CF6" s="598"/>
      <c r="CG6" s="598"/>
      <c r="CH6" s="599"/>
      <c r="CI6" s="597" t="s">
        <v>61</v>
      </c>
      <c r="CJ6" s="598"/>
      <c r="CK6" s="598"/>
      <c r="CL6" s="598"/>
      <c r="CM6" s="598"/>
      <c r="CN6" s="598"/>
      <c r="CO6" s="598"/>
      <c r="CP6" s="598"/>
      <c r="CQ6" s="598"/>
      <c r="CR6" s="598"/>
      <c r="CS6" s="598"/>
      <c r="CT6" s="598"/>
      <c r="CU6" s="598"/>
      <c r="CV6" s="598"/>
      <c r="CW6" s="598"/>
      <c r="CX6" s="598"/>
      <c r="CY6" s="598"/>
      <c r="CZ6" s="599"/>
      <c r="DA6" s="20"/>
      <c r="DB6" s="13"/>
    </row>
    <row r="7" spans="1:106" s="15" customFormat="1" x14ac:dyDescent="0.25">
      <c r="A7" s="591">
        <v>1</v>
      </c>
      <c r="B7" s="591"/>
      <c r="C7" s="591"/>
      <c r="D7" s="591"/>
      <c r="E7" s="591"/>
      <c r="F7" s="591"/>
      <c r="G7" s="591">
        <v>2</v>
      </c>
      <c r="H7" s="591"/>
      <c r="I7" s="591"/>
      <c r="J7" s="591"/>
      <c r="K7" s="591"/>
      <c r="L7" s="591"/>
      <c r="M7" s="591"/>
      <c r="N7" s="591"/>
      <c r="O7" s="591"/>
      <c r="P7" s="591"/>
      <c r="Q7" s="591"/>
      <c r="R7" s="591"/>
      <c r="S7" s="591"/>
      <c r="T7" s="591"/>
      <c r="U7" s="591"/>
      <c r="V7" s="591"/>
      <c r="W7" s="591"/>
      <c r="X7" s="591"/>
      <c r="Y7" s="591"/>
      <c r="Z7" s="591"/>
      <c r="AA7" s="591"/>
      <c r="AB7" s="591"/>
      <c r="AC7" s="591"/>
      <c r="AD7" s="591">
        <v>3</v>
      </c>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v>4</v>
      </c>
      <c r="BD7" s="591"/>
      <c r="BE7" s="591"/>
      <c r="BF7" s="591"/>
      <c r="BG7" s="591"/>
      <c r="BH7" s="591"/>
      <c r="BI7" s="591"/>
      <c r="BJ7" s="591"/>
      <c r="BK7" s="591"/>
      <c r="BL7" s="591"/>
      <c r="BM7" s="591"/>
      <c r="BN7" s="591"/>
      <c r="BO7" s="591"/>
      <c r="BP7" s="591"/>
      <c r="BQ7" s="591"/>
      <c r="BR7" s="591"/>
      <c r="BS7" s="591">
        <v>5</v>
      </c>
      <c r="BT7" s="591"/>
      <c r="BU7" s="591"/>
      <c r="BV7" s="591"/>
      <c r="BW7" s="591"/>
      <c r="BX7" s="591"/>
      <c r="BY7" s="591"/>
      <c r="BZ7" s="591"/>
      <c r="CA7" s="591"/>
      <c r="CB7" s="591"/>
      <c r="CC7" s="591"/>
      <c r="CD7" s="591"/>
      <c r="CE7" s="591"/>
      <c r="CF7" s="591"/>
      <c r="CG7" s="591"/>
      <c r="CH7" s="591"/>
      <c r="CI7" s="591">
        <v>6</v>
      </c>
      <c r="CJ7" s="591"/>
      <c r="CK7" s="591"/>
      <c r="CL7" s="591"/>
      <c r="CM7" s="591"/>
      <c r="CN7" s="591"/>
      <c r="CO7" s="591"/>
      <c r="CP7" s="591"/>
      <c r="CQ7" s="591"/>
      <c r="CR7" s="591"/>
      <c r="CS7" s="591"/>
      <c r="CT7" s="591"/>
      <c r="CU7" s="591"/>
      <c r="CV7" s="591"/>
      <c r="CW7" s="591"/>
      <c r="CX7" s="591"/>
      <c r="CY7" s="591"/>
      <c r="CZ7" s="591"/>
      <c r="DA7" s="20"/>
      <c r="DB7" s="20"/>
    </row>
    <row r="8" spans="1:106" s="16" customFormat="1" ht="15" customHeight="1" x14ac:dyDescent="0.25">
      <c r="A8" s="656" t="s">
        <v>537</v>
      </c>
      <c r="B8" s="657"/>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657"/>
      <c r="CP8" s="657"/>
      <c r="CQ8" s="657"/>
      <c r="CR8" s="657"/>
      <c r="CS8" s="657"/>
      <c r="CT8" s="657"/>
      <c r="CU8" s="657"/>
      <c r="CV8" s="657"/>
      <c r="CW8" s="657"/>
      <c r="CX8" s="657"/>
      <c r="CY8" s="657"/>
      <c r="CZ8" s="658"/>
      <c r="DA8" s="20"/>
      <c r="DB8" s="20"/>
    </row>
    <row r="9" spans="1:106" s="16" customFormat="1" ht="18" customHeight="1" x14ac:dyDescent="0.25">
      <c r="A9" s="630" t="s">
        <v>441</v>
      </c>
      <c r="B9" s="631"/>
      <c r="C9" s="631"/>
      <c r="D9" s="631"/>
      <c r="E9" s="631"/>
      <c r="F9" s="632"/>
      <c r="G9" s="584" t="s">
        <v>538</v>
      </c>
      <c r="H9" s="585"/>
      <c r="I9" s="585"/>
      <c r="J9" s="585"/>
      <c r="K9" s="585"/>
      <c r="L9" s="585"/>
      <c r="M9" s="585"/>
      <c r="N9" s="585"/>
      <c r="O9" s="585"/>
      <c r="P9" s="585"/>
      <c r="Q9" s="585"/>
      <c r="R9" s="585"/>
      <c r="S9" s="585"/>
      <c r="T9" s="585"/>
      <c r="U9" s="585"/>
      <c r="V9" s="585"/>
      <c r="W9" s="585"/>
      <c r="X9" s="585"/>
      <c r="Y9" s="585"/>
      <c r="Z9" s="585"/>
      <c r="AA9" s="585"/>
      <c r="AB9" s="585"/>
      <c r="AC9" s="586"/>
      <c r="AD9" s="639">
        <v>100</v>
      </c>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1"/>
      <c r="BC9" s="544">
        <v>2</v>
      </c>
      <c r="BD9" s="545"/>
      <c r="BE9" s="545"/>
      <c r="BF9" s="545"/>
      <c r="BG9" s="545"/>
      <c r="BH9" s="545"/>
      <c r="BI9" s="545"/>
      <c r="BJ9" s="545"/>
      <c r="BK9" s="545"/>
      <c r="BL9" s="545"/>
      <c r="BM9" s="545"/>
      <c r="BN9" s="545"/>
      <c r="BO9" s="545"/>
      <c r="BP9" s="545"/>
      <c r="BQ9" s="545"/>
      <c r="BR9" s="546"/>
      <c r="BS9" s="544">
        <v>4</v>
      </c>
      <c r="BT9" s="545"/>
      <c r="BU9" s="545"/>
      <c r="BV9" s="545"/>
      <c r="BW9" s="545"/>
      <c r="BX9" s="545"/>
      <c r="BY9" s="545"/>
      <c r="BZ9" s="545"/>
      <c r="CA9" s="545"/>
      <c r="CB9" s="545"/>
      <c r="CC9" s="545"/>
      <c r="CD9" s="545"/>
      <c r="CE9" s="545"/>
      <c r="CF9" s="545"/>
      <c r="CG9" s="545"/>
      <c r="CH9" s="546"/>
      <c r="CI9" s="627">
        <f>AD9*BC9*BS9</f>
        <v>800</v>
      </c>
      <c r="CJ9" s="628"/>
      <c r="CK9" s="628"/>
      <c r="CL9" s="628"/>
      <c r="CM9" s="628"/>
      <c r="CN9" s="628"/>
      <c r="CO9" s="628"/>
      <c r="CP9" s="628"/>
      <c r="CQ9" s="628"/>
      <c r="CR9" s="628"/>
      <c r="CS9" s="628"/>
      <c r="CT9" s="628"/>
      <c r="CU9" s="628"/>
      <c r="CV9" s="628"/>
      <c r="CW9" s="628"/>
      <c r="CX9" s="628"/>
      <c r="CY9" s="628"/>
      <c r="CZ9" s="629"/>
      <c r="DA9" s="20"/>
      <c r="DB9" s="20"/>
    </row>
    <row r="10" spans="1:106" s="16" customFormat="1" ht="42.75" customHeight="1" x14ac:dyDescent="0.3">
      <c r="A10" s="630" t="s">
        <v>444</v>
      </c>
      <c r="B10" s="631"/>
      <c r="C10" s="631"/>
      <c r="D10" s="631"/>
      <c r="E10" s="631"/>
      <c r="F10" s="632"/>
      <c r="G10" s="584" t="s">
        <v>539</v>
      </c>
      <c r="H10" s="585"/>
      <c r="I10" s="585"/>
      <c r="J10" s="585"/>
      <c r="K10" s="585"/>
      <c r="L10" s="585"/>
      <c r="M10" s="585"/>
      <c r="N10" s="585"/>
      <c r="O10" s="585"/>
      <c r="P10" s="585"/>
      <c r="Q10" s="585"/>
      <c r="R10" s="585"/>
      <c r="S10" s="585"/>
      <c r="T10" s="585"/>
      <c r="U10" s="585"/>
      <c r="V10" s="585"/>
      <c r="W10" s="585"/>
      <c r="X10" s="585"/>
      <c r="Y10" s="585"/>
      <c r="Z10" s="585"/>
      <c r="AA10" s="585"/>
      <c r="AB10" s="585"/>
      <c r="AC10" s="586"/>
      <c r="AD10" s="639">
        <v>400</v>
      </c>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1"/>
      <c r="BC10" s="544">
        <v>2</v>
      </c>
      <c r="BD10" s="545"/>
      <c r="BE10" s="545"/>
      <c r="BF10" s="545"/>
      <c r="BG10" s="545"/>
      <c r="BH10" s="545"/>
      <c r="BI10" s="545"/>
      <c r="BJ10" s="545"/>
      <c r="BK10" s="545"/>
      <c r="BL10" s="545"/>
      <c r="BM10" s="545"/>
      <c r="BN10" s="545"/>
      <c r="BO10" s="545"/>
      <c r="BP10" s="545"/>
      <c r="BQ10" s="545"/>
      <c r="BR10" s="546"/>
      <c r="BS10" s="733">
        <v>3</v>
      </c>
      <c r="BT10" s="734"/>
      <c r="BU10" s="734"/>
      <c r="BV10" s="734"/>
      <c r="BW10" s="734"/>
      <c r="BX10" s="734"/>
      <c r="BY10" s="734"/>
      <c r="BZ10" s="734"/>
      <c r="CA10" s="734"/>
      <c r="CB10" s="734"/>
      <c r="CC10" s="734"/>
      <c r="CD10" s="734"/>
      <c r="CE10" s="734"/>
      <c r="CF10" s="734"/>
      <c r="CG10" s="734"/>
      <c r="CH10" s="735"/>
      <c r="CI10" s="627">
        <f>AD10*BC10*BS10</f>
        <v>2400</v>
      </c>
      <c r="CJ10" s="628"/>
      <c r="CK10" s="628"/>
      <c r="CL10" s="628"/>
      <c r="CM10" s="628"/>
      <c r="CN10" s="628"/>
      <c r="CO10" s="628"/>
      <c r="CP10" s="628"/>
      <c r="CQ10" s="628"/>
      <c r="CR10" s="628"/>
      <c r="CS10" s="628"/>
      <c r="CT10" s="628"/>
      <c r="CU10" s="628"/>
      <c r="CV10" s="628"/>
      <c r="CW10" s="628"/>
      <c r="CX10" s="628"/>
      <c r="CY10" s="628"/>
      <c r="CZ10" s="629"/>
      <c r="DA10" s="218"/>
      <c r="DB10" s="18"/>
    </row>
    <row r="11" spans="1:106" s="16" customFormat="1" ht="44.25" customHeight="1" x14ac:dyDescent="0.3">
      <c r="A11" s="630" t="s">
        <v>446</v>
      </c>
      <c r="B11" s="631"/>
      <c r="C11" s="631"/>
      <c r="D11" s="631"/>
      <c r="E11" s="631"/>
      <c r="F11" s="632"/>
      <c r="G11" s="584" t="s">
        <v>540</v>
      </c>
      <c r="H11" s="585"/>
      <c r="I11" s="585"/>
      <c r="J11" s="585"/>
      <c r="K11" s="585"/>
      <c r="L11" s="585"/>
      <c r="M11" s="585"/>
      <c r="N11" s="585"/>
      <c r="O11" s="585"/>
      <c r="P11" s="585"/>
      <c r="Q11" s="585"/>
      <c r="R11" s="585"/>
      <c r="S11" s="585"/>
      <c r="T11" s="585"/>
      <c r="U11" s="585"/>
      <c r="V11" s="585"/>
      <c r="W11" s="585"/>
      <c r="X11" s="585"/>
      <c r="Y11" s="585"/>
      <c r="Z11" s="585"/>
      <c r="AA11" s="585"/>
      <c r="AB11" s="585"/>
      <c r="AC11" s="586"/>
      <c r="AD11" s="639">
        <v>700</v>
      </c>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1"/>
      <c r="BC11" s="544">
        <v>2</v>
      </c>
      <c r="BD11" s="545"/>
      <c r="BE11" s="545"/>
      <c r="BF11" s="545"/>
      <c r="BG11" s="545"/>
      <c r="BH11" s="545"/>
      <c r="BI11" s="545"/>
      <c r="BJ11" s="545"/>
      <c r="BK11" s="545"/>
      <c r="BL11" s="545"/>
      <c r="BM11" s="545"/>
      <c r="BN11" s="545"/>
      <c r="BO11" s="545"/>
      <c r="BP11" s="545"/>
      <c r="BQ11" s="545"/>
      <c r="BR11" s="546"/>
      <c r="BS11" s="544">
        <v>3</v>
      </c>
      <c r="BT11" s="545"/>
      <c r="BU11" s="545"/>
      <c r="BV11" s="545"/>
      <c r="BW11" s="545"/>
      <c r="BX11" s="545"/>
      <c r="BY11" s="545"/>
      <c r="BZ11" s="545"/>
      <c r="CA11" s="545"/>
      <c r="CB11" s="545"/>
      <c r="CC11" s="545"/>
      <c r="CD11" s="545"/>
      <c r="CE11" s="545"/>
      <c r="CF11" s="545"/>
      <c r="CG11" s="545"/>
      <c r="CH11" s="546"/>
      <c r="CI11" s="627">
        <f>AD11*BC11*BS11</f>
        <v>4200</v>
      </c>
      <c r="CJ11" s="628"/>
      <c r="CK11" s="628"/>
      <c r="CL11" s="628"/>
      <c r="CM11" s="628"/>
      <c r="CN11" s="628"/>
      <c r="CO11" s="628"/>
      <c r="CP11" s="628"/>
      <c r="CQ11" s="628"/>
      <c r="CR11" s="628"/>
      <c r="CS11" s="628"/>
      <c r="CT11" s="628"/>
      <c r="CU11" s="628"/>
      <c r="CV11" s="628"/>
      <c r="CW11" s="628"/>
      <c r="CX11" s="628"/>
      <c r="CY11" s="628"/>
      <c r="CZ11" s="629"/>
      <c r="DA11" s="219"/>
      <c r="DB11" s="15"/>
    </row>
    <row r="12" spans="1:106" s="16" customFormat="1" ht="27" customHeight="1" x14ac:dyDescent="0.3">
      <c r="A12" s="633" t="s">
        <v>292</v>
      </c>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5"/>
      <c r="AD12" s="582" t="s">
        <v>4</v>
      </c>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t="s">
        <v>4</v>
      </c>
      <c r="BD12" s="582"/>
      <c r="BE12" s="582"/>
      <c r="BF12" s="582"/>
      <c r="BG12" s="582"/>
      <c r="BH12" s="582"/>
      <c r="BI12" s="582"/>
      <c r="BJ12" s="582"/>
      <c r="BK12" s="582"/>
      <c r="BL12" s="582"/>
      <c r="BM12" s="582"/>
      <c r="BN12" s="582"/>
      <c r="BO12" s="582"/>
      <c r="BP12" s="582"/>
      <c r="BQ12" s="582"/>
      <c r="BR12" s="582"/>
      <c r="BS12" s="582" t="s">
        <v>4</v>
      </c>
      <c r="BT12" s="582"/>
      <c r="BU12" s="582"/>
      <c r="BV12" s="582"/>
      <c r="BW12" s="582"/>
      <c r="BX12" s="582"/>
      <c r="BY12" s="582"/>
      <c r="BZ12" s="582"/>
      <c r="CA12" s="582"/>
      <c r="CB12" s="582"/>
      <c r="CC12" s="582"/>
      <c r="CD12" s="582"/>
      <c r="CE12" s="582"/>
      <c r="CF12" s="582"/>
      <c r="CG12" s="582"/>
      <c r="CH12" s="582"/>
      <c r="CI12" s="636">
        <f>SUM(CI9:CZ11)</f>
        <v>7400</v>
      </c>
      <c r="CJ12" s="654"/>
      <c r="CK12" s="654"/>
      <c r="CL12" s="654"/>
      <c r="CM12" s="654"/>
      <c r="CN12" s="654"/>
      <c r="CO12" s="654"/>
      <c r="CP12" s="654"/>
      <c r="CQ12" s="654"/>
      <c r="CR12" s="654"/>
      <c r="CS12" s="654"/>
      <c r="CT12" s="654"/>
      <c r="CU12" s="654"/>
      <c r="CV12" s="654"/>
      <c r="CW12" s="654"/>
      <c r="CX12" s="654"/>
      <c r="CY12" s="654"/>
      <c r="CZ12" s="655"/>
      <c r="DA12" s="214"/>
    </row>
    <row r="13" spans="1:106" s="16" customFormat="1" ht="15" customHeight="1" x14ac:dyDescent="0.3">
      <c r="A13" s="656" t="s">
        <v>541</v>
      </c>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8"/>
      <c r="DA13" s="214"/>
    </row>
    <row r="14" spans="1:106" s="16" customFormat="1" ht="15" customHeight="1" x14ac:dyDescent="0.3">
      <c r="A14" s="659" t="s">
        <v>441</v>
      </c>
      <c r="B14" s="659"/>
      <c r="C14" s="659"/>
      <c r="D14" s="659"/>
      <c r="E14" s="659"/>
      <c r="F14" s="659"/>
      <c r="G14" s="584" t="s">
        <v>538</v>
      </c>
      <c r="H14" s="585"/>
      <c r="I14" s="585"/>
      <c r="J14" s="585"/>
      <c r="K14" s="585"/>
      <c r="L14" s="585"/>
      <c r="M14" s="585"/>
      <c r="N14" s="585"/>
      <c r="O14" s="585"/>
      <c r="P14" s="585"/>
      <c r="Q14" s="585"/>
      <c r="R14" s="585"/>
      <c r="S14" s="585"/>
      <c r="T14" s="585"/>
      <c r="U14" s="585"/>
      <c r="V14" s="585"/>
      <c r="W14" s="585"/>
      <c r="X14" s="585"/>
      <c r="Y14" s="585"/>
      <c r="Z14" s="585"/>
      <c r="AA14" s="585"/>
      <c r="AB14" s="585"/>
      <c r="AC14" s="586"/>
      <c r="AD14" s="664">
        <v>100</v>
      </c>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59" t="s">
        <v>71</v>
      </c>
      <c r="BD14" s="659"/>
      <c r="BE14" s="659"/>
      <c r="BF14" s="659"/>
      <c r="BG14" s="659"/>
      <c r="BH14" s="659"/>
      <c r="BI14" s="659"/>
      <c r="BJ14" s="659"/>
      <c r="BK14" s="659"/>
      <c r="BL14" s="659"/>
      <c r="BM14" s="659"/>
      <c r="BN14" s="659"/>
      <c r="BO14" s="659"/>
      <c r="BP14" s="659"/>
      <c r="BQ14" s="659"/>
      <c r="BR14" s="659"/>
      <c r="BS14" s="630" t="s">
        <v>71</v>
      </c>
      <c r="BT14" s="631"/>
      <c r="BU14" s="631"/>
      <c r="BV14" s="631"/>
      <c r="BW14" s="631"/>
      <c r="BX14" s="631"/>
      <c r="BY14" s="631"/>
      <c r="BZ14" s="631"/>
      <c r="CA14" s="631"/>
      <c r="CB14" s="631"/>
      <c r="CC14" s="631"/>
      <c r="CD14" s="631"/>
      <c r="CE14" s="631"/>
      <c r="CF14" s="631"/>
      <c r="CG14" s="631"/>
      <c r="CH14" s="631"/>
      <c r="CI14" s="627">
        <f>AD14*BC14*BS14</f>
        <v>400</v>
      </c>
      <c r="CJ14" s="628"/>
      <c r="CK14" s="628"/>
      <c r="CL14" s="628"/>
      <c r="CM14" s="628"/>
      <c r="CN14" s="628"/>
      <c r="CO14" s="628"/>
      <c r="CP14" s="628"/>
      <c r="CQ14" s="628"/>
      <c r="CR14" s="628"/>
      <c r="CS14" s="628"/>
      <c r="CT14" s="628"/>
      <c r="CU14" s="628"/>
      <c r="CV14" s="628"/>
      <c r="CW14" s="628"/>
      <c r="CX14" s="628"/>
      <c r="CY14" s="628"/>
      <c r="CZ14" s="629"/>
      <c r="DA14" s="214"/>
    </row>
    <row r="15" spans="1:106" s="16" customFormat="1" ht="40.5" customHeight="1" x14ac:dyDescent="0.3">
      <c r="A15" s="630" t="s">
        <v>444</v>
      </c>
      <c r="B15" s="631"/>
      <c r="C15" s="631"/>
      <c r="D15" s="631"/>
      <c r="E15" s="631"/>
      <c r="F15" s="632"/>
      <c r="G15" s="584" t="s">
        <v>539</v>
      </c>
      <c r="H15" s="585"/>
      <c r="I15" s="585"/>
      <c r="J15" s="585"/>
      <c r="K15" s="585"/>
      <c r="L15" s="585"/>
      <c r="M15" s="585"/>
      <c r="N15" s="585"/>
      <c r="O15" s="585"/>
      <c r="P15" s="585"/>
      <c r="Q15" s="585"/>
      <c r="R15" s="585"/>
      <c r="S15" s="585"/>
      <c r="T15" s="585"/>
      <c r="U15" s="585"/>
      <c r="V15" s="585"/>
      <c r="W15" s="585"/>
      <c r="X15" s="585"/>
      <c r="Y15" s="585"/>
      <c r="Z15" s="585"/>
      <c r="AA15" s="585"/>
      <c r="AB15" s="585"/>
      <c r="AC15" s="586"/>
      <c r="AD15" s="639">
        <v>300</v>
      </c>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1"/>
      <c r="BC15" s="544">
        <v>2</v>
      </c>
      <c r="BD15" s="545"/>
      <c r="BE15" s="545"/>
      <c r="BF15" s="545"/>
      <c r="BG15" s="545"/>
      <c r="BH15" s="545"/>
      <c r="BI15" s="545"/>
      <c r="BJ15" s="545"/>
      <c r="BK15" s="545"/>
      <c r="BL15" s="545"/>
      <c r="BM15" s="545"/>
      <c r="BN15" s="545"/>
      <c r="BO15" s="545"/>
      <c r="BP15" s="545"/>
      <c r="BQ15" s="545"/>
      <c r="BR15" s="546"/>
      <c r="BS15" s="544">
        <v>3</v>
      </c>
      <c r="BT15" s="545"/>
      <c r="BU15" s="545"/>
      <c r="BV15" s="545"/>
      <c r="BW15" s="545"/>
      <c r="BX15" s="545"/>
      <c r="BY15" s="545"/>
      <c r="BZ15" s="545"/>
      <c r="CA15" s="545"/>
      <c r="CB15" s="545"/>
      <c r="CC15" s="545"/>
      <c r="CD15" s="545"/>
      <c r="CE15" s="545"/>
      <c r="CF15" s="545"/>
      <c r="CG15" s="545"/>
      <c r="CH15" s="546"/>
      <c r="CI15" s="627">
        <f>AD15*BC15*BS15</f>
        <v>1800</v>
      </c>
      <c r="CJ15" s="628"/>
      <c r="CK15" s="628"/>
      <c r="CL15" s="628"/>
      <c r="CM15" s="628"/>
      <c r="CN15" s="628"/>
      <c r="CO15" s="628"/>
      <c r="CP15" s="628"/>
      <c r="CQ15" s="628"/>
      <c r="CR15" s="628"/>
      <c r="CS15" s="628"/>
      <c r="CT15" s="628"/>
      <c r="CU15" s="628"/>
      <c r="CV15" s="628"/>
      <c r="CW15" s="628"/>
      <c r="CX15" s="628"/>
      <c r="CY15" s="628"/>
      <c r="CZ15" s="629"/>
      <c r="DA15" s="214"/>
    </row>
    <row r="16" spans="1:106" s="16" customFormat="1" ht="26.25" customHeight="1" x14ac:dyDescent="0.3">
      <c r="A16" s="633" t="s">
        <v>292</v>
      </c>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5"/>
      <c r="AD16" s="582" t="s">
        <v>4</v>
      </c>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t="s">
        <v>4</v>
      </c>
      <c r="BD16" s="582"/>
      <c r="BE16" s="582"/>
      <c r="BF16" s="582"/>
      <c r="BG16" s="582"/>
      <c r="BH16" s="582"/>
      <c r="BI16" s="582"/>
      <c r="BJ16" s="582"/>
      <c r="BK16" s="582"/>
      <c r="BL16" s="582"/>
      <c r="BM16" s="582"/>
      <c r="BN16" s="582"/>
      <c r="BO16" s="582"/>
      <c r="BP16" s="582"/>
      <c r="BQ16" s="582"/>
      <c r="BR16" s="582"/>
      <c r="BS16" s="582" t="s">
        <v>4</v>
      </c>
      <c r="BT16" s="582"/>
      <c r="BU16" s="582"/>
      <c r="BV16" s="582"/>
      <c r="BW16" s="582"/>
      <c r="BX16" s="582"/>
      <c r="BY16" s="582"/>
      <c r="BZ16" s="582"/>
      <c r="CA16" s="582"/>
      <c r="CB16" s="582"/>
      <c r="CC16" s="582"/>
      <c r="CD16" s="582"/>
      <c r="CE16" s="582"/>
      <c r="CF16" s="582"/>
      <c r="CG16" s="582"/>
      <c r="CH16" s="582"/>
      <c r="CI16" s="636">
        <f>SUM(CI14:CZ15)</f>
        <v>2200</v>
      </c>
      <c r="CJ16" s="654"/>
      <c r="CK16" s="654"/>
      <c r="CL16" s="654"/>
      <c r="CM16" s="654"/>
      <c r="CN16" s="654"/>
      <c r="CO16" s="654"/>
      <c r="CP16" s="654"/>
      <c r="CQ16" s="654"/>
      <c r="CR16" s="654"/>
      <c r="CS16" s="654"/>
      <c r="CT16" s="654"/>
      <c r="CU16" s="654"/>
      <c r="CV16" s="654"/>
      <c r="CW16" s="654"/>
      <c r="CX16" s="654"/>
      <c r="CY16" s="654"/>
      <c r="CZ16" s="655"/>
      <c r="DA16" s="214"/>
    </row>
    <row r="17" spans="1:106" s="16" customFormat="1" ht="15" customHeight="1" x14ac:dyDescent="0.3">
      <c r="A17" s="553" t="s">
        <v>56</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5"/>
      <c r="AD17" s="582" t="s">
        <v>4</v>
      </c>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t="s">
        <v>4</v>
      </c>
      <c r="BD17" s="582"/>
      <c r="BE17" s="582"/>
      <c r="BF17" s="582"/>
      <c r="BG17" s="582"/>
      <c r="BH17" s="582"/>
      <c r="BI17" s="582"/>
      <c r="BJ17" s="582"/>
      <c r="BK17" s="582"/>
      <c r="BL17" s="582"/>
      <c r="BM17" s="582"/>
      <c r="BN17" s="582"/>
      <c r="BO17" s="582"/>
      <c r="BP17" s="582"/>
      <c r="BQ17" s="582"/>
      <c r="BR17" s="582"/>
      <c r="BS17" s="582" t="s">
        <v>4</v>
      </c>
      <c r="BT17" s="582"/>
      <c r="BU17" s="582"/>
      <c r="BV17" s="582"/>
      <c r="BW17" s="582"/>
      <c r="BX17" s="582"/>
      <c r="BY17" s="582"/>
      <c r="BZ17" s="582"/>
      <c r="CA17" s="582"/>
      <c r="CB17" s="582"/>
      <c r="CC17" s="582"/>
      <c r="CD17" s="582"/>
      <c r="CE17" s="582"/>
      <c r="CF17" s="582"/>
      <c r="CG17" s="582"/>
      <c r="CH17" s="582"/>
      <c r="CI17" s="611">
        <f>CI12+CI16</f>
        <v>9600</v>
      </c>
      <c r="CJ17" s="611"/>
      <c r="CK17" s="611"/>
      <c r="CL17" s="611"/>
      <c r="CM17" s="611"/>
      <c r="CN17" s="611"/>
      <c r="CO17" s="611"/>
      <c r="CP17" s="611"/>
      <c r="CQ17" s="611"/>
      <c r="CR17" s="611"/>
      <c r="CS17" s="611"/>
      <c r="CT17" s="611"/>
      <c r="CU17" s="611"/>
      <c r="CV17" s="611"/>
      <c r="CW17" s="611"/>
      <c r="CX17" s="611"/>
      <c r="CY17" s="611"/>
      <c r="CZ17" s="611"/>
      <c r="DA17" s="220">
        <f>CI17</f>
        <v>9600</v>
      </c>
    </row>
    <row r="18" spans="1:106" ht="12" hidden="1" customHeight="1" x14ac:dyDescent="0.25">
      <c r="DA18" s="214"/>
      <c r="DB18" s="16"/>
    </row>
    <row r="19" spans="1:106" s="20" customFormat="1" ht="26.25" hidden="1" customHeight="1" x14ac:dyDescent="0.25">
      <c r="A19" s="594" t="s">
        <v>276</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94"/>
      <c r="BW19" s="594"/>
      <c r="BX19" s="594"/>
      <c r="BY19" s="594"/>
      <c r="BZ19" s="594"/>
      <c r="CA19" s="594"/>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214"/>
      <c r="DB19" s="16"/>
    </row>
    <row r="20" spans="1:106" s="20" customFormat="1" hidden="1" x14ac:dyDescent="0.25">
      <c r="A20" s="20" t="s">
        <v>47</v>
      </c>
      <c r="W20" s="595" t="s">
        <v>536</v>
      </c>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214"/>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4"/>
      <c r="DB21" s="16"/>
    </row>
    <row r="22" spans="1:106" s="18" customFormat="1" ht="55.5" hidden="1" customHeight="1" x14ac:dyDescent="0.25">
      <c r="A22" s="597" t="s">
        <v>49</v>
      </c>
      <c r="B22" s="598"/>
      <c r="C22" s="598"/>
      <c r="D22" s="598"/>
      <c r="E22" s="598"/>
      <c r="F22" s="599"/>
      <c r="G22" s="597" t="s">
        <v>57</v>
      </c>
      <c r="H22" s="598"/>
      <c r="I22" s="598"/>
      <c r="J22" s="598"/>
      <c r="K22" s="598"/>
      <c r="L22" s="598"/>
      <c r="M22" s="598"/>
      <c r="N22" s="598"/>
      <c r="O22" s="598"/>
      <c r="P22" s="598"/>
      <c r="Q22" s="598"/>
      <c r="R22" s="598"/>
      <c r="S22" s="598"/>
      <c r="T22" s="598"/>
      <c r="U22" s="598"/>
      <c r="V22" s="598"/>
      <c r="W22" s="598"/>
      <c r="X22" s="598"/>
      <c r="Y22" s="598"/>
      <c r="Z22" s="598"/>
      <c r="AA22" s="598"/>
      <c r="AB22" s="598"/>
      <c r="AC22" s="599"/>
      <c r="AD22" s="597" t="s">
        <v>293</v>
      </c>
      <c r="AE22" s="598"/>
      <c r="AF22" s="598"/>
      <c r="AG22" s="598"/>
      <c r="AH22" s="598"/>
      <c r="AI22" s="598"/>
      <c r="AJ22" s="598"/>
      <c r="AK22" s="598"/>
      <c r="AL22" s="598"/>
      <c r="AM22" s="598"/>
      <c r="AN22" s="598"/>
      <c r="AO22" s="598"/>
      <c r="AP22" s="598"/>
      <c r="AQ22" s="598"/>
      <c r="AR22" s="598"/>
      <c r="AS22" s="598"/>
      <c r="AT22" s="598"/>
      <c r="AU22" s="598"/>
      <c r="AV22" s="598"/>
      <c r="AW22" s="598"/>
      <c r="AX22" s="599"/>
      <c r="AY22" s="597" t="s">
        <v>62</v>
      </c>
      <c r="AZ22" s="598"/>
      <c r="BA22" s="598"/>
      <c r="BB22" s="598"/>
      <c r="BC22" s="598"/>
      <c r="BD22" s="598"/>
      <c r="BE22" s="598"/>
      <c r="BF22" s="598"/>
      <c r="BG22" s="598"/>
      <c r="BH22" s="598"/>
      <c r="BI22" s="598"/>
      <c r="BJ22" s="598"/>
      <c r="BK22" s="598"/>
      <c r="BL22" s="598"/>
      <c r="BM22" s="598"/>
      <c r="BN22" s="598"/>
      <c r="BO22" s="598"/>
      <c r="BP22" s="599"/>
      <c r="BQ22" s="597" t="s">
        <v>63</v>
      </c>
      <c r="BR22" s="598"/>
      <c r="BS22" s="598"/>
      <c r="BT22" s="598"/>
      <c r="BU22" s="598"/>
      <c r="BV22" s="598"/>
      <c r="BW22" s="598"/>
      <c r="BX22" s="598"/>
      <c r="BY22" s="598"/>
      <c r="BZ22" s="598"/>
      <c r="CA22" s="598"/>
      <c r="CB22" s="598"/>
      <c r="CC22" s="598"/>
      <c r="CD22" s="598"/>
      <c r="CE22" s="598"/>
      <c r="CF22" s="598"/>
      <c r="CG22" s="598"/>
      <c r="CH22" s="599"/>
      <c r="CI22" s="597" t="s">
        <v>61</v>
      </c>
      <c r="CJ22" s="598"/>
      <c r="CK22" s="598"/>
      <c r="CL22" s="598"/>
      <c r="CM22" s="598"/>
      <c r="CN22" s="598"/>
      <c r="CO22" s="598"/>
      <c r="CP22" s="598"/>
      <c r="CQ22" s="598"/>
      <c r="CR22" s="598"/>
      <c r="CS22" s="598"/>
      <c r="CT22" s="598"/>
      <c r="CU22" s="598"/>
      <c r="CV22" s="598"/>
      <c r="CW22" s="598"/>
      <c r="CX22" s="598"/>
      <c r="CY22" s="598"/>
      <c r="CZ22" s="599"/>
      <c r="DA22" s="20"/>
      <c r="DB22" s="20"/>
    </row>
    <row r="23" spans="1:106" s="15" customFormat="1" hidden="1" x14ac:dyDescent="0.25">
      <c r="A23" s="591">
        <v>1</v>
      </c>
      <c r="B23" s="591"/>
      <c r="C23" s="591"/>
      <c r="D23" s="591"/>
      <c r="E23" s="591"/>
      <c r="F23" s="591"/>
      <c r="G23" s="591">
        <v>2</v>
      </c>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v>3</v>
      </c>
      <c r="AE23" s="591"/>
      <c r="AF23" s="591"/>
      <c r="AG23" s="591"/>
      <c r="AH23" s="591"/>
      <c r="AI23" s="591"/>
      <c r="AJ23" s="591"/>
      <c r="AK23" s="591"/>
      <c r="AL23" s="591"/>
      <c r="AM23" s="591"/>
      <c r="AN23" s="591"/>
      <c r="AO23" s="591"/>
      <c r="AP23" s="591"/>
      <c r="AQ23" s="591"/>
      <c r="AR23" s="591"/>
      <c r="AS23" s="591"/>
      <c r="AT23" s="591"/>
      <c r="AU23" s="591"/>
      <c r="AV23" s="591"/>
      <c r="AW23" s="591"/>
      <c r="AX23" s="591"/>
      <c r="AY23" s="591">
        <v>4</v>
      </c>
      <c r="AZ23" s="591"/>
      <c r="BA23" s="591"/>
      <c r="BB23" s="591"/>
      <c r="BC23" s="591"/>
      <c r="BD23" s="591"/>
      <c r="BE23" s="591"/>
      <c r="BF23" s="591"/>
      <c r="BG23" s="591"/>
      <c r="BH23" s="591"/>
      <c r="BI23" s="591"/>
      <c r="BJ23" s="591"/>
      <c r="BK23" s="591"/>
      <c r="BL23" s="591"/>
      <c r="BM23" s="591"/>
      <c r="BN23" s="591"/>
      <c r="BO23" s="591"/>
      <c r="BP23" s="591"/>
      <c r="BQ23" s="591">
        <v>5</v>
      </c>
      <c r="BR23" s="591"/>
      <c r="BS23" s="591"/>
      <c r="BT23" s="591"/>
      <c r="BU23" s="591"/>
      <c r="BV23" s="591"/>
      <c r="BW23" s="591"/>
      <c r="BX23" s="591"/>
      <c r="BY23" s="591"/>
      <c r="BZ23" s="591"/>
      <c r="CA23" s="591"/>
      <c r="CB23" s="591"/>
      <c r="CC23" s="591"/>
      <c r="CD23" s="591"/>
      <c r="CE23" s="591"/>
      <c r="CF23" s="591"/>
      <c r="CG23" s="591"/>
      <c r="CH23" s="591"/>
      <c r="CI23" s="591">
        <v>6</v>
      </c>
      <c r="CJ23" s="591"/>
      <c r="CK23" s="591"/>
      <c r="CL23" s="591"/>
      <c r="CM23" s="591"/>
      <c r="CN23" s="591"/>
      <c r="CO23" s="591"/>
      <c r="CP23" s="591"/>
      <c r="CQ23" s="591"/>
      <c r="CR23" s="591"/>
      <c r="CS23" s="591"/>
      <c r="CT23" s="591"/>
      <c r="CU23" s="591"/>
      <c r="CV23" s="591"/>
      <c r="CW23" s="591"/>
      <c r="CX23" s="591"/>
      <c r="CY23" s="591"/>
      <c r="CZ23" s="591"/>
      <c r="DA23" s="20"/>
      <c r="DB23" s="20"/>
    </row>
    <row r="24" spans="1:106" s="16" customFormat="1" ht="15" hidden="1" customHeight="1" x14ac:dyDescent="0.25">
      <c r="A24" s="656" t="s">
        <v>537</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57"/>
      <c r="BQ24" s="657"/>
      <c r="BR24" s="657"/>
      <c r="BS24" s="657"/>
      <c r="BT24" s="657"/>
      <c r="BU24" s="657"/>
      <c r="BV24" s="657"/>
      <c r="BW24" s="657"/>
      <c r="BX24" s="657"/>
      <c r="BY24" s="657"/>
      <c r="BZ24" s="657"/>
      <c r="CA24" s="657"/>
      <c r="CB24" s="657"/>
      <c r="CC24" s="657"/>
      <c r="CD24" s="657"/>
      <c r="CE24" s="657"/>
      <c r="CF24" s="657"/>
      <c r="CG24" s="657"/>
      <c r="CH24" s="657"/>
      <c r="CI24" s="657"/>
      <c r="CJ24" s="657"/>
      <c r="CK24" s="657"/>
      <c r="CL24" s="657"/>
      <c r="CM24" s="657"/>
      <c r="CN24" s="657"/>
      <c r="CO24" s="657"/>
      <c r="CP24" s="657"/>
      <c r="CQ24" s="657"/>
      <c r="CR24" s="657"/>
      <c r="CS24" s="657"/>
      <c r="CT24" s="657"/>
      <c r="CU24" s="657"/>
      <c r="CV24" s="657"/>
      <c r="CW24" s="657"/>
      <c r="CX24" s="657"/>
      <c r="CY24" s="657"/>
      <c r="CZ24" s="658"/>
      <c r="DA24" s="20"/>
      <c r="DB24" s="20"/>
    </row>
    <row r="25" spans="1:106" s="16" customFormat="1" ht="24" hidden="1" customHeight="1" x14ac:dyDescent="0.25">
      <c r="A25" s="630" t="s">
        <v>441</v>
      </c>
      <c r="B25" s="631"/>
      <c r="C25" s="631"/>
      <c r="D25" s="631"/>
      <c r="E25" s="631"/>
      <c r="F25" s="632"/>
      <c r="G25" s="584" t="s">
        <v>542</v>
      </c>
      <c r="H25" s="585"/>
      <c r="I25" s="585"/>
      <c r="J25" s="585"/>
      <c r="K25" s="585"/>
      <c r="L25" s="585"/>
      <c r="M25" s="585"/>
      <c r="N25" s="585"/>
      <c r="O25" s="585"/>
      <c r="P25" s="585"/>
      <c r="Q25" s="585"/>
      <c r="R25" s="585"/>
      <c r="S25" s="585"/>
      <c r="T25" s="585"/>
      <c r="U25" s="585"/>
      <c r="V25" s="585"/>
      <c r="W25" s="585"/>
      <c r="X25" s="585"/>
      <c r="Y25" s="585"/>
      <c r="Z25" s="585"/>
      <c r="AA25" s="585"/>
      <c r="AB25" s="585"/>
      <c r="AC25" s="586"/>
      <c r="AD25" s="544"/>
      <c r="AE25" s="545"/>
      <c r="AF25" s="545"/>
      <c r="AG25" s="545"/>
      <c r="AH25" s="545"/>
      <c r="AI25" s="545"/>
      <c r="AJ25" s="545"/>
      <c r="AK25" s="545"/>
      <c r="AL25" s="545"/>
      <c r="AM25" s="545"/>
      <c r="AN25" s="545"/>
      <c r="AO25" s="545"/>
      <c r="AP25" s="545"/>
      <c r="AQ25" s="545"/>
      <c r="AR25" s="545"/>
      <c r="AS25" s="545"/>
      <c r="AT25" s="545"/>
      <c r="AU25" s="545"/>
      <c r="AV25" s="545"/>
      <c r="AW25" s="545"/>
      <c r="AX25" s="546"/>
      <c r="AY25" s="544"/>
      <c r="AZ25" s="545"/>
      <c r="BA25" s="545"/>
      <c r="BB25" s="545"/>
      <c r="BC25" s="545"/>
      <c r="BD25" s="545"/>
      <c r="BE25" s="545"/>
      <c r="BF25" s="545"/>
      <c r="BG25" s="545"/>
      <c r="BH25" s="545"/>
      <c r="BI25" s="545"/>
      <c r="BJ25" s="545"/>
      <c r="BK25" s="545"/>
      <c r="BL25" s="545"/>
      <c r="BM25" s="545"/>
      <c r="BN25" s="545"/>
      <c r="BO25" s="545"/>
      <c r="BP25" s="546"/>
      <c r="BQ25" s="547"/>
      <c r="BR25" s="548"/>
      <c r="BS25" s="548"/>
      <c r="BT25" s="548"/>
      <c r="BU25" s="548"/>
      <c r="BV25" s="548"/>
      <c r="BW25" s="548"/>
      <c r="BX25" s="548"/>
      <c r="BY25" s="548"/>
      <c r="BZ25" s="548"/>
      <c r="CA25" s="548"/>
      <c r="CB25" s="548"/>
      <c r="CC25" s="548"/>
      <c r="CD25" s="548"/>
      <c r="CE25" s="548"/>
      <c r="CF25" s="548"/>
      <c r="CG25" s="548"/>
      <c r="CH25" s="549"/>
      <c r="CI25" s="627"/>
      <c r="CJ25" s="628"/>
      <c r="CK25" s="628"/>
      <c r="CL25" s="628"/>
      <c r="CM25" s="628"/>
      <c r="CN25" s="628"/>
      <c r="CO25" s="628"/>
      <c r="CP25" s="628"/>
      <c r="CQ25" s="628"/>
      <c r="CR25" s="628"/>
      <c r="CS25" s="628"/>
      <c r="CT25" s="628"/>
      <c r="CU25" s="628"/>
      <c r="CV25" s="628"/>
      <c r="CW25" s="628"/>
      <c r="CX25" s="628"/>
      <c r="CY25" s="628"/>
      <c r="CZ25" s="629"/>
      <c r="DA25" s="20"/>
      <c r="DB25" s="20"/>
    </row>
    <row r="26" spans="1:106" s="16" customFormat="1" ht="56.25" hidden="1" customHeight="1" x14ac:dyDescent="0.3">
      <c r="A26" s="630" t="s">
        <v>444</v>
      </c>
      <c r="B26" s="631"/>
      <c r="C26" s="631"/>
      <c r="D26" s="631"/>
      <c r="E26" s="631"/>
      <c r="F26" s="632"/>
      <c r="G26" s="584" t="s">
        <v>543</v>
      </c>
      <c r="H26" s="585"/>
      <c r="I26" s="585"/>
      <c r="J26" s="585"/>
      <c r="K26" s="585"/>
      <c r="L26" s="585"/>
      <c r="M26" s="585"/>
      <c r="N26" s="585"/>
      <c r="O26" s="585"/>
      <c r="P26" s="585"/>
      <c r="Q26" s="585"/>
      <c r="R26" s="585"/>
      <c r="S26" s="585"/>
      <c r="T26" s="585"/>
      <c r="U26" s="585"/>
      <c r="V26" s="585"/>
      <c r="W26" s="585"/>
      <c r="X26" s="585"/>
      <c r="Y26" s="585"/>
      <c r="Z26" s="585"/>
      <c r="AA26" s="585"/>
      <c r="AB26" s="585"/>
      <c r="AC26" s="586"/>
      <c r="AD26" s="544"/>
      <c r="AE26" s="545"/>
      <c r="AF26" s="545"/>
      <c r="AG26" s="545"/>
      <c r="AH26" s="545"/>
      <c r="AI26" s="545"/>
      <c r="AJ26" s="545"/>
      <c r="AK26" s="545"/>
      <c r="AL26" s="545"/>
      <c r="AM26" s="545"/>
      <c r="AN26" s="545"/>
      <c r="AO26" s="545"/>
      <c r="AP26" s="545"/>
      <c r="AQ26" s="545"/>
      <c r="AR26" s="545"/>
      <c r="AS26" s="545"/>
      <c r="AT26" s="545"/>
      <c r="AU26" s="545"/>
      <c r="AV26" s="545"/>
      <c r="AW26" s="545"/>
      <c r="AX26" s="546"/>
      <c r="AY26" s="544"/>
      <c r="AZ26" s="545"/>
      <c r="BA26" s="545"/>
      <c r="BB26" s="545"/>
      <c r="BC26" s="545"/>
      <c r="BD26" s="545"/>
      <c r="BE26" s="545"/>
      <c r="BF26" s="545"/>
      <c r="BG26" s="545"/>
      <c r="BH26" s="545"/>
      <c r="BI26" s="545"/>
      <c r="BJ26" s="545"/>
      <c r="BK26" s="545"/>
      <c r="BL26" s="545"/>
      <c r="BM26" s="545"/>
      <c r="BN26" s="545"/>
      <c r="BO26" s="545"/>
      <c r="BP26" s="546"/>
      <c r="BQ26" s="547"/>
      <c r="BR26" s="548"/>
      <c r="BS26" s="548"/>
      <c r="BT26" s="548"/>
      <c r="BU26" s="548"/>
      <c r="BV26" s="548"/>
      <c r="BW26" s="548"/>
      <c r="BX26" s="548"/>
      <c r="BY26" s="548"/>
      <c r="BZ26" s="548"/>
      <c r="CA26" s="548"/>
      <c r="CB26" s="548"/>
      <c r="CC26" s="548"/>
      <c r="CD26" s="548"/>
      <c r="CE26" s="548"/>
      <c r="CF26" s="548"/>
      <c r="CG26" s="548"/>
      <c r="CH26" s="549"/>
      <c r="CI26" s="627"/>
      <c r="CJ26" s="628"/>
      <c r="CK26" s="628"/>
      <c r="CL26" s="628"/>
      <c r="CM26" s="628"/>
      <c r="CN26" s="628"/>
      <c r="CO26" s="628"/>
      <c r="CP26" s="628"/>
      <c r="CQ26" s="628"/>
      <c r="CR26" s="628"/>
      <c r="CS26" s="628"/>
      <c r="CT26" s="628"/>
      <c r="CU26" s="628"/>
      <c r="CV26" s="628"/>
      <c r="CW26" s="628"/>
      <c r="CX26" s="628"/>
      <c r="CY26" s="628"/>
      <c r="CZ26" s="629"/>
      <c r="DA26" s="218"/>
      <c r="DB26" s="18"/>
    </row>
    <row r="27" spans="1:106" s="16" customFormat="1" ht="27" hidden="1" customHeight="1" x14ac:dyDescent="0.3">
      <c r="A27" s="633" t="s">
        <v>292</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5"/>
      <c r="AD27" s="544" t="s">
        <v>4</v>
      </c>
      <c r="AE27" s="545"/>
      <c r="AF27" s="545"/>
      <c r="AG27" s="545"/>
      <c r="AH27" s="545"/>
      <c r="AI27" s="545"/>
      <c r="AJ27" s="545"/>
      <c r="AK27" s="545"/>
      <c r="AL27" s="545"/>
      <c r="AM27" s="545"/>
      <c r="AN27" s="545"/>
      <c r="AO27" s="545"/>
      <c r="AP27" s="545"/>
      <c r="AQ27" s="545"/>
      <c r="AR27" s="545"/>
      <c r="AS27" s="545"/>
      <c r="AT27" s="545"/>
      <c r="AU27" s="545"/>
      <c r="AV27" s="545"/>
      <c r="AW27" s="545"/>
      <c r="AX27" s="546"/>
      <c r="AY27" s="544" t="s">
        <v>4</v>
      </c>
      <c r="AZ27" s="545"/>
      <c r="BA27" s="545"/>
      <c r="BB27" s="545"/>
      <c r="BC27" s="545"/>
      <c r="BD27" s="545"/>
      <c r="BE27" s="545"/>
      <c r="BF27" s="545"/>
      <c r="BG27" s="545"/>
      <c r="BH27" s="545"/>
      <c r="BI27" s="545"/>
      <c r="BJ27" s="545"/>
      <c r="BK27" s="545"/>
      <c r="BL27" s="545"/>
      <c r="BM27" s="545"/>
      <c r="BN27" s="545"/>
      <c r="BO27" s="545"/>
      <c r="BP27" s="546"/>
      <c r="BQ27" s="544" t="s">
        <v>4</v>
      </c>
      <c r="BR27" s="545"/>
      <c r="BS27" s="545"/>
      <c r="BT27" s="545"/>
      <c r="BU27" s="545"/>
      <c r="BV27" s="545"/>
      <c r="BW27" s="545"/>
      <c r="BX27" s="545"/>
      <c r="BY27" s="545"/>
      <c r="BZ27" s="545"/>
      <c r="CA27" s="545"/>
      <c r="CB27" s="545"/>
      <c r="CC27" s="545"/>
      <c r="CD27" s="545"/>
      <c r="CE27" s="545"/>
      <c r="CF27" s="545"/>
      <c r="CG27" s="545"/>
      <c r="CH27" s="546"/>
      <c r="CI27" s="636">
        <f>SUM(CI25:CZ26)</f>
        <v>0</v>
      </c>
      <c r="CJ27" s="654"/>
      <c r="CK27" s="654"/>
      <c r="CL27" s="654"/>
      <c r="CM27" s="654"/>
      <c r="CN27" s="654"/>
      <c r="CO27" s="654"/>
      <c r="CP27" s="654"/>
      <c r="CQ27" s="654"/>
      <c r="CR27" s="654"/>
      <c r="CS27" s="654"/>
      <c r="CT27" s="654"/>
      <c r="CU27" s="654"/>
      <c r="CV27" s="654"/>
      <c r="CW27" s="654"/>
      <c r="CX27" s="654"/>
      <c r="CY27" s="654"/>
      <c r="CZ27" s="655"/>
      <c r="DA27" s="219"/>
      <c r="DB27" s="15"/>
    </row>
    <row r="28" spans="1:106" s="16" customFormat="1" ht="15" hidden="1" customHeight="1" x14ac:dyDescent="0.3">
      <c r="A28" s="656" t="s">
        <v>258</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657"/>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8"/>
      <c r="DA28" s="214"/>
    </row>
    <row r="29" spans="1:106" s="16" customFormat="1" ht="15" hidden="1" customHeight="1" x14ac:dyDescent="0.3">
      <c r="A29" s="630"/>
      <c r="B29" s="631"/>
      <c r="C29" s="631"/>
      <c r="D29" s="631"/>
      <c r="E29" s="631"/>
      <c r="F29" s="632"/>
      <c r="G29" s="584"/>
      <c r="H29" s="585"/>
      <c r="I29" s="585"/>
      <c r="J29" s="585"/>
      <c r="K29" s="585"/>
      <c r="L29" s="585"/>
      <c r="M29" s="585"/>
      <c r="N29" s="585"/>
      <c r="O29" s="585"/>
      <c r="P29" s="585"/>
      <c r="Q29" s="585"/>
      <c r="R29" s="585"/>
      <c r="S29" s="585"/>
      <c r="T29" s="585"/>
      <c r="U29" s="585"/>
      <c r="V29" s="585"/>
      <c r="W29" s="585"/>
      <c r="X29" s="585"/>
      <c r="Y29" s="585"/>
      <c r="Z29" s="585"/>
      <c r="AA29" s="585"/>
      <c r="AB29" s="585"/>
      <c r="AC29" s="586"/>
      <c r="AD29" s="544"/>
      <c r="AE29" s="545"/>
      <c r="AF29" s="545"/>
      <c r="AG29" s="545"/>
      <c r="AH29" s="545"/>
      <c r="AI29" s="545"/>
      <c r="AJ29" s="545"/>
      <c r="AK29" s="545"/>
      <c r="AL29" s="545"/>
      <c r="AM29" s="545"/>
      <c r="AN29" s="545"/>
      <c r="AO29" s="545"/>
      <c r="AP29" s="545"/>
      <c r="AQ29" s="545"/>
      <c r="AR29" s="545"/>
      <c r="AS29" s="545"/>
      <c r="AT29" s="545"/>
      <c r="AU29" s="545"/>
      <c r="AV29" s="545"/>
      <c r="AW29" s="545"/>
      <c r="AX29" s="546"/>
      <c r="AY29" s="544"/>
      <c r="AZ29" s="545"/>
      <c r="BA29" s="545"/>
      <c r="BB29" s="545"/>
      <c r="BC29" s="545"/>
      <c r="BD29" s="545"/>
      <c r="BE29" s="545"/>
      <c r="BF29" s="545"/>
      <c r="BG29" s="545"/>
      <c r="BH29" s="545"/>
      <c r="BI29" s="545"/>
      <c r="BJ29" s="545"/>
      <c r="BK29" s="545"/>
      <c r="BL29" s="545"/>
      <c r="BM29" s="545"/>
      <c r="BN29" s="545"/>
      <c r="BO29" s="545"/>
      <c r="BP29" s="546"/>
      <c r="BQ29" s="544"/>
      <c r="BR29" s="545"/>
      <c r="BS29" s="545"/>
      <c r="BT29" s="545"/>
      <c r="BU29" s="545"/>
      <c r="BV29" s="545"/>
      <c r="BW29" s="545"/>
      <c r="BX29" s="545"/>
      <c r="BY29" s="545"/>
      <c r="BZ29" s="545"/>
      <c r="CA29" s="545"/>
      <c r="CB29" s="545"/>
      <c r="CC29" s="545"/>
      <c r="CD29" s="545"/>
      <c r="CE29" s="545"/>
      <c r="CF29" s="545"/>
      <c r="CG29" s="545"/>
      <c r="CH29" s="546"/>
      <c r="CI29" s="627"/>
      <c r="CJ29" s="628"/>
      <c r="CK29" s="628"/>
      <c r="CL29" s="628"/>
      <c r="CM29" s="628"/>
      <c r="CN29" s="628"/>
      <c r="CO29" s="628"/>
      <c r="CP29" s="628"/>
      <c r="CQ29" s="628"/>
      <c r="CR29" s="628"/>
      <c r="CS29" s="628"/>
      <c r="CT29" s="628"/>
      <c r="CU29" s="628"/>
      <c r="CV29" s="628"/>
      <c r="CW29" s="628"/>
      <c r="CX29" s="628"/>
      <c r="CY29" s="628"/>
      <c r="CZ29" s="629"/>
      <c r="DA29" s="214"/>
    </row>
    <row r="30" spans="1:106" s="16" customFormat="1" ht="2.25" hidden="1" customHeight="1" x14ac:dyDescent="0.3">
      <c r="A30" s="633" t="s">
        <v>292</v>
      </c>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5"/>
      <c r="AD30" s="544" t="s">
        <v>4</v>
      </c>
      <c r="AE30" s="545"/>
      <c r="AF30" s="545"/>
      <c r="AG30" s="545"/>
      <c r="AH30" s="545"/>
      <c r="AI30" s="545"/>
      <c r="AJ30" s="545"/>
      <c r="AK30" s="545"/>
      <c r="AL30" s="545"/>
      <c r="AM30" s="545"/>
      <c r="AN30" s="545"/>
      <c r="AO30" s="545"/>
      <c r="AP30" s="545"/>
      <c r="AQ30" s="545"/>
      <c r="AR30" s="545"/>
      <c r="AS30" s="545"/>
      <c r="AT30" s="545"/>
      <c r="AU30" s="545"/>
      <c r="AV30" s="545"/>
      <c r="AW30" s="545"/>
      <c r="AX30" s="546"/>
      <c r="AY30" s="544" t="s">
        <v>4</v>
      </c>
      <c r="AZ30" s="545"/>
      <c r="BA30" s="545"/>
      <c r="BB30" s="545"/>
      <c r="BC30" s="545"/>
      <c r="BD30" s="545"/>
      <c r="BE30" s="545"/>
      <c r="BF30" s="545"/>
      <c r="BG30" s="545"/>
      <c r="BH30" s="545"/>
      <c r="BI30" s="545"/>
      <c r="BJ30" s="545"/>
      <c r="BK30" s="545"/>
      <c r="BL30" s="545"/>
      <c r="BM30" s="545"/>
      <c r="BN30" s="545"/>
      <c r="BO30" s="545"/>
      <c r="BP30" s="546"/>
      <c r="BQ30" s="544" t="s">
        <v>4</v>
      </c>
      <c r="BR30" s="545"/>
      <c r="BS30" s="545"/>
      <c r="BT30" s="545"/>
      <c r="BU30" s="545"/>
      <c r="BV30" s="545"/>
      <c r="BW30" s="545"/>
      <c r="BX30" s="545"/>
      <c r="BY30" s="545"/>
      <c r="BZ30" s="545"/>
      <c r="CA30" s="545"/>
      <c r="CB30" s="545"/>
      <c r="CC30" s="545"/>
      <c r="CD30" s="545"/>
      <c r="CE30" s="545"/>
      <c r="CF30" s="545"/>
      <c r="CG30" s="545"/>
      <c r="CH30" s="546"/>
      <c r="CI30" s="627"/>
      <c r="CJ30" s="628"/>
      <c r="CK30" s="628"/>
      <c r="CL30" s="628"/>
      <c r="CM30" s="628"/>
      <c r="CN30" s="628"/>
      <c r="CO30" s="628"/>
      <c r="CP30" s="628"/>
      <c r="CQ30" s="628"/>
      <c r="CR30" s="628"/>
      <c r="CS30" s="628"/>
      <c r="CT30" s="628"/>
      <c r="CU30" s="628"/>
      <c r="CV30" s="628"/>
      <c r="CW30" s="628"/>
      <c r="CX30" s="628"/>
      <c r="CY30" s="628"/>
      <c r="CZ30" s="629"/>
      <c r="DA30" s="214"/>
    </row>
    <row r="31" spans="1:106" s="16" customFormat="1" ht="15" hidden="1" customHeight="1" x14ac:dyDescent="0.3">
      <c r="A31" s="630"/>
      <c r="B31" s="631"/>
      <c r="C31" s="631"/>
      <c r="D31" s="631"/>
      <c r="E31" s="631"/>
      <c r="F31" s="632"/>
      <c r="G31" s="553" t="s">
        <v>56</v>
      </c>
      <c r="H31" s="554"/>
      <c r="I31" s="554"/>
      <c r="J31" s="554"/>
      <c r="K31" s="554"/>
      <c r="L31" s="554"/>
      <c r="M31" s="554"/>
      <c r="N31" s="554"/>
      <c r="O31" s="554"/>
      <c r="P31" s="554"/>
      <c r="Q31" s="554"/>
      <c r="R31" s="554"/>
      <c r="S31" s="554"/>
      <c r="T31" s="554"/>
      <c r="U31" s="554"/>
      <c r="V31" s="554"/>
      <c r="W31" s="554"/>
      <c r="X31" s="554"/>
      <c r="Y31" s="554"/>
      <c r="Z31" s="554"/>
      <c r="AA31" s="554"/>
      <c r="AB31" s="554"/>
      <c r="AC31" s="555"/>
      <c r="AD31" s="544" t="s">
        <v>4</v>
      </c>
      <c r="AE31" s="545"/>
      <c r="AF31" s="545"/>
      <c r="AG31" s="545"/>
      <c r="AH31" s="545"/>
      <c r="AI31" s="545"/>
      <c r="AJ31" s="545"/>
      <c r="AK31" s="545"/>
      <c r="AL31" s="545"/>
      <c r="AM31" s="545"/>
      <c r="AN31" s="545"/>
      <c r="AO31" s="545"/>
      <c r="AP31" s="545"/>
      <c r="AQ31" s="545"/>
      <c r="AR31" s="545"/>
      <c r="AS31" s="545"/>
      <c r="AT31" s="545"/>
      <c r="AU31" s="545"/>
      <c r="AV31" s="545"/>
      <c r="AW31" s="545"/>
      <c r="AX31" s="546"/>
      <c r="AY31" s="544" t="s">
        <v>4</v>
      </c>
      <c r="AZ31" s="545"/>
      <c r="BA31" s="545"/>
      <c r="BB31" s="545"/>
      <c r="BC31" s="545"/>
      <c r="BD31" s="545"/>
      <c r="BE31" s="545"/>
      <c r="BF31" s="545"/>
      <c r="BG31" s="545"/>
      <c r="BH31" s="545"/>
      <c r="BI31" s="545"/>
      <c r="BJ31" s="545"/>
      <c r="BK31" s="545"/>
      <c r="BL31" s="545"/>
      <c r="BM31" s="545"/>
      <c r="BN31" s="545"/>
      <c r="BO31" s="545"/>
      <c r="BP31" s="546"/>
      <c r="BQ31" s="544" t="s">
        <v>4</v>
      </c>
      <c r="BR31" s="545"/>
      <c r="BS31" s="545"/>
      <c r="BT31" s="545"/>
      <c r="BU31" s="545"/>
      <c r="BV31" s="545"/>
      <c r="BW31" s="545"/>
      <c r="BX31" s="545"/>
      <c r="BY31" s="545"/>
      <c r="BZ31" s="545"/>
      <c r="CA31" s="545"/>
      <c r="CB31" s="545"/>
      <c r="CC31" s="545"/>
      <c r="CD31" s="545"/>
      <c r="CE31" s="545"/>
      <c r="CF31" s="545"/>
      <c r="CG31" s="545"/>
      <c r="CH31" s="546"/>
      <c r="CI31" s="636">
        <f>CI27</f>
        <v>0</v>
      </c>
      <c r="CJ31" s="654"/>
      <c r="CK31" s="654"/>
      <c r="CL31" s="654"/>
      <c r="CM31" s="654"/>
      <c r="CN31" s="654"/>
      <c r="CO31" s="654"/>
      <c r="CP31" s="654"/>
      <c r="CQ31" s="654"/>
      <c r="CR31" s="654"/>
      <c r="CS31" s="654"/>
      <c r="CT31" s="654"/>
      <c r="CU31" s="654"/>
      <c r="CV31" s="654"/>
      <c r="CW31" s="654"/>
      <c r="CX31" s="654"/>
      <c r="CY31" s="654"/>
      <c r="CZ31" s="655"/>
      <c r="DA31" s="214"/>
    </row>
    <row r="32" spans="1:106" s="16" customFormat="1" ht="40.5" hidden="1" customHeight="1" x14ac:dyDescent="0.3">
      <c r="A32" s="221"/>
      <c r="B32" s="221"/>
      <c r="C32" s="221"/>
      <c r="D32" s="221"/>
      <c r="E32" s="221"/>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14"/>
    </row>
    <row r="33" spans="1:106" s="20" customFormat="1" ht="18" hidden="1" customHeight="1" x14ac:dyDescent="0.25">
      <c r="A33" s="437" t="s">
        <v>305</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214"/>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4"/>
      <c r="DB34" s="16"/>
    </row>
    <row r="35" spans="1:106" s="20" customFormat="1" hidden="1" x14ac:dyDescent="0.25">
      <c r="A35" s="20" t="s">
        <v>47</v>
      </c>
      <c r="W35" s="595" t="s">
        <v>544</v>
      </c>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214"/>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4"/>
      <c r="DB36" s="16"/>
    </row>
    <row r="37" spans="1:106" s="18" customFormat="1" ht="55.5" hidden="1" customHeight="1" x14ac:dyDescent="0.3">
      <c r="A37" s="597" t="s">
        <v>49</v>
      </c>
      <c r="B37" s="598"/>
      <c r="C37" s="598"/>
      <c r="D37" s="598"/>
      <c r="E37" s="598"/>
      <c r="F37" s="599"/>
      <c r="G37" s="475" t="s">
        <v>57</v>
      </c>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7"/>
      <c r="AY37" s="597" t="s">
        <v>59</v>
      </c>
      <c r="AZ37" s="598"/>
      <c r="BA37" s="598"/>
      <c r="BB37" s="598"/>
      <c r="BC37" s="598"/>
      <c r="BD37" s="598"/>
      <c r="BE37" s="598"/>
      <c r="BF37" s="598"/>
      <c r="BG37" s="598"/>
      <c r="BH37" s="598"/>
      <c r="BI37" s="598"/>
      <c r="BJ37" s="598"/>
      <c r="BK37" s="598"/>
      <c r="BL37" s="598"/>
      <c r="BM37" s="598"/>
      <c r="BN37" s="598"/>
      <c r="BO37" s="598"/>
      <c r="BP37" s="599"/>
      <c r="BQ37" s="597" t="s">
        <v>306</v>
      </c>
      <c r="BR37" s="598"/>
      <c r="BS37" s="598"/>
      <c r="BT37" s="598"/>
      <c r="BU37" s="598"/>
      <c r="BV37" s="598"/>
      <c r="BW37" s="598"/>
      <c r="BX37" s="598"/>
      <c r="BY37" s="598"/>
      <c r="BZ37" s="598"/>
      <c r="CA37" s="598"/>
      <c r="CB37" s="598"/>
      <c r="CC37" s="598"/>
      <c r="CD37" s="598"/>
      <c r="CE37" s="598"/>
      <c r="CF37" s="598"/>
      <c r="CG37" s="598"/>
      <c r="CH37" s="599"/>
      <c r="CI37" s="597" t="s">
        <v>61</v>
      </c>
      <c r="CJ37" s="598"/>
      <c r="CK37" s="598"/>
      <c r="CL37" s="598"/>
      <c r="CM37" s="598"/>
      <c r="CN37" s="598"/>
      <c r="CO37" s="598"/>
      <c r="CP37" s="598"/>
      <c r="CQ37" s="598"/>
      <c r="CR37" s="598"/>
      <c r="CS37" s="598"/>
      <c r="CT37" s="598"/>
      <c r="CU37" s="598"/>
      <c r="CV37" s="598"/>
      <c r="CW37" s="598"/>
      <c r="CX37" s="598"/>
      <c r="CY37" s="598"/>
      <c r="CZ37" s="599"/>
      <c r="DA37" s="214"/>
      <c r="DB37" s="16"/>
    </row>
    <row r="38" spans="1:106" s="15" customFormat="1" ht="13.2" hidden="1" x14ac:dyDescent="0.3">
      <c r="A38" s="591">
        <v>1</v>
      </c>
      <c r="B38" s="591"/>
      <c r="C38" s="591"/>
      <c r="D38" s="591"/>
      <c r="E38" s="591"/>
      <c r="F38" s="591"/>
      <c r="G38" s="591">
        <v>2</v>
      </c>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v>3</v>
      </c>
      <c r="AE38" s="591"/>
      <c r="AF38" s="591"/>
      <c r="AG38" s="591"/>
      <c r="AH38" s="591"/>
      <c r="AI38" s="591"/>
      <c r="AJ38" s="591"/>
      <c r="AK38" s="591"/>
      <c r="AL38" s="591"/>
      <c r="AM38" s="591"/>
      <c r="AN38" s="591"/>
      <c r="AO38" s="591"/>
      <c r="AP38" s="591"/>
      <c r="AQ38" s="591"/>
      <c r="AR38" s="591"/>
      <c r="AS38" s="591"/>
      <c r="AT38" s="591"/>
      <c r="AU38" s="591"/>
      <c r="AV38" s="591"/>
      <c r="AW38" s="591"/>
      <c r="AX38" s="591"/>
      <c r="AY38" s="591">
        <v>4</v>
      </c>
      <c r="AZ38" s="591"/>
      <c r="BA38" s="591"/>
      <c r="BB38" s="591"/>
      <c r="BC38" s="591"/>
      <c r="BD38" s="591"/>
      <c r="BE38" s="591"/>
      <c r="BF38" s="591"/>
      <c r="BG38" s="591"/>
      <c r="BH38" s="591"/>
      <c r="BI38" s="591"/>
      <c r="BJ38" s="591"/>
      <c r="BK38" s="591"/>
      <c r="BL38" s="591"/>
      <c r="BM38" s="591"/>
      <c r="BN38" s="591"/>
      <c r="BO38" s="591"/>
      <c r="BP38" s="591"/>
      <c r="BQ38" s="591">
        <v>5</v>
      </c>
      <c r="BR38" s="591"/>
      <c r="BS38" s="591"/>
      <c r="BT38" s="591"/>
      <c r="BU38" s="591"/>
      <c r="BV38" s="591"/>
      <c r="BW38" s="591"/>
      <c r="BX38" s="591"/>
      <c r="BY38" s="591"/>
      <c r="BZ38" s="591"/>
      <c r="CA38" s="591"/>
      <c r="CB38" s="591"/>
      <c r="CC38" s="591"/>
      <c r="CD38" s="591"/>
      <c r="CE38" s="591"/>
      <c r="CF38" s="591"/>
      <c r="CG38" s="591"/>
      <c r="CH38" s="591"/>
      <c r="CI38" s="591">
        <v>6</v>
      </c>
      <c r="CJ38" s="591"/>
      <c r="CK38" s="591"/>
      <c r="CL38" s="591"/>
      <c r="CM38" s="591"/>
      <c r="CN38" s="591"/>
      <c r="CO38" s="591"/>
      <c r="CP38" s="591"/>
      <c r="CQ38" s="591"/>
      <c r="CR38" s="591"/>
      <c r="CS38" s="591"/>
      <c r="CT38" s="591"/>
      <c r="CU38" s="591"/>
      <c r="CV38" s="591"/>
      <c r="CW38" s="591"/>
      <c r="CX38" s="591"/>
      <c r="CY38" s="591"/>
      <c r="CZ38" s="591"/>
      <c r="DA38" s="214"/>
      <c r="DB38" s="16"/>
    </row>
    <row r="39" spans="1:106" s="16" customFormat="1" ht="15" hidden="1" customHeight="1" x14ac:dyDescent="0.3">
      <c r="A39" s="656" t="s">
        <v>537</v>
      </c>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8"/>
      <c r="DA39" s="214"/>
    </row>
    <row r="40" spans="1:106" s="16" customFormat="1" ht="22.5" hidden="1" customHeight="1" x14ac:dyDescent="0.3">
      <c r="A40" s="630" t="s">
        <v>441</v>
      </c>
      <c r="B40" s="631"/>
      <c r="C40" s="631"/>
      <c r="D40" s="631"/>
      <c r="E40" s="631"/>
      <c r="F40" s="632"/>
      <c r="G40" s="475" t="s">
        <v>545</v>
      </c>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7"/>
      <c r="AY40" s="544"/>
      <c r="AZ40" s="545"/>
      <c r="BA40" s="545"/>
      <c r="BB40" s="545"/>
      <c r="BC40" s="545"/>
      <c r="BD40" s="545"/>
      <c r="BE40" s="545"/>
      <c r="BF40" s="545"/>
      <c r="BG40" s="545"/>
      <c r="BH40" s="545"/>
      <c r="BI40" s="545"/>
      <c r="BJ40" s="545"/>
      <c r="BK40" s="545"/>
      <c r="BL40" s="545"/>
      <c r="BM40" s="545"/>
      <c r="BN40" s="545"/>
      <c r="BO40" s="545"/>
      <c r="BP40" s="546"/>
      <c r="BQ40" s="627"/>
      <c r="BR40" s="628"/>
      <c r="BS40" s="628"/>
      <c r="BT40" s="628"/>
      <c r="BU40" s="628"/>
      <c r="BV40" s="628"/>
      <c r="BW40" s="628"/>
      <c r="BX40" s="628"/>
      <c r="BY40" s="628"/>
      <c r="BZ40" s="628"/>
      <c r="CA40" s="628"/>
      <c r="CB40" s="628"/>
      <c r="CC40" s="628"/>
      <c r="CD40" s="628"/>
      <c r="CE40" s="628"/>
      <c r="CF40" s="628"/>
      <c r="CG40" s="628"/>
      <c r="CH40" s="629"/>
      <c r="CI40" s="627"/>
      <c r="CJ40" s="628"/>
      <c r="CK40" s="628"/>
      <c r="CL40" s="628"/>
      <c r="CM40" s="628"/>
      <c r="CN40" s="628"/>
      <c r="CO40" s="628"/>
      <c r="CP40" s="628"/>
      <c r="CQ40" s="628"/>
      <c r="CR40" s="628"/>
      <c r="CS40" s="628"/>
      <c r="CT40" s="628"/>
      <c r="CU40" s="628"/>
      <c r="CV40" s="628"/>
      <c r="CW40" s="628"/>
      <c r="CX40" s="628"/>
      <c r="CY40" s="628"/>
      <c r="CZ40" s="629"/>
      <c r="DA40" s="214"/>
    </row>
    <row r="41" spans="1:106" s="16" customFormat="1" ht="28.5" hidden="1" customHeight="1" x14ac:dyDescent="0.3">
      <c r="A41" s="633" t="s">
        <v>292</v>
      </c>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5"/>
      <c r="AY41" s="544" t="s">
        <v>4</v>
      </c>
      <c r="AZ41" s="545"/>
      <c r="BA41" s="545"/>
      <c r="BB41" s="545"/>
      <c r="BC41" s="545"/>
      <c r="BD41" s="545"/>
      <c r="BE41" s="545"/>
      <c r="BF41" s="545"/>
      <c r="BG41" s="545"/>
      <c r="BH41" s="545"/>
      <c r="BI41" s="545"/>
      <c r="BJ41" s="545"/>
      <c r="BK41" s="545"/>
      <c r="BL41" s="545"/>
      <c r="BM41" s="545"/>
      <c r="BN41" s="545"/>
      <c r="BO41" s="545"/>
      <c r="BP41" s="546"/>
      <c r="BQ41" s="544" t="s">
        <v>4</v>
      </c>
      <c r="BR41" s="545"/>
      <c r="BS41" s="545"/>
      <c r="BT41" s="545"/>
      <c r="BU41" s="545"/>
      <c r="BV41" s="545"/>
      <c r="BW41" s="545"/>
      <c r="BX41" s="545"/>
      <c r="BY41" s="545"/>
      <c r="BZ41" s="545"/>
      <c r="CA41" s="545"/>
      <c r="CB41" s="545"/>
      <c r="CC41" s="545"/>
      <c r="CD41" s="545"/>
      <c r="CE41" s="545"/>
      <c r="CF41" s="545"/>
      <c r="CG41" s="545"/>
      <c r="CH41" s="546"/>
      <c r="CI41" s="636">
        <f>SUM(CI40)</f>
        <v>0</v>
      </c>
      <c r="CJ41" s="654"/>
      <c r="CK41" s="654"/>
      <c r="CL41" s="654"/>
      <c r="CM41" s="654"/>
      <c r="CN41" s="654"/>
      <c r="CO41" s="654"/>
      <c r="CP41" s="654"/>
      <c r="CQ41" s="654"/>
      <c r="CR41" s="654"/>
      <c r="CS41" s="654"/>
      <c r="CT41" s="654"/>
      <c r="CU41" s="654"/>
      <c r="CV41" s="654"/>
      <c r="CW41" s="654"/>
      <c r="CX41" s="654"/>
      <c r="CY41" s="654"/>
      <c r="CZ41" s="655"/>
      <c r="DA41" s="214"/>
    </row>
    <row r="42" spans="1:106" s="16" customFormat="1" ht="15" hidden="1" customHeight="1" x14ac:dyDescent="0.3">
      <c r="A42" s="656" t="s">
        <v>258</v>
      </c>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657"/>
      <c r="CZ42" s="658"/>
      <c r="DA42" s="214"/>
    </row>
    <row r="43" spans="1:106" s="16" customFormat="1" ht="23.25" hidden="1" customHeight="1" x14ac:dyDescent="0.3">
      <c r="A43" s="630"/>
      <c r="B43" s="631"/>
      <c r="C43" s="631"/>
      <c r="D43" s="631"/>
      <c r="E43" s="631"/>
      <c r="F43" s="632"/>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7"/>
      <c r="AY43" s="544"/>
      <c r="AZ43" s="545"/>
      <c r="BA43" s="545"/>
      <c r="BB43" s="545"/>
      <c r="BC43" s="545"/>
      <c r="BD43" s="545"/>
      <c r="BE43" s="545"/>
      <c r="BF43" s="545"/>
      <c r="BG43" s="545"/>
      <c r="BH43" s="545"/>
      <c r="BI43" s="545"/>
      <c r="BJ43" s="545"/>
      <c r="BK43" s="545"/>
      <c r="BL43" s="545"/>
      <c r="BM43" s="545"/>
      <c r="BN43" s="545"/>
      <c r="BO43" s="545"/>
      <c r="BP43" s="546"/>
      <c r="BQ43" s="544"/>
      <c r="BR43" s="545"/>
      <c r="BS43" s="545"/>
      <c r="BT43" s="545"/>
      <c r="BU43" s="545"/>
      <c r="BV43" s="545"/>
      <c r="BW43" s="545"/>
      <c r="BX43" s="545"/>
      <c r="BY43" s="545"/>
      <c r="BZ43" s="545"/>
      <c r="CA43" s="545"/>
      <c r="CB43" s="545"/>
      <c r="CC43" s="545"/>
      <c r="CD43" s="545"/>
      <c r="CE43" s="545"/>
      <c r="CF43" s="545"/>
      <c r="CG43" s="545"/>
      <c r="CH43" s="546"/>
      <c r="CI43" s="627"/>
      <c r="CJ43" s="628"/>
      <c r="CK43" s="628"/>
      <c r="CL43" s="628"/>
      <c r="CM43" s="628"/>
      <c r="CN43" s="628"/>
      <c r="CO43" s="628"/>
      <c r="CP43" s="628"/>
      <c r="CQ43" s="628"/>
      <c r="CR43" s="628"/>
      <c r="CS43" s="628"/>
      <c r="CT43" s="628"/>
      <c r="CU43" s="628"/>
      <c r="CV43" s="628"/>
      <c r="CW43" s="628"/>
      <c r="CX43" s="628"/>
      <c r="CY43" s="628"/>
      <c r="CZ43" s="629"/>
      <c r="DA43" s="214"/>
    </row>
    <row r="44" spans="1:106" s="16" customFormat="1" ht="24" hidden="1" customHeight="1" x14ac:dyDescent="0.3">
      <c r="A44" s="633" t="s">
        <v>292</v>
      </c>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5"/>
      <c r="AY44" s="544" t="s">
        <v>4</v>
      </c>
      <c r="AZ44" s="545"/>
      <c r="BA44" s="545"/>
      <c r="BB44" s="545"/>
      <c r="BC44" s="545"/>
      <c r="BD44" s="545"/>
      <c r="BE44" s="545"/>
      <c r="BF44" s="545"/>
      <c r="BG44" s="545"/>
      <c r="BH44" s="545"/>
      <c r="BI44" s="545"/>
      <c r="BJ44" s="545"/>
      <c r="BK44" s="545"/>
      <c r="BL44" s="545"/>
      <c r="BM44" s="545"/>
      <c r="BN44" s="545"/>
      <c r="BO44" s="545"/>
      <c r="BP44" s="546"/>
      <c r="BQ44" s="544" t="s">
        <v>4</v>
      </c>
      <c r="BR44" s="545"/>
      <c r="BS44" s="545"/>
      <c r="BT44" s="545"/>
      <c r="BU44" s="545"/>
      <c r="BV44" s="545"/>
      <c r="BW44" s="545"/>
      <c r="BX44" s="545"/>
      <c r="BY44" s="545"/>
      <c r="BZ44" s="545"/>
      <c r="CA44" s="545"/>
      <c r="CB44" s="545"/>
      <c r="CC44" s="545"/>
      <c r="CD44" s="545"/>
      <c r="CE44" s="545"/>
      <c r="CF44" s="545"/>
      <c r="CG44" s="545"/>
      <c r="CH44" s="546"/>
      <c r="CI44" s="627"/>
      <c r="CJ44" s="628"/>
      <c r="CK44" s="628"/>
      <c r="CL44" s="628"/>
      <c r="CM44" s="628"/>
      <c r="CN44" s="628"/>
      <c r="CO44" s="628"/>
      <c r="CP44" s="628"/>
      <c r="CQ44" s="628"/>
      <c r="CR44" s="628"/>
      <c r="CS44" s="628"/>
      <c r="CT44" s="628"/>
      <c r="CU44" s="628"/>
      <c r="CV44" s="628"/>
      <c r="CW44" s="628"/>
      <c r="CX44" s="628"/>
      <c r="CY44" s="628"/>
      <c r="CZ44" s="629"/>
      <c r="DA44" s="214"/>
    </row>
    <row r="45" spans="1:106" s="16" customFormat="1" ht="18.75" hidden="1" customHeight="1" x14ac:dyDescent="0.3">
      <c r="A45" s="630"/>
      <c r="B45" s="631"/>
      <c r="C45" s="631"/>
      <c r="D45" s="631"/>
      <c r="E45" s="631"/>
      <c r="F45" s="632"/>
      <c r="G45" s="630" t="s">
        <v>56</v>
      </c>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2"/>
      <c r="AY45" s="544" t="s">
        <v>4</v>
      </c>
      <c r="AZ45" s="545"/>
      <c r="BA45" s="545"/>
      <c r="BB45" s="545"/>
      <c r="BC45" s="545"/>
      <c r="BD45" s="545"/>
      <c r="BE45" s="545"/>
      <c r="BF45" s="545"/>
      <c r="BG45" s="545"/>
      <c r="BH45" s="545"/>
      <c r="BI45" s="545"/>
      <c r="BJ45" s="545"/>
      <c r="BK45" s="545"/>
      <c r="BL45" s="545"/>
      <c r="BM45" s="545"/>
      <c r="BN45" s="545"/>
      <c r="BO45" s="545"/>
      <c r="BP45" s="546"/>
      <c r="BQ45" s="544" t="s">
        <v>4</v>
      </c>
      <c r="BR45" s="545"/>
      <c r="BS45" s="545"/>
      <c r="BT45" s="545"/>
      <c r="BU45" s="545"/>
      <c r="BV45" s="545"/>
      <c r="BW45" s="545"/>
      <c r="BX45" s="545"/>
      <c r="BY45" s="545"/>
      <c r="BZ45" s="545"/>
      <c r="CA45" s="545"/>
      <c r="CB45" s="545"/>
      <c r="CC45" s="545"/>
      <c r="CD45" s="545"/>
      <c r="CE45" s="545"/>
      <c r="CF45" s="545"/>
      <c r="CG45" s="545"/>
      <c r="CH45" s="546"/>
      <c r="CI45" s="636">
        <f>CI41+CI44</f>
        <v>0</v>
      </c>
      <c r="CJ45" s="654"/>
      <c r="CK45" s="654"/>
      <c r="CL45" s="654"/>
      <c r="CM45" s="654"/>
      <c r="CN45" s="654"/>
      <c r="CO45" s="654"/>
      <c r="CP45" s="654"/>
      <c r="CQ45" s="654"/>
      <c r="CR45" s="654"/>
      <c r="CS45" s="654"/>
      <c r="CT45" s="654"/>
      <c r="CU45" s="654"/>
      <c r="CV45" s="654"/>
      <c r="CW45" s="654"/>
      <c r="CX45" s="654"/>
      <c r="CY45" s="654"/>
      <c r="CZ45" s="655"/>
      <c r="DA45" s="214"/>
    </row>
    <row r="46" spans="1:106" s="16" customFormat="1" ht="18.75" hidden="1" customHeight="1" x14ac:dyDescent="0.25">
      <c r="A46" s="594" t="s">
        <v>276</v>
      </c>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214"/>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214"/>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4"/>
    </row>
    <row r="49" spans="1:106" s="16" customFormat="1" ht="36" hidden="1" customHeight="1" x14ac:dyDescent="0.3">
      <c r="A49" s="597" t="s">
        <v>49</v>
      </c>
      <c r="B49" s="598"/>
      <c r="C49" s="598"/>
      <c r="D49" s="598"/>
      <c r="E49" s="598"/>
      <c r="F49" s="599"/>
      <c r="G49" s="597" t="s">
        <v>57</v>
      </c>
      <c r="H49" s="598"/>
      <c r="I49" s="598"/>
      <c r="J49" s="598"/>
      <c r="K49" s="598"/>
      <c r="L49" s="598"/>
      <c r="M49" s="598"/>
      <c r="N49" s="598"/>
      <c r="O49" s="598"/>
      <c r="P49" s="598"/>
      <c r="Q49" s="598"/>
      <c r="R49" s="598"/>
      <c r="S49" s="598"/>
      <c r="T49" s="598"/>
      <c r="U49" s="598"/>
      <c r="V49" s="598"/>
      <c r="W49" s="598"/>
      <c r="X49" s="598"/>
      <c r="Y49" s="598"/>
      <c r="Z49" s="598"/>
      <c r="AA49" s="598"/>
      <c r="AB49" s="598"/>
      <c r="AC49" s="599"/>
      <c r="AD49" s="597" t="s">
        <v>293</v>
      </c>
      <c r="AE49" s="598"/>
      <c r="AF49" s="598"/>
      <c r="AG49" s="598"/>
      <c r="AH49" s="598"/>
      <c r="AI49" s="598"/>
      <c r="AJ49" s="598"/>
      <c r="AK49" s="598"/>
      <c r="AL49" s="598"/>
      <c r="AM49" s="598"/>
      <c r="AN49" s="598"/>
      <c r="AO49" s="598"/>
      <c r="AP49" s="598"/>
      <c r="AQ49" s="598"/>
      <c r="AR49" s="598"/>
      <c r="AS49" s="598"/>
      <c r="AT49" s="598"/>
      <c r="AU49" s="598"/>
      <c r="AV49" s="598"/>
      <c r="AW49" s="598"/>
      <c r="AX49" s="599"/>
      <c r="AY49" s="597" t="s">
        <v>62</v>
      </c>
      <c r="AZ49" s="598"/>
      <c r="BA49" s="598"/>
      <c r="BB49" s="598"/>
      <c r="BC49" s="598"/>
      <c r="BD49" s="598"/>
      <c r="BE49" s="598"/>
      <c r="BF49" s="598"/>
      <c r="BG49" s="598"/>
      <c r="BH49" s="598"/>
      <c r="BI49" s="598"/>
      <c r="BJ49" s="598"/>
      <c r="BK49" s="598"/>
      <c r="BL49" s="598"/>
      <c r="BM49" s="598"/>
      <c r="BN49" s="598"/>
      <c r="BO49" s="598"/>
      <c r="BP49" s="599"/>
      <c r="BQ49" s="597" t="s">
        <v>63</v>
      </c>
      <c r="BR49" s="598"/>
      <c r="BS49" s="598"/>
      <c r="BT49" s="598"/>
      <c r="BU49" s="598"/>
      <c r="BV49" s="598"/>
      <c r="BW49" s="598"/>
      <c r="BX49" s="598"/>
      <c r="BY49" s="598"/>
      <c r="BZ49" s="598"/>
      <c r="CA49" s="598"/>
      <c r="CB49" s="598"/>
      <c r="CC49" s="598"/>
      <c r="CD49" s="598"/>
      <c r="CE49" s="598"/>
      <c r="CF49" s="598"/>
      <c r="CG49" s="598"/>
      <c r="CH49" s="599"/>
      <c r="CI49" s="597" t="s">
        <v>61</v>
      </c>
      <c r="CJ49" s="598"/>
      <c r="CK49" s="598"/>
      <c r="CL49" s="598"/>
      <c r="CM49" s="598"/>
      <c r="CN49" s="598"/>
      <c r="CO49" s="598"/>
      <c r="CP49" s="598"/>
      <c r="CQ49" s="598"/>
      <c r="CR49" s="598"/>
      <c r="CS49" s="598"/>
      <c r="CT49" s="598"/>
      <c r="CU49" s="598"/>
      <c r="CV49" s="598"/>
      <c r="CW49" s="598"/>
      <c r="CX49" s="598"/>
      <c r="CY49" s="598"/>
      <c r="CZ49" s="599"/>
      <c r="DA49" s="214"/>
    </row>
    <row r="50" spans="1:106" s="16" customFormat="1" ht="12" hidden="1" customHeight="1" x14ac:dyDescent="0.3">
      <c r="A50" s="591">
        <v>1</v>
      </c>
      <c r="B50" s="591"/>
      <c r="C50" s="591"/>
      <c r="D50" s="591"/>
      <c r="E50" s="591"/>
      <c r="F50" s="591"/>
      <c r="G50" s="591">
        <v>2</v>
      </c>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v>3</v>
      </c>
      <c r="AE50" s="591"/>
      <c r="AF50" s="591"/>
      <c r="AG50" s="591"/>
      <c r="AH50" s="591"/>
      <c r="AI50" s="591"/>
      <c r="AJ50" s="591"/>
      <c r="AK50" s="591"/>
      <c r="AL50" s="591"/>
      <c r="AM50" s="591"/>
      <c r="AN50" s="591"/>
      <c r="AO50" s="591"/>
      <c r="AP50" s="591"/>
      <c r="AQ50" s="591"/>
      <c r="AR50" s="591"/>
      <c r="AS50" s="591"/>
      <c r="AT50" s="591"/>
      <c r="AU50" s="591"/>
      <c r="AV50" s="591"/>
      <c r="AW50" s="591"/>
      <c r="AX50" s="591"/>
      <c r="AY50" s="591">
        <v>4</v>
      </c>
      <c r="AZ50" s="591"/>
      <c r="BA50" s="591"/>
      <c r="BB50" s="591"/>
      <c r="BC50" s="591"/>
      <c r="BD50" s="591"/>
      <c r="BE50" s="591"/>
      <c r="BF50" s="591"/>
      <c r="BG50" s="591"/>
      <c r="BH50" s="591"/>
      <c r="BI50" s="591"/>
      <c r="BJ50" s="591"/>
      <c r="BK50" s="591"/>
      <c r="BL50" s="591"/>
      <c r="BM50" s="591"/>
      <c r="BN50" s="591"/>
      <c r="BO50" s="591"/>
      <c r="BP50" s="591"/>
      <c r="BQ50" s="591">
        <v>5</v>
      </c>
      <c r="BR50" s="591"/>
      <c r="BS50" s="591"/>
      <c r="BT50" s="591"/>
      <c r="BU50" s="591"/>
      <c r="BV50" s="591"/>
      <c r="BW50" s="591"/>
      <c r="BX50" s="591"/>
      <c r="BY50" s="591"/>
      <c r="BZ50" s="591"/>
      <c r="CA50" s="591"/>
      <c r="CB50" s="591"/>
      <c r="CC50" s="591"/>
      <c r="CD50" s="591"/>
      <c r="CE50" s="591"/>
      <c r="CF50" s="591"/>
      <c r="CG50" s="591"/>
      <c r="CH50" s="591"/>
      <c r="CI50" s="591">
        <v>6</v>
      </c>
      <c r="CJ50" s="591"/>
      <c r="CK50" s="591"/>
      <c r="CL50" s="591"/>
      <c r="CM50" s="591"/>
      <c r="CN50" s="591"/>
      <c r="CO50" s="591"/>
      <c r="CP50" s="591"/>
      <c r="CQ50" s="591"/>
      <c r="CR50" s="591"/>
      <c r="CS50" s="591"/>
      <c r="CT50" s="591"/>
      <c r="CU50" s="591"/>
      <c r="CV50" s="591"/>
      <c r="CW50" s="591"/>
      <c r="CX50" s="591"/>
      <c r="CY50" s="591"/>
      <c r="CZ50" s="591"/>
      <c r="DA50" s="214"/>
    </row>
    <row r="51" spans="1:106" s="16" customFormat="1" ht="18.75" hidden="1" customHeight="1" x14ac:dyDescent="0.3">
      <c r="A51" s="656" t="s">
        <v>258</v>
      </c>
      <c r="B51" s="65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57"/>
      <c r="BQ51" s="657"/>
      <c r="BR51" s="657"/>
      <c r="BS51" s="657"/>
      <c r="BT51" s="657"/>
      <c r="BU51" s="657"/>
      <c r="BV51" s="657"/>
      <c r="BW51" s="657"/>
      <c r="BX51" s="657"/>
      <c r="BY51" s="657"/>
      <c r="BZ51" s="657"/>
      <c r="CA51" s="657"/>
      <c r="CB51" s="657"/>
      <c r="CC51" s="657"/>
      <c r="CD51" s="657"/>
      <c r="CE51" s="657"/>
      <c r="CF51" s="657"/>
      <c r="CG51" s="657"/>
      <c r="CH51" s="657"/>
      <c r="CI51" s="657"/>
      <c r="CJ51" s="657"/>
      <c r="CK51" s="657"/>
      <c r="CL51" s="657"/>
      <c r="CM51" s="657"/>
      <c r="CN51" s="657"/>
      <c r="CO51" s="657"/>
      <c r="CP51" s="657"/>
      <c r="CQ51" s="657"/>
      <c r="CR51" s="657"/>
      <c r="CS51" s="657"/>
      <c r="CT51" s="657"/>
      <c r="CU51" s="657"/>
      <c r="CV51" s="657"/>
      <c r="CW51" s="657"/>
      <c r="CX51" s="657"/>
      <c r="CY51" s="657"/>
      <c r="CZ51" s="658"/>
      <c r="DA51" s="214"/>
    </row>
    <row r="52" spans="1:106" s="16" customFormat="1" ht="18.75" hidden="1" customHeight="1" x14ac:dyDescent="0.3">
      <c r="A52" s="630"/>
      <c r="B52" s="631"/>
      <c r="C52" s="631"/>
      <c r="D52" s="631"/>
      <c r="E52" s="631"/>
      <c r="F52" s="632"/>
      <c r="G52" s="584"/>
      <c r="H52" s="585"/>
      <c r="I52" s="585"/>
      <c r="J52" s="585"/>
      <c r="K52" s="585"/>
      <c r="L52" s="585"/>
      <c r="M52" s="585"/>
      <c r="N52" s="585"/>
      <c r="O52" s="585"/>
      <c r="P52" s="585"/>
      <c r="Q52" s="585"/>
      <c r="R52" s="585"/>
      <c r="S52" s="585"/>
      <c r="T52" s="585"/>
      <c r="U52" s="585"/>
      <c r="V52" s="585"/>
      <c r="W52" s="585"/>
      <c r="X52" s="585"/>
      <c r="Y52" s="585"/>
      <c r="Z52" s="585"/>
      <c r="AA52" s="585"/>
      <c r="AB52" s="585"/>
      <c r="AC52" s="586"/>
      <c r="AD52" s="544"/>
      <c r="AE52" s="545"/>
      <c r="AF52" s="545"/>
      <c r="AG52" s="545"/>
      <c r="AH52" s="545"/>
      <c r="AI52" s="545"/>
      <c r="AJ52" s="545"/>
      <c r="AK52" s="545"/>
      <c r="AL52" s="545"/>
      <c r="AM52" s="545"/>
      <c r="AN52" s="545"/>
      <c r="AO52" s="545"/>
      <c r="AP52" s="545"/>
      <c r="AQ52" s="545"/>
      <c r="AR52" s="545"/>
      <c r="AS52" s="545"/>
      <c r="AT52" s="545"/>
      <c r="AU52" s="545"/>
      <c r="AV52" s="545"/>
      <c r="AW52" s="545"/>
      <c r="AX52" s="546"/>
      <c r="AY52" s="544"/>
      <c r="AZ52" s="545"/>
      <c r="BA52" s="545"/>
      <c r="BB52" s="545"/>
      <c r="BC52" s="545"/>
      <c r="BD52" s="545"/>
      <c r="BE52" s="545"/>
      <c r="BF52" s="545"/>
      <c r="BG52" s="545"/>
      <c r="BH52" s="545"/>
      <c r="BI52" s="545"/>
      <c r="BJ52" s="545"/>
      <c r="BK52" s="545"/>
      <c r="BL52" s="545"/>
      <c r="BM52" s="545"/>
      <c r="BN52" s="545"/>
      <c r="BO52" s="545"/>
      <c r="BP52" s="546"/>
      <c r="BQ52" s="544"/>
      <c r="BR52" s="545"/>
      <c r="BS52" s="545"/>
      <c r="BT52" s="545"/>
      <c r="BU52" s="545"/>
      <c r="BV52" s="545"/>
      <c r="BW52" s="545"/>
      <c r="BX52" s="545"/>
      <c r="BY52" s="545"/>
      <c r="BZ52" s="545"/>
      <c r="CA52" s="545"/>
      <c r="CB52" s="545"/>
      <c r="CC52" s="545"/>
      <c r="CD52" s="545"/>
      <c r="CE52" s="545"/>
      <c r="CF52" s="545"/>
      <c r="CG52" s="545"/>
      <c r="CH52" s="546"/>
      <c r="CI52" s="544"/>
      <c r="CJ52" s="545"/>
      <c r="CK52" s="545"/>
      <c r="CL52" s="545"/>
      <c r="CM52" s="545"/>
      <c r="CN52" s="545"/>
      <c r="CO52" s="545"/>
      <c r="CP52" s="545"/>
      <c r="CQ52" s="545"/>
      <c r="CR52" s="545"/>
      <c r="CS52" s="545"/>
      <c r="CT52" s="545"/>
      <c r="CU52" s="545"/>
      <c r="CV52" s="545"/>
      <c r="CW52" s="545"/>
      <c r="CX52" s="545"/>
      <c r="CY52" s="545"/>
      <c r="CZ52" s="546"/>
      <c r="DA52" s="214"/>
    </row>
    <row r="53" spans="1:106" s="16" customFormat="1" ht="24" hidden="1" customHeight="1" x14ac:dyDescent="0.3">
      <c r="A53" s="633" t="s">
        <v>292</v>
      </c>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5"/>
      <c r="AD53" s="544" t="s">
        <v>4</v>
      </c>
      <c r="AE53" s="545"/>
      <c r="AF53" s="545"/>
      <c r="AG53" s="545"/>
      <c r="AH53" s="545"/>
      <c r="AI53" s="545"/>
      <c r="AJ53" s="545"/>
      <c r="AK53" s="545"/>
      <c r="AL53" s="545"/>
      <c r="AM53" s="545"/>
      <c r="AN53" s="545"/>
      <c r="AO53" s="545"/>
      <c r="AP53" s="545"/>
      <c r="AQ53" s="545"/>
      <c r="AR53" s="545"/>
      <c r="AS53" s="545"/>
      <c r="AT53" s="545"/>
      <c r="AU53" s="545"/>
      <c r="AV53" s="545"/>
      <c r="AW53" s="545"/>
      <c r="AX53" s="546"/>
      <c r="AY53" s="544" t="s">
        <v>4</v>
      </c>
      <c r="AZ53" s="545"/>
      <c r="BA53" s="545"/>
      <c r="BB53" s="545"/>
      <c r="BC53" s="545"/>
      <c r="BD53" s="545"/>
      <c r="BE53" s="545"/>
      <c r="BF53" s="545"/>
      <c r="BG53" s="545"/>
      <c r="BH53" s="545"/>
      <c r="BI53" s="545"/>
      <c r="BJ53" s="545"/>
      <c r="BK53" s="545"/>
      <c r="BL53" s="545"/>
      <c r="BM53" s="545"/>
      <c r="BN53" s="545"/>
      <c r="BO53" s="545"/>
      <c r="BP53" s="546"/>
      <c r="BQ53" s="544" t="s">
        <v>4</v>
      </c>
      <c r="BR53" s="545"/>
      <c r="BS53" s="545"/>
      <c r="BT53" s="545"/>
      <c r="BU53" s="545"/>
      <c r="BV53" s="545"/>
      <c r="BW53" s="545"/>
      <c r="BX53" s="545"/>
      <c r="BY53" s="545"/>
      <c r="BZ53" s="545"/>
      <c r="CA53" s="545"/>
      <c r="CB53" s="545"/>
      <c r="CC53" s="545"/>
      <c r="CD53" s="545"/>
      <c r="CE53" s="545"/>
      <c r="CF53" s="545"/>
      <c r="CG53" s="545"/>
      <c r="CH53" s="546"/>
      <c r="CI53" s="544"/>
      <c r="CJ53" s="545"/>
      <c r="CK53" s="545"/>
      <c r="CL53" s="545"/>
      <c r="CM53" s="545"/>
      <c r="CN53" s="545"/>
      <c r="CO53" s="545"/>
      <c r="CP53" s="545"/>
      <c r="CQ53" s="545"/>
      <c r="CR53" s="545"/>
      <c r="CS53" s="545"/>
      <c r="CT53" s="545"/>
      <c r="CU53" s="545"/>
      <c r="CV53" s="545"/>
      <c r="CW53" s="545"/>
      <c r="CX53" s="545"/>
      <c r="CY53" s="545"/>
      <c r="CZ53" s="546"/>
      <c r="DA53" s="214"/>
    </row>
    <row r="54" spans="1:106" s="16" customFormat="1" ht="18.75" hidden="1" customHeight="1" x14ac:dyDescent="0.3">
      <c r="A54" s="656" t="s">
        <v>258</v>
      </c>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57"/>
      <c r="BQ54" s="657"/>
      <c r="BR54" s="657"/>
      <c r="BS54" s="657"/>
      <c r="BT54" s="657"/>
      <c r="BU54" s="657"/>
      <c r="BV54" s="657"/>
      <c r="BW54" s="657"/>
      <c r="BX54" s="657"/>
      <c r="BY54" s="657"/>
      <c r="BZ54" s="657"/>
      <c r="CA54" s="657"/>
      <c r="CB54" s="657"/>
      <c r="CC54" s="657"/>
      <c r="CD54" s="657"/>
      <c r="CE54" s="657"/>
      <c r="CF54" s="657"/>
      <c r="CG54" s="657"/>
      <c r="CH54" s="657"/>
      <c r="CI54" s="657"/>
      <c r="CJ54" s="657"/>
      <c r="CK54" s="657"/>
      <c r="CL54" s="657"/>
      <c r="CM54" s="657"/>
      <c r="CN54" s="657"/>
      <c r="CO54" s="657"/>
      <c r="CP54" s="657"/>
      <c r="CQ54" s="657"/>
      <c r="CR54" s="657"/>
      <c r="CS54" s="657"/>
      <c r="CT54" s="657"/>
      <c r="CU54" s="657"/>
      <c r="CV54" s="657"/>
      <c r="CW54" s="657"/>
      <c r="CX54" s="657"/>
      <c r="CY54" s="657"/>
      <c r="CZ54" s="658"/>
      <c r="DA54" s="214"/>
    </row>
    <row r="55" spans="1:106" s="16" customFormat="1" ht="18.75" hidden="1" customHeight="1" x14ac:dyDescent="0.3">
      <c r="A55" s="630"/>
      <c r="B55" s="631"/>
      <c r="C55" s="631"/>
      <c r="D55" s="631"/>
      <c r="E55" s="631"/>
      <c r="F55" s="632"/>
      <c r="G55" s="584"/>
      <c r="H55" s="585"/>
      <c r="I55" s="585"/>
      <c r="J55" s="585"/>
      <c r="K55" s="585"/>
      <c r="L55" s="585"/>
      <c r="M55" s="585"/>
      <c r="N55" s="585"/>
      <c r="O55" s="585"/>
      <c r="P55" s="585"/>
      <c r="Q55" s="585"/>
      <c r="R55" s="585"/>
      <c r="S55" s="585"/>
      <c r="T55" s="585"/>
      <c r="U55" s="585"/>
      <c r="V55" s="585"/>
      <c r="W55" s="585"/>
      <c r="X55" s="585"/>
      <c r="Y55" s="585"/>
      <c r="Z55" s="585"/>
      <c r="AA55" s="585"/>
      <c r="AB55" s="585"/>
      <c r="AC55" s="586"/>
      <c r="AD55" s="544"/>
      <c r="AE55" s="545"/>
      <c r="AF55" s="545"/>
      <c r="AG55" s="545"/>
      <c r="AH55" s="545"/>
      <c r="AI55" s="545"/>
      <c r="AJ55" s="545"/>
      <c r="AK55" s="545"/>
      <c r="AL55" s="545"/>
      <c r="AM55" s="545"/>
      <c r="AN55" s="545"/>
      <c r="AO55" s="545"/>
      <c r="AP55" s="545"/>
      <c r="AQ55" s="545"/>
      <c r="AR55" s="545"/>
      <c r="AS55" s="545"/>
      <c r="AT55" s="545"/>
      <c r="AU55" s="545"/>
      <c r="AV55" s="545"/>
      <c r="AW55" s="545"/>
      <c r="AX55" s="546"/>
      <c r="AY55" s="544"/>
      <c r="AZ55" s="545"/>
      <c r="BA55" s="545"/>
      <c r="BB55" s="545"/>
      <c r="BC55" s="545"/>
      <c r="BD55" s="545"/>
      <c r="BE55" s="545"/>
      <c r="BF55" s="545"/>
      <c r="BG55" s="545"/>
      <c r="BH55" s="545"/>
      <c r="BI55" s="545"/>
      <c r="BJ55" s="545"/>
      <c r="BK55" s="545"/>
      <c r="BL55" s="545"/>
      <c r="BM55" s="545"/>
      <c r="BN55" s="545"/>
      <c r="BO55" s="545"/>
      <c r="BP55" s="546"/>
      <c r="BQ55" s="544"/>
      <c r="BR55" s="545"/>
      <c r="BS55" s="545"/>
      <c r="BT55" s="545"/>
      <c r="BU55" s="545"/>
      <c r="BV55" s="545"/>
      <c r="BW55" s="545"/>
      <c r="BX55" s="545"/>
      <c r="BY55" s="545"/>
      <c r="BZ55" s="545"/>
      <c r="CA55" s="545"/>
      <c r="CB55" s="545"/>
      <c r="CC55" s="545"/>
      <c r="CD55" s="545"/>
      <c r="CE55" s="545"/>
      <c r="CF55" s="545"/>
      <c r="CG55" s="545"/>
      <c r="CH55" s="546"/>
      <c r="CI55" s="544"/>
      <c r="CJ55" s="545"/>
      <c r="CK55" s="545"/>
      <c r="CL55" s="545"/>
      <c r="CM55" s="545"/>
      <c r="CN55" s="545"/>
      <c r="CO55" s="545"/>
      <c r="CP55" s="545"/>
      <c r="CQ55" s="545"/>
      <c r="CR55" s="545"/>
      <c r="CS55" s="545"/>
      <c r="CT55" s="545"/>
      <c r="CU55" s="545"/>
      <c r="CV55" s="545"/>
      <c r="CW55" s="545"/>
      <c r="CX55" s="545"/>
      <c r="CY55" s="545"/>
      <c r="CZ55" s="546"/>
      <c r="DA55" s="214"/>
    </row>
    <row r="56" spans="1:106" s="16" customFormat="1" ht="23.4" hidden="1" customHeight="1" x14ac:dyDescent="0.3">
      <c r="A56" s="633" t="s">
        <v>292</v>
      </c>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5"/>
      <c r="AD56" s="544" t="s">
        <v>4</v>
      </c>
      <c r="AE56" s="545"/>
      <c r="AF56" s="545"/>
      <c r="AG56" s="545"/>
      <c r="AH56" s="545"/>
      <c r="AI56" s="545"/>
      <c r="AJ56" s="545"/>
      <c r="AK56" s="545"/>
      <c r="AL56" s="545"/>
      <c r="AM56" s="545"/>
      <c r="AN56" s="545"/>
      <c r="AO56" s="545"/>
      <c r="AP56" s="545"/>
      <c r="AQ56" s="545"/>
      <c r="AR56" s="545"/>
      <c r="AS56" s="545"/>
      <c r="AT56" s="545"/>
      <c r="AU56" s="545"/>
      <c r="AV56" s="545"/>
      <c r="AW56" s="545"/>
      <c r="AX56" s="546"/>
      <c r="AY56" s="544" t="s">
        <v>4</v>
      </c>
      <c r="AZ56" s="545"/>
      <c r="BA56" s="545"/>
      <c r="BB56" s="545"/>
      <c r="BC56" s="545"/>
      <c r="BD56" s="545"/>
      <c r="BE56" s="545"/>
      <c r="BF56" s="545"/>
      <c r="BG56" s="545"/>
      <c r="BH56" s="545"/>
      <c r="BI56" s="545"/>
      <c r="BJ56" s="545"/>
      <c r="BK56" s="545"/>
      <c r="BL56" s="545"/>
      <c r="BM56" s="545"/>
      <c r="BN56" s="545"/>
      <c r="BO56" s="545"/>
      <c r="BP56" s="546"/>
      <c r="BQ56" s="544" t="s">
        <v>4</v>
      </c>
      <c r="BR56" s="545"/>
      <c r="BS56" s="545"/>
      <c r="BT56" s="545"/>
      <c r="BU56" s="545"/>
      <c r="BV56" s="545"/>
      <c r="BW56" s="545"/>
      <c r="BX56" s="545"/>
      <c r="BY56" s="545"/>
      <c r="BZ56" s="545"/>
      <c r="CA56" s="545"/>
      <c r="CB56" s="545"/>
      <c r="CC56" s="545"/>
      <c r="CD56" s="545"/>
      <c r="CE56" s="545"/>
      <c r="CF56" s="545"/>
      <c r="CG56" s="545"/>
      <c r="CH56" s="546"/>
      <c r="CI56" s="544"/>
      <c r="CJ56" s="545"/>
      <c r="CK56" s="545"/>
      <c r="CL56" s="545"/>
      <c r="CM56" s="545"/>
      <c r="CN56" s="545"/>
      <c r="CO56" s="545"/>
      <c r="CP56" s="545"/>
      <c r="CQ56" s="545"/>
      <c r="CR56" s="545"/>
      <c r="CS56" s="545"/>
      <c r="CT56" s="545"/>
      <c r="CU56" s="545"/>
      <c r="CV56" s="545"/>
      <c r="CW56" s="545"/>
      <c r="CX56" s="545"/>
      <c r="CY56" s="545"/>
      <c r="CZ56" s="546"/>
      <c r="DA56" s="214"/>
    </row>
    <row r="57" spans="1:106" s="16" customFormat="1" ht="18.75" hidden="1" customHeight="1" x14ac:dyDescent="0.3">
      <c r="A57" s="630"/>
      <c r="B57" s="631"/>
      <c r="C57" s="631"/>
      <c r="D57" s="631"/>
      <c r="E57" s="631"/>
      <c r="F57" s="632"/>
      <c r="G57" s="553" t="s">
        <v>56</v>
      </c>
      <c r="H57" s="554"/>
      <c r="I57" s="554"/>
      <c r="J57" s="554"/>
      <c r="K57" s="554"/>
      <c r="L57" s="554"/>
      <c r="M57" s="554"/>
      <c r="N57" s="554"/>
      <c r="O57" s="554"/>
      <c r="P57" s="554"/>
      <c r="Q57" s="554"/>
      <c r="R57" s="554"/>
      <c r="S57" s="554"/>
      <c r="T57" s="554"/>
      <c r="U57" s="554"/>
      <c r="V57" s="554"/>
      <c r="W57" s="554"/>
      <c r="X57" s="554"/>
      <c r="Y57" s="554"/>
      <c r="Z57" s="554"/>
      <c r="AA57" s="554"/>
      <c r="AB57" s="554"/>
      <c r="AC57" s="555"/>
      <c r="AD57" s="544" t="s">
        <v>4</v>
      </c>
      <c r="AE57" s="545"/>
      <c r="AF57" s="545"/>
      <c r="AG57" s="545"/>
      <c r="AH57" s="545"/>
      <c r="AI57" s="545"/>
      <c r="AJ57" s="545"/>
      <c r="AK57" s="545"/>
      <c r="AL57" s="545"/>
      <c r="AM57" s="545"/>
      <c r="AN57" s="545"/>
      <c r="AO57" s="545"/>
      <c r="AP57" s="545"/>
      <c r="AQ57" s="545"/>
      <c r="AR57" s="545"/>
      <c r="AS57" s="545"/>
      <c r="AT57" s="545"/>
      <c r="AU57" s="545"/>
      <c r="AV57" s="545"/>
      <c r="AW57" s="545"/>
      <c r="AX57" s="546"/>
      <c r="AY57" s="544" t="s">
        <v>4</v>
      </c>
      <c r="AZ57" s="545"/>
      <c r="BA57" s="545"/>
      <c r="BB57" s="545"/>
      <c r="BC57" s="545"/>
      <c r="BD57" s="545"/>
      <c r="BE57" s="545"/>
      <c r="BF57" s="545"/>
      <c r="BG57" s="545"/>
      <c r="BH57" s="545"/>
      <c r="BI57" s="545"/>
      <c r="BJ57" s="545"/>
      <c r="BK57" s="545"/>
      <c r="BL57" s="545"/>
      <c r="BM57" s="545"/>
      <c r="BN57" s="545"/>
      <c r="BO57" s="545"/>
      <c r="BP57" s="546"/>
      <c r="BQ57" s="544" t="s">
        <v>4</v>
      </c>
      <c r="BR57" s="545"/>
      <c r="BS57" s="545"/>
      <c r="BT57" s="545"/>
      <c r="BU57" s="545"/>
      <c r="BV57" s="545"/>
      <c r="BW57" s="545"/>
      <c r="BX57" s="545"/>
      <c r="BY57" s="545"/>
      <c r="BZ57" s="545"/>
      <c r="CA57" s="545"/>
      <c r="CB57" s="545"/>
      <c r="CC57" s="545"/>
      <c r="CD57" s="545"/>
      <c r="CE57" s="545"/>
      <c r="CF57" s="545"/>
      <c r="CG57" s="545"/>
      <c r="CH57" s="546"/>
      <c r="CI57" s="544"/>
      <c r="CJ57" s="545"/>
      <c r="CK57" s="545"/>
      <c r="CL57" s="545"/>
      <c r="CM57" s="545"/>
      <c r="CN57" s="545"/>
      <c r="CO57" s="545"/>
      <c r="CP57" s="545"/>
      <c r="CQ57" s="545"/>
      <c r="CR57" s="545"/>
      <c r="CS57" s="545"/>
      <c r="CT57" s="545"/>
      <c r="CU57" s="545"/>
      <c r="CV57" s="545"/>
      <c r="CW57" s="545"/>
      <c r="CX57" s="545"/>
      <c r="CY57" s="545"/>
      <c r="CZ57" s="546"/>
      <c r="DA57" s="214"/>
    </row>
    <row r="58" spans="1:106" s="16" customFormat="1" ht="13.95" hidden="1" customHeight="1" x14ac:dyDescent="0.3">
      <c r="A58" s="224"/>
      <c r="B58" s="224"/>
      <c r="C58" s="224"/>
      <c r="D58" s="224"/>
      <c r="E58" s="224"/>
      <c r="F58" s="224"/>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14"/>
    </row>
    <row r="59" spans="1:106" s="16" customFormat="1" ht="22.95" hidden="1" customHeight="1" x14ac:dyDescent="0.3">
      <c r="A59" s="731" t="s">
        <v>305</v>
      </c>
      <c r="B59" s="731"/>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214"/>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95" t="s">
        <v>536</v>
      </c>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595"/>
      <c r="BM60" s="595"/>
      <c r="BN60" s="595"/>
      <c r="BO60" s="595"/>
      <c r="BP60" s="595"/>
      <c r="BQ60" s="595"/>
      <c r="BR60" s="595"/>
      <c r="BS60" s="595"/>
      <c r="BT60" s="595"/>
      <c r="BU60" s="595"/>
      <c r="BV60" s="595"/>
      <c r="BW60" s="595"/>
      <c r="BX60" s="595"/>
      <c r="BY60" s="595"/>
      <c r="BZ60" s="595"/>
      <c r="CA60" s="595"/>
      <c r="CB60" s="595"/>
      <c r="CC60" s="595"/>
      <c r="CD60" s="595"/>
      <c r="CE60" s="595"/>
      <c r="CF60" s="595"/>
      <c r="CG60" s="595"/>
      <c r="CH60" s="595"/>
      <c r="CI60" s="595"/>
      <c r="CJ60" s="595"/>
      <c r="CK60" s="595"/>
      <c r="CL60" s="595"/>
      <c r="CM60" s="595"/>
      <c r="CN60" s="595"/>
      <c r="CO60" s="595"/>
      <c r="CP60" s="595"/>
      <c r="CQ60" s="595"/>
      <c r="CR60" s="595"/>
      <c r="CS60" s="595"/>
      <c r="CT60" s="595"/>
      <c r="CU60" s="595"/>
      <c r="CV60" s="595"/>
      <c r="CW60" s="595"/>
      <c r="CX60" s="595"/>
      <c r="CY60" s="595"/>
      <c r="CZ60" s="595"/>
      <c r="DA60" s="227" t="s">
        <v>914</v>
      </c>
      <c r="DB60" s="228"/>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7"/>
      <c r="DB61" s="228"/>
    </row>
    <row r="62" spans="1:106" s="16" customFormat="1" ht="42" hidden="1" customHeight="1" x14ac:dyDescent="0.3">
      <c r="A62" s="475" t="s">
        <v>49</v>
      </c>
      <c r="B62" s="476"/>
      <c r="C62" s="476"/>
      <c r="D62" s="476"/>
      <c r="E62" s="476"/>
      <c r="F62" s="477"/>
      <c r="G62" s="475" t="s">
        <v>57</v>
      </c>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7"/>
      <c r="AY62" s="475" t="s">
        <v>59</v>
      </c>
      <c r="AZ62" s="476"/>
      <c r="BA62" s="476"/>
      <c r="BB62" s="476"/>
      <c r="BC62" s="476"/>
      <c r="BD62" s="476"/>
      <c r="BE62" s="476"/>
      <c r="BF62" s="476"/>
      <c r="BG62" s="476"/>
      <c r="BH62" s="476"/>
      <c r="BI62" s="476"/>
      <c r="BJ62" s="476"/>
      <c r="BK62" s="476"/>
      <c r="BL62" s="476"/>
      <c r="BM62" s="476"/>
      <c r="BN62" s="476"/>
      <c r="BO62" s="476"/>
      <c r="BP62" s="477"/>
      <c r="BQ62" s="475" t="s">
        <v>306</v>
      </c>
      <c r="BR62" s="476"/>
      <c r="BS62" s="476"/>
      <c r="BT62" s="476"/>
      <c r="BU62" s="476"/>
      <c r="BV62" s="476"/>
      <c r="BW62" s="476"/>
      <c r="BX62" s="476"/>
      <c r="BY62" s="476"/>
      <c r="BZ62" s="476"/>
      <c r="CA62" s="476"/>
      <c r="CB62" s="476"/>
      <c r="CC62" s="476"/>
      <c r="CD62" s="476"/>
      <c r="CE62" s="476"/>
      <c r="CF62" s="476"/>
      <c r="CG62" s="476"/>
      <c r="CH62" s="477"/>
      <c r="CI62" s="475" t="s">
        <v>61</v>
      </c>
      <c r="CJ62" s="476"/>
      <c r="CK62" s="476"/>
      <c r="CL62" s="476"/>
      <c r="CM62" s="476"/>
      <c r="CN62" s="476"/>
      <c r="CO62" s="476"/>
      <c r="CP62" s="476"/>
      <c r="CQ62" s="476"/>
      <c r="CR62" s="476"/>
      <c r="CS62" s="476"/>
      <c r="CT62" s="476"/>
      <c r="CU62" s="476"/>
      <c r="CV62" s="476"/>
      <c r="CW62" s="476"/>
      <c r="CX62" s="476"/>
      <c r="CY62" s="476"/>
      <c r="CZ62" s="476"/>
      <c r="DA62" s="217"/>
      <c r="DB62" s="228"/>
    </row>
    <row r="63" spans="1:106" s="16" customFormat="1" ht="15" hidden="1" customHeight="1" x14ac:dyDescent="0.3">
      <c r="A63" s="661">
        <v>1</v>
      </c>
      <c r="B63" s="662"/>
      <c r="C63" s="662"/>
      <c r="D63" s="662"/>
      <c r="E63" s="662"/>
      <c r="F63" s="663"/>
      <c r="G63" s="661">
        <v>2</v>
      </c>
      <c r="H63" s="662"/>
      <c r="I63" s="662"/>
      <c r="J63" s="662"/>
      <c r="K63" s="662"/>
      <c r="L63" s="662"/>
      <c r="M63" s="662"/>
      <c r="N63" s="662"/>
      <c r="O63" s="662"/>
      <c r="P63" s="662"/>
      <c r="Q63" s="662"/>
      <c r="R63" s="662"/>
      <c r="S63" s="662"/>
      <c r="T63" s="662"/>
      <c r="U63" s="662"/>
      <c r="V63" s="662"/>
      <c r="W63" s="662"/>
      <c r="X63" s="662"/>
      <c r="Y63" s="662"/>
      <c r="Z63" s="662"/>
      <c r="AA63" s="662"/>
      <c r="AB63" s="662"/>
      <c r="AC63" s="663"/>
      <c r="AD63" s="661">
        <v>3</v>
      </c>
      <c r="AE63" s="662"/>
      <c r="AF63" s="662"/>
      <c r="AG63" s="662"/>
      <c r="AH63" s="662"/>
      <c r="AI63" s="662"/>
      <c r="AJ63" s="662"/>
      <c r="AK63" s="662"/>
      <c r="AL63" s="662"/>
      <c r="AM63" s="662"/>
      <c r="AN63" s="662"/>
      <c r="AO63" s="662"/>
      <c r="AP63" s="662"/>
      <c r="AQ63" s="662"/>
      <c r="AR63" s="662"/>
      <c r="AS63" s="662"/>
      <c r="AT63" s="662"/>
      <c r="AU63" s="662"/>
      <c r="AV63" s="662"/>
      <c r="AW63" s="662"/>
      <c r="AX63" s="663"/>
      <c r="AY63" s="661">
        <v>4</v>
      </c>
      <c r="AZ63" s="662"/>
      <c r="BA63" s="662"/>
      <c r="BB63" s="662"/>
      <c r="BC63" s="662"/>
      <c r="BD63" s="662"/>
      <c r="BE63" s="662"/>
      <c r="BF63" s="662"/>
      <c r="BG63" s="662"/>
      <c r="BH63" s="662"/>
      <c r="BI63" s="662"/>
      <c r="BJ63" s="662"/>
      <c r="BK63" s="662"/>
      <c r="BL63" s="662"/>
      <c r="BM63" s="662"/>
      <c r="BN63" s="662"/>
      <c r="BO63" s="662"/>
      <c r="BP63" s="663"/>
      <c r="BQ63" s="661">
        <v>5</v>
      </c>
      <c r="BR63" s="662"/>
      <c r="BS63" s="662"/>
      <c r="BT63" s="662"/>
      <c r="BU63" s="662"/>
      <c r="BV63" s="662"/>
      <c r="BW63" s="662"/>
      <c r="BX63" s="662"/>
      <c r="BY63" s="662"/>
      <c r="BZ63" s="662"/>
      <c r="CA63" s="662"/>
      <c r="CB63" s="662"/>
      <c r="CC63" s="662"/>
      <c r="CD63" s="662"/>
      <c r="CE63" s="662"/>
      <c r="CF63" s="662"/>
      <c r="CG63" s="662"/>
      <c r="CH63" s="663"/>
      <c r="CI63" s="661">
        <v>6</v>
      </c>
      <c r="CJ63" s="662"/>
      <c r="CK63" s="662"/>
      <c r="CL63" s="662"/>
      <c r="CM63" s="662"/>
      <c r="CN63" s="662"/>
      <c r="CO63" s="662"/>
      <c r="CP63" s="662"/>
      <c r="CQ63" s="662"/>
      <c r="CR63" s="662"/>
      <c r="CS63" s="662"/>
      <c r="CT63" s="662"/>
      <c r="CU63" s="662"/>
      <c r="CV63" s="662"/>
      <c r="CW63" s="662"/>
      <c r="CX63" s="662"/>
      <c r="CY63" s="662"/>
      <c r="CZ63" s="663"/>
      <c r="DA63" s="217"/>
      <c r="DB63" s="228"/>
    </row>
    <row r="64" spans="1:106" s="16" customFormat="1" ht="15" hidden="1" customHeight="1" x14ac:dyDescent="0.3">
      <c r="A64" s="656" t="s">
        <v>537</v>
      </c>
      <c r="B64" s="657"/>
      <c r="C64" s="657"/>
      <c r="D64" s="657"/>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7"/>
      <c r="BT64" s="657"/>
      <c r="BU64" s="657"/>
      <c r="BV64" s="657"/>
      <c r="BW64" s="657"/>
      <c r="BX64" s="657"/>
      <c r="BY64" s="657"/>
      <c r="BZ64" s="657"/>
      <c r="CA64" s="657"/>
      <c r="CB64" s="657"/>
      <c r="CC64" s="657"/>
      <c r="CD64" s="657"/>
      <c r="CE64" s="657"/>
      <c r="CF64" s="657"/>
      <c r="CG64" s="657"/>
      <c r="CH64" s="657"/>
      <c r="CI64" s="657"/>
      <c r="CJ64" s="657"/>
      <c r="CK64" s="657"/>
      <c r="CL64" s="657"/>
      <c r="CM64" s="657"/>
      <c r="CN64" s="657"/>
      <c r="CO64" s="657"/>
      <c r="CP64" s="657"/>
      <c r="CQ64" s="657"/>
      <c r="CR64" s="657"/>
      <c r="CS64" s="657"/>
      <c r="CT64" s="657"/>
      <c r="CU64" s="657"/>
      <c r="CV64" s="657"/>
      <c r="CW64" s="657"/>
      <c r="CX64" s="657"/>
      <c r="CY64" s="657"/>
      <c r="CZ64" s="657"/>
      <c r="DA64" s="217"/>
      <c r="DB64" s="228"/>
    </row>
    <row r="65" spans="1:106" s="16" customFormat="1" ht="21" hidden="1" customHeight="1" x14ac:dyDescent="0.3">
      <c r="A65" s="630" t="s">
        <v>441</v>
      </c>
      <c r="B65" s="631"/>
      <c r="C65" s="631"/>
      <c r="D65" s="631"/>
      <c r="E65" s="631"/>
      <c r="F65" s="632"/>
      <c r="G65" s="584" t="s">
        <v>546</v>
      </c>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5"/>
      <c r="AW65" s="585"/>
      <c r="AX65" s="586"/>
      <c r="AY65" s="544"/>
      <c r="AZ65" s="545"/>
      <c r="BA65" s="545"/>
      <c r="BB65" s="545"/>
      <c r="BC65" s="545"/>
      <c r="BD65" s="545"/>
      <c r="BE65" s="545"/>
      <c r="BF65" s="545"/>
      <c r="BG65" s="545"/>
      <c r="BH65" s="545"/>
      <c r="BI65" s="545"/>
      <c r="BJ65" s="545"/>
      <c r="BK65" s="545"/>
      <c r="BL65" s="545"/>
      <c r="BM65" s="545"/>
      <c r="BN65" s="545"/>
      <c r="BO65" s="545"/>
      <c r="BP65" s="546"/>
      <c r="BQ65" s="627"/>
      <c r="BR65" s="628"/>
      <c r="BS65" s="628"/>
      <c r="BT65" s="628"/>
      <c r="BU65" s="628"/>
      <c r="BV65" s="628"/>
      <c r="BW65" s="628"/>
      <c r="BX65" s="628"/>
      <c r="BY65" s="628"/>
      <c r="BZ65" s="628"/>
      <c r="CA65" s="628"/>
      <c r="CB65" s="628"/>
      <c r="CC65" s="628"/>
      <c r="CD65" s="628"/>
      <c r="CE65" s="628"/>
      <c r="CF65" s="628"/>
      <c r="CG65" s="628"/>
      <c r="CH65" s="629"/>
      <c r="CI65" s="627">
        <f>BQ65*AY65</f>
        <v>0</v>
      </c>
      <c r="CJ65" s="628"/>
      <c r="CK65" s="628"/>
      <c r="CL65" s="628"/>
      <c r="CM65" s="628"/>
      <c r="CN65" s="628"/>
      <c r="CO65" s="628"/>
      <c r="CP65" s="628"/>
      <c r="CQ65" s="628"/>
      <c r="CR65" s="628"/>
      <c r="CS65" s="628"/>
      <c r="CT65" s="628"/>
      <c r="CU65" s="628"/>
      <c r="CV65" s="628"/>
      <c r="CW65" s="628"/>
      <c r="CX65" s="628"/>
      <c r="CY65" s="628"/>
      <c r="CZ65" s="629"/>
      <c r="DA65" s="217"/>
      <c r="DB65" s="228"/>
    </row>
    <row r="66" spans="1:106" s="16" customFormat="1" ht="24.6" hidden="1" customHeight="1" x14ac:dyDescent="0.3">
      <c r="A66" s="630" t="s">
        <v>444</v>
      </c>
      <c r="B66" s="631"/>
      <c r="C66" s="631"/>
      <c r="D66" s="631"/>
      <c r="E66" s="631"/>
      <c r="F66" s="632"/>
      <c r="G66" s="584" t="s">
        <v>869</v>
      </c>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6"/>
      <c r="AY66" s="544"/>
      <c r="AZ66" s="545"/>
      <c r="BA66" s="545"/>
      <c r="BB66" s="545"/>
      <c r="BC66" s="545"/>
      <c r="BD66" s="545"/>
      <c r="BE66" s="545"/>
      <c r="BF66" s="545"/>
      <c r="BG66" s="545"/>
      <c r="BH66" s="545"/>
      <c r="BI66" s="545"/>
      <c r="BJ66" s="545"/>
      <c r="BK66" s="545"/>
      <c r="BL66" s="545"/>
      <c r="BM66" s="545"/>
      <c r="BN66" s="545"/>
      <c r="BO66" s="545"/>
      <c r="BP66" s="546"/>
      <c r="BQ66" s="627"/>
      <c r="BR66" s="628"/>
      <c r="BS66" s="628"/>
      <c r="BT66" s="628"/>
      <c r="BU66" s="628"/>
      <c r="BV66" s="628"/>
      <c r="BW66" s="628"/>
      <c r="BX66" s="628"/>
      <c r="BY66" s="628"/>
      <c r="BZ66" s="628"/>
      <c r="CA66" s="628"/>
      <c r="CB66" s="628"/>
      <c r="CC66" s="628"/>
      <c r="CD66" s="628"/>
      <c r="CE66" s="628"/>
      <c r="CF66" s="628"/>
      <c r="CG66" s="628"/>
      <c r="CH66" s="629"/>
      <c r="CI66" s="627">
        <f>BQ66*AY66</f>
        <v>0</v>
      </c>
      <c r="CJ66" s="628"/>
      <c r="CK66" s="628"/>
      <c r="CL66" s="628"/>
      <c r="CM66" s="628"/>
      <c r="CN66" s="628"/>
      <c r="CO66" s="628"/>
      <c r="CP66" s="628"/>
      <c r="CQ66" s="628"/>
      <c r="CR66" s="628"/>
      <c r="CS66" s="628"/>
      <c r="CT66" s="628"/>
      <c r="CU66" s="628"/>
      <c r="CV66" s="628"/>
      <c r="CW66" s="628"/>
      <c r="CX66" s="628"/>
      <c r="CY66" s="628"/>
      <c r="CZ66" s="629"/>
      <c r="DA66" s="217"/>
      <c r="DB66" s="228"/>
    </row>
    <row r="67" spans="1:106" s="16" customFormat="1" ht="15" hidden="1" customHeight="1" x14ac:dyDescent="0.3">
      <c r="A67" s="633" t="s">
        <v>292</v>
      </c>
      <c r="B67" s="634"/>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634"/>
      <c r="AS67" s="634"/>
      <c r="AT67" s="634"/>
      <c r="AU67" s="634"/>
      <c r="AV67" s="634"/>
      <c r="AW67" s="634"/>
      <c r="AX67" s="635"/>
      <c r="AY67" s="544" t="s">
        <v>4</v>
      </c>
      <c r="AZ67" s="545"/>
      <c r="BA67" s="545"/>
      <c r="BB67" s="545"/>
      <c r="BC67" s="545"/>
      <c r="BD67" s="545"/>
      <c r="BE67" s="545"/>
      <c r="BF67" s="545"/>
      <c r="BG67" s="545"/>
      <c r="BH67" s="545"/>
      <c r="BI67" s="545"/>
      <c r="BJ67" s="545"/>
      <c r="BK67" s="545"/>
      <c r="BL67" s="545"/>
      <c r="BM67" s="545"/>
      <c r="BN67" s="545"/>
      <c r="BO67" s="545"/>
      <c r="BP67" s="546"/>
      <c r="BQ67" s="544" t="s">
        <v>4</v>
      </c>
      <c r="BR67" s="545"/>
      <c r="BS67" s="545"/>
      <c r="BT67" s="545"/>
      <c r="BU67" s="545"/>
      <c r="BV67" s="545"/>
      <c r="BW67" s="545"/>
      <c r="BX67" s="545"/>
      <c r="BY67" s="545"/>
      <c r="BZ67" s="545"/>
      <c r="CA67" s="545"/>
      <c r="CB67" s="545"/>
      <c r="CC67" s="545"/>
      <c r="CD67" s="545"/>
      <c r="CE67" s="545"/>
      <c r="CF67" s="545"/>
      <c r="CG67" s="545"/>
      <c r="CH67" s="546"/>
      <c r="CI67" s="636">
        <f>SUM(CI65:CZ66)</f>
        <v>0</v>
      </c>
      <c r="CJ67" s="654"/>
      <c r="CK67" s="654"/>
      <c r="CL67" s="654"/>
      <c r="CM67" s="654"/>
      <c r="CN67" s="654"/>
      <c r="CO67" s="654"/>
      <c r="CP67" s="654"/>
      <c r="CQ67" s="654"/>
      <c r="CR67" s="654"/>
      <c r="CS67" s="654"/>
      <c r="CT67" s="654"/>
      <c r="CU67" s="654"/>
      <c r="CV67" s="654"/>
      <c r="CW67" s="654"/>
      <c r="CX67" s="654"/>
      <c r="CY67" s="654"/>
      <c r="CZ67" s="655"/>
      <c r="DA67" s="217"/>
      <c r="DB67" s="228"/>
    </row>
    <row r="68" spans="1:106" s="16" customFormat="1" ht="15" hidden="1" customHeight="1" x14ac:dyDescent="0.3">
      <c r="A68" s="656" t="s">
        <v>547</v>
      </c>
      <c r="B68" s="657"/>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7"/>
      <c r="AJ68" s="657"/>
      <c r="AK68" s="657"/>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57"/>
      <c r="BQ68" s="657"/>
      <c r="BR68" s="657"/>
      <c r="BS68" s="657"/>
      <c r="BT68" s="657"/>
      <c r="BU68" s="657"/>
      <c r="BV68" s="657"/>
      <c r="BW68" s="657"/>
      <c r="BX68" s="657"/>
      <c r="BY68" s="657"/>
      <c r="BZ68" s="657"/>
      <c r="CA68" s="657"/>
      <c r="CB68" s="657"/>
      <c r="CC68" s="657"/>
      <c r="CD68" s="657"/>
      <c r="CE68" s="657"/>
      <c r="CF68" s="657"/>
      <c r="CG68" s="657"/>
      <c r="CH68" s="657"/>
      <c r="CI68" s="657"/>
      <c r="CJ68" s="657"/>
      <c r="CK68" s="657"/>
      <c r="CL68" s="657"/>
      <c r="CM68" s="657"/>
      <c r="CN68" s="657"/>
      <c r="CO68" s="657"/>
      <c r="CP68" s="657"/>
      <c r="CQ68" s="657"/>
      <c r="CR68" s="657"/>
      <c r="CS68" s="657"/>
      <c r="CT68" s="657"/>
      <c r="CU68" s="657"/>
      <c r="CV68" s="657"/>
      <c r="CW68" s="657"/>
      <c r="CX68" s="657"/>
      <c r="CY68" s="657"/>
      <c r="CZ68" s="657"/>
      <c r="DA68" s="217"/>
      <c r="DB68" s="228"/>
    </row>
    <row r="69" spans="1:106" s="16" customFormat="1" ht="37.5" hidden="1" customHeight="1" x14ac:dyDescent="0.3">
      <c r="A69" s="630" t="s">
        <v>441</v>
      </c>
      <c r="B69" s="631"/>
      <c r="C69" s="631"/>
      <c r="D69" s="631"/>
      <c r="E69" s="631"/>
      <c r="F69" s="632"/>
      <c r="G69" s="584" t="s">
        <v>548</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6"/>
      <c r="AY69" s="544"/>
      <c r="AZ69" s="545"/>
      <c r="BA69" s="545"/>
      <c r="BB69" s="545"/>
      <c r="BC69" s="545"/>
      <c r="BD69" s="545"/>
      <c r="BE69" s="545"/>
      <c r="BF69" s="545"/>
      <c r="BG69" s="545"/>
      <c r="BH69" s="545"/>
      <c r="BI69" s="545"/>
      <c r="BJ69" s="545"/>
      <c r="BK69" s="545"/>
      <c r="BL69" s="545"/>
      <c r="BM69" s="545"/>
      <c r="BN69" s="545"/>
      <c r="BO69" s="545"/>
      <c r="BP69" s="546"/>
      <c r="BQ69" s="627"/>
      <c r="BR69" s="628"/>
      <c r="BS69" s="628"/>
      <c r="BT69" s="628"/>
      <c r="BU69" s="628"/>
      <c r="BV69" s="628"/>
      <c r="BW69" s="628"/>
      <c r="BX69" s="628"/>
      <c r="BY69" s="628"/>
      <c r="BZ69" s="628"/>
      <c r="CA69" s="628"/>
      <c r="CB69" s="628"/>
      <c r="CC69" s="628"/>
      <c r="CD69" s="628"/>
      <c r="CE69" s="628"/>
      <c r="CF69" s="628"/>
      <c r="CG69" s="628"/>
      <c r="CH69" s="629"/>
      <c r="CI69" s="627">
        <f>AY69*BQ69</f>
        <v>0</v>
      </c>
      <c r="CJ69" s="628"/>
      <c r="CK69" s="628"/>
      <c r="CL69" s="628"/>
      <c r="CM69" s="628"/>
      <c r="CN69" s="628"/>
      <c r="CO69" s="628"/>
      <c r="CP69" s="628"/>
      <c r="CQ69" s="628"/>
      <c r="CR69" s="628"/>
      <c r="CS69" s="628"/>
      <c r="CT69" s="628"/>
      <c r="CU69" s="628"/>
      <c r="CV69" s="628"/>
      <c r="CW69" s="628"/>
      <c r="CX69" s="628"/>
      <c r="CY69" s="628"/>
      <c r="CZ69" s="629"/>
      <c r="DA69" s="217"/>
      <c r="DB69" s="228"/>
    </row>
    <row r="70" spans="1:106" s="16" customFormat="1" ht="39" hidden="1" customHeight="1" x14ac:dyDescent="0.3">
      <c r="A70" s="630" t="s">
        <v>444</v>
      </c>
      <c r="B70" s="631"/>
      <c r="C70" s="631"/>
      <c r="D70" s="631"/>
      <c r="E70" s="631"/>
      <c r="F70" s="632"/>
      <c r="G70" s="584" t="s">
        <v>549</v>
      </c>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544"/>
      <c r="AZ70" s="545"/>
      <c r="BA70" s="545"/>
      <c r="BB70" s="545"/>
      <c r="BC70" s="545"/>
      <c r="BD70" s="545"/>
      <c r="BE70" s="545"/>
      <c r="BF70" s="545"/>
      <c r="BG70" s="545"/>
      <c r="BH70" s="545"/>
      <c r="BI70" s="545"/>
      <c r="BJ70" s="545"/>
      <c r="BK70" s="545"/>
      <c r="BL70" s="545"/>
      <c r="BM70" s="545"/>
      <c r="BN70" s="545"/>
      <c r="BO70" s="545"/>
      <c r="BP70" s="546"/>
      <c r="BQ70" s="627"/>
      <c r="BR70" s="628"/>
      <c r="BS70" s="628"/>
      <c r="BT70" s="628"/>
      <c r="BU70" s="628"/>
      <c r="BV70" s="628"/>
      <c r="BW70" s="628"/>
      <c r="BX70" s="628"/>
      <c r="BY70" s="628"/>
      <c r="BZ70" s="628"/>
      <c r="CA70" s="628"/>
      <c r="CB70" s="628"/>
      <c r="CC70" s="628"/>
      <c r="CD70" s="628"/>
      <c r="CE70" s="628"/>
      <c r="CF70" s="628"/>
      <c r="CG70" s="628"/>
      <c r="CH70" s="629"/>
      <c r="CI70" s="627">
        <f t="shared" ref="CI70:CI72" si="0">AY70*BQ70</f>
        <v>0</v>
      </c>
      <c r="CJ70" s="628"/>
      <c r="CK70" s="628"/>
      <c r="CL70" s="628"/>
      <c r="CM70" s="628"/>
      <c r="CN70" s="628"/>
      <c r="CO70" s="628"/>
      <c r="CP70" s="628"/>
      <c r="CQ70" s="628"/>
      <c r="CR70" s="628"/>
      <c r="CS70" s="628"/>
      <c r="CT70" s="628"/>
      <c r="CU70" s="628"/>
      <c r="CV70" s="628"/>
      <c r="CW70" s="628"/>
      <c r="CX70" s="628"/>
      <c r="CY70" s="628"/>
      <c r="CZ70" s="629"/>
      <c r="DA70" s="217"/>
      <c r="DB70" s="228"/>
    </row>
    <row r="71" spans="1:106" s="16" customFormat="1" ht="31.5" hidden="1" customHeight="1" x14ac:dyDescent="0.3">
      <c r="A71" s="630" t="s">
        <v>446</v>
      </c>
      <c r="B71" s="631"/>
      <c r="C71" s="631"/>
      <c r="D71" s="631"/>
      <c r="E71" s="631"/>
      <c r="F71" s="632"/>
      <c r="G71" s="584" t="s">
        <v>550</v>
      </c>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6"/>
      <c r="AY71" s="544"/>
      <c r="AZ71" s="545"/>
      <c r="BA71" s="545"/>
      <c r="BB71" s="545"/>
      <c r="BC71" s="545"/>
      <c r="BD71" s="545"/>
      <c r="BE71" s="545"/>
      <c r="BF71" s="545"/>
      <c r="BG71" s="545"/>
      <c r="BH71" s="545"/>
      <c r="BI71" s="545"/>
      <c r="BJ71" s="545"/>
      <c r="BK71" s="545"/>
      <c r="BL71" s="545"/>
      <c r="BM71" s="545"/>
      <c r="BN71" s="545"/>
      <c r="BO71" s="545"/>
      <c r="BP71" s="546"/>
      <c r="BQ71" s="627"/>
      <c r="BR71" s="628"/>
      <c r="BS71" s="628"/>
      <c r="BT71" s="628"/>
      <c r="BU71" s="628"/>
      <c r="BV71" s="628"/>
      <c r="BW71" s="628"/>
      <c r="BX71" s="628"/>
      <c r="BY71" s="628"/>
      <c r="BZ71" s="628"/>
      <c r="CA71" s="628"/>
      <c r="CB71" s="628"/>
      <c r="CC71" s="628"/>
      <c r="CD71" s="628"/>
      <c r="CE71" s="628"/>
      <c r="CF71" s="628"/>
      <c r="CG71" s="628"/>
      <c r="CH71" s="629"/>
      <c r="CI71" s="627">
        <f t="shared" si="0"/>
        <v>0</v>
      </c>
      <c r="CJ71" s="628"/>
      <c r="CK71" s="628"/>
      <c r="CL71" s="628"/>
      <c r="CM71" s="628"/>
      <c r="CN71" s="628"/>
      <c r="CO71" s="628"/>
      <c r="CP71" s="628"/>
      <c r="CQ71" s="628"/>
      <c r="CR71" s="628"/>
      <c r="CS71" s="628"/>
      <c r="CT71" s="628"/>
      <c r="CU71" s="628"/>
      <c r="CV71" s="628"/>
      <c r="CW71" s="628"/>
      <c r="CX71" s="628"/>
      <c r="CY71" s="628"/>
      <c r="CZ71" s="629"/>
      <c r="DA71" s="217"/>
      <c r="DB71" s="228"/>
    </row>
    <row r="72" spans="1:106" s="16" customFormat="1" ht="47.25" hidden="1" customHeight="1" x14ac:dyDescent="0.3">
      <c r="A72" s="630" t="s">
        <v>446</v>
      </c>
      <c r="B72" s="631"/>
      <c r="C72" s="631"/>
      <c r="D72" s="631"/>
      <c r="E72" s="631"/>
      <c r="F72" s="632"/>
      <c r="G72" s="584" t="s">
        <v>552</v>
      </c>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6"/>
      <c r="AY72" s="544"/>
      <c r="AZ72" s="545"/>
      <c r="BA72" s="545"/>
      <c r="BB72" s="545"/>
      <c r="BC72" s="545"/>
      <c r="BD72" s="545"/>
      <c r="BE72" s="545"/>
      <c r="BF72" s="545"/>
      <c r="BG72" s="545"/>
      <c r="BH72" s="545"/>
      <c r="BI72" s="545"/>
      <c r="BJ72" s="545"/>
      <c r="BK72" s="545"/>
      <c r="BL72" s="545"/>
      <c r="BM72" s="545"/>
      <c r="BN72" s="545"/>
      <c r="BO72" s="545"/>
      <c r="BP72" s="546"/>
      <c r="BQ72" s="627"/>
      <c r="BR72" s="628"/>
      <c r="BS72" s="628"/>
      <c r="BT72" s="628"/>
      <c r="BU72" s="628"/>
      <c r="BV72" s="628"/>
      <c r="BW72" s="628"/>
      <c r="BX72" s="628"/>
      <c r="BY72" s="628"/>
      <c r="BZ72" s="628"/>
      <c r="CA72" s="628"/>
      <c r="CB72" s="628"/>
      <c r="CC72" s="628"/>
      <c r="CD72" s="628"/>
      <c r="CE72" s="628"/>
      <c r="CF72" s="628"/>
      <c r="CG72" s="628"/>
      <c r="CH72" s="629"/>
      <c r="CI72" s="627">
        <f t="shared" si="0"/>
        <v>0</v>
      </c>
      <c r="CJ72" s="628"/>
      <c r="CK72" s="628"/>
      <c r="CL72" s="628"/>
      <c r="CM72" s="628"/>
      <c r="CN72" s="628"/>
      <c r="CO72" s="628"/>
      <c r="CP72" s="628"/>
      <c r="CQ72" s="628"/>
      <c r="CR72" s="628"/>
      <c r="CS72" s="628"/>
      <c r="CT72" s="628"/>
      <c r="CU72" s="628"/>
      <c r="CV72" s="628"/>
      <c r="CW72" s="628"/>
      <c r="CX72" s="628"/>
      <c r="CY72" s="628"/>
      <c r="CZ72" s="629"/>
      <c r="DA72" s="217"/>
      <c r="DB72" s="228"/>
    </row>
    <row r="73" spans="1:106" s="16" customFormat="1" ht="15" hidden="1" customHeight="1" x14ac:dyDescent="0.3">
      <c r="A73" s="633" t="s">
        <v>292</v>
      </c>
      <c r="B73" s="634"/>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5"/>
      <c r="AY73" s="544" t="s">
        <v>4</v>
      </c>
      <c r="AZ73" s="545"/>
      <c r="BA73" s="545"/>
      <c r="BB73" s="545"/>
      <c r="BC73" s="545"/>
      <c r="BD73" s="545"/>
      <c r="BE73" s="545"/>
      <c r="BF73" s="545"/>
      <c r="BG73" s="545"/>
      <c r="BH73" s="545"/>
      <c r="BI73" s="545"/>
      <c r="BJ73" s="545"/>
      <c r="BK73" s="545"/>
      <c r="BL73" s="545"/>
      <c r="BM73" s="545"/>
      <c r="BN73" s="545"/>
      <c r="BO73" s="545"/>
      <c r="BP73" s="546"/>
      <c r="BQ73" s="544" t="s">
        <v>4</v>
      </c>
      <c r="BR73" s="545"/>
      <c r="BS73" s="545"/>
      <c r="BT73" s="545"/>
      <c r="BU73" s="545"/>
      <c r="BV73" s="545"/>
      <c r="BW73" s="545"/>
      <c r="BX73" s="545"/>
      <c r="BY73" s="545"/>
      <c r="BZ73" s="545"/>
      <c r="CA73" s="545"/>
      <c r="CB73" s="545"/>
      <c r="CC73" s="545"/>
      <c r="CD73" s="545"/>
      <c r="CE73" s="545"/>
      <c r="CF73" s="545"/>
      <c r="CG73" s="545"/>
      <c r="CH73" s="546"/>
      <c r="CI73" s="611">
        <f>CI69+CI70+CI72+CI71</f>
        <v>0</v>
      </c>
      <c r="CJ73" s="611"/>
      <c r="CK73" s="611"/>
      <c r="CL73" s="611"/>
      <c r="CM73" s="611"/>
      <c r="CN73" s="611"/>
      <c r="CO73" s="611"/>
      <c r="CP73" s="611"/>
      <c r="CQ73" s="611"/>
      <c r="CR73" s="611"/>
      <c r="CS73" s="611"/>
      <c r="CT73" s="611"/>
      <c r="CU73" s="611"/>
      <c r="CV73" s="611"/>
      <c r="CW73" s="611"/>
      <c r="CX73" s="611"/>
      <c r="CY73" s="611"/>
      <c r="CZ73" s="611"/>
      <c r="DA73" s="217"/>
      <c r="DB73" s="228"/>
    </row>
    <row r="74" spans="1:106" s="16" customFormat="1" ht="15" hidden="1" customHeight="1" x14ac:dyDescent="0.3">
      <c r="A74" s="630"/>
      <c r="B74" s="631"/>
      <c r="C74" s="631"/>
      <c r="D74" s="631"/>
      <c r="E74" s="631"/>
      <c r="F74" s="632"/>
      <c r="G74" s="630" t="s">
        <v>56</v>
      </c>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2"/>
      <c r="AY74" s="544" t="s">
        <v>4</v>
      </c>
      <c r="AZ74" s="545"/>
      <c r="BA74" s="545"/>
      <c r="BB74" s="545"/>
      <c r="BC74" s="545"/>
      <c r="BD74" s="545"/>
      <c r="BE74" s="545"/>
      <c r="BF74" s="545"/>
      <c r="BG74" s="545"/>
      <c r="BH74" s="545"/>
      <c r="BI74" s="545"/>
      <c r="BJ74" s="545"/>
      <c r="BK74" s="545"/>
      <c r="BL74" s="545"/>
      <c r="BM74" s="545"/>
      <c r="BN74" s="545"/>
      <c r="BO74" s="545"/>
      <c r="BP74" s="546"/>
      <c r="BQ74" s="544" t="s">
        <v>4</v>
      </c>
      <c r="BR74" s="545"/>
      <c r="BS74" s="545"/>
      <c r="BT74" s="545"/>
      <c r="BU74" s="545"/>
      <c r="BV74" s="545"/>
      <c r="BW74" s="545"/>
      <c r="BX74" s="545"/>
      <c r="BY74" s="545"/>
      <c r="BZ74" s="545"/>
      <c r="CA74" s="545"/>
      <c r="CB74" s="545"/>
      <c r="CC74" s="545"/>
      <c r="CD74" s="545"/>
      <c r="CE74" s="545"/>
      <c r="CF74" s="545"/>
      <c r="CG74" s="545"/>
      <c r="CH74" s="546"/>
      <c r="CI74" s="611">
        <f>CI67+CI73</f>
        <v>0</v>
      </c>
      <c r="CJ74" s="611"/>
      <c r="CK74" s="611"/>
      <c r="CL74" s="611"/>
      <c r="CM74" s="611"/>
      <c r="CN74" s="611"/>
      <c r="CO74" s="611"/>
      <c r="CP74" s="611"/>
      <c r="CQ74" s="611"/>
      <c r="CR74" s="611"/>
      <c r="CS74" s="611"/>
      <c r="CT74" s="611"/>
      <c r="CU74" s="611"/>
      <c r="CV74" s="611"/>
      <c r="CW74" s="611"/>
      <c r="CX74" s="611"/>
      <c r="CY74" s="611"/>
      <c r="CZ74" s="611"/>
      <c r="DA74" s="217"/>
      <c r="DB74" s="228"/>
    </row>
    <row r="75" spans="1:106" s="16" customFormat="1" ht="15" hidden="1" customHeight="1" x14ac:dyDescent="0.3">
      <c r="A75" s="731" t="s">
        <v>305</v>
      </c>
      <c r="B75" s="731"/>
      <c r="C75" s="731"/>
      <c r="D75" s="731"/>
      <c r="E75" s="731"/>
      <c r="F75" s="731"/>
      <c r="G75" s="731"/>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217"/>
      <c r="DB75" s="228"/>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95" t="s">
        <v>536</v>
      </c>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5"/>
      <c r="BT76" s="595"/>
      <c r="BU76" s="595"/>
      <c r="BV76" s="595"/>
      <c r="BW76" s="595"/>
      <c r="BX76" s="595"/>
      <c r="BY76" s="595"/>
      <c r="BZ76" s="595"/>
      <c r="CA76" s="595"/>
      <c r="CB76" s="595"/>
      <c r="CC76" s="595"/>
      <c r="CD76" s="595"/>
      <c r="CE76" s="595"/>
      <c r="CF76" s="595"/>
      <c r="CG76" s="595"/>
      <c r="CH76" s="595"/>
      <c r="CI76" s="595"/>
      <c r="CJ76" s="595"/>
      <c r="CK76" s="595"/>
      <c r="CL76" s="595"/>
      <c r="CM76" s="595"/>
      <c r="CN76" s="595"/>
      <c r="CO76" s="595"/>
      <c r="CP76" s="595"/>
      <c r="CQ76" s="595"/>
      <c r="CR76" s="595"/>
      <c r="CS76" s="595"/>
      <c r="CT76" s="595"/>
      <c r="CU76" s="595"/>
      <c r="CV76" s="595"/>
      <c r="CW76" s="595"/>
      <c r="CX76" s="595"/>
      <c r="CY76" s="595"/>
      <c r="CZ76" s="595"/>
      <c r="DA76" s="217"/>
      <c r="DB76" s="228"/>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7"/>
      <c r="DB77" s="228"/>
    </row>
    <row r="78" spans="1:106" s="16" customFormat="1" ht="44.25" hidden="1" customHeight="1" x14ac:dyDescent="0.3">
      <c r="A78" s="597" t="s">
        <v>49</v>
      </c>
      <c r="B78" s="598"/>
      <c r="C78" s="598"/>
      <c r="D78" s="598"/>
      <c r="E78" s="598"/>
      <c r="F78" s="599"/>
      <c r="G78" s="475" t="s">
        <v>57</v>
      </c>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s="597" t="s">
        <v>59</v>
      </c>
      <c r="AZ78" s="598"/>
      <c r="BA78" s="598"/>
      <c r="BB78" s="598"/>
      <c r="BC78" s="598"/>
      <c r="BD78" s="598"/>
      <c r="BE78" s="598"/>
      <c r="BF78" s="598"/>
      <c r="BG78" s="598"/>
      <c r="BH78" s="598"/>
      <c r="BI78" s="598"/>
      <c r="BJ78" s="598"/>
      <c r="BK78" s="598"/>
      <c r="BL78" s="598"/>
      <c r="BM78" s="598"/>
      <c r="BN78" s="598"/>
      <c r="BO78" s="598"/>
      <c r="BP78" s="599"/>
      <c r="BQ78" s="597" t="s">
        <v>306</v>
      </c>
      <c r="BR78" s="598"/>
      <c r="BS78" s="598"/>
      <c r="BT78" s="598"/>
      <c r="BU78" s="598"/>
      <c r="BV78" s="598"/>
      <c r="BW78" s="598"/>
      <c r="BX78" s="598"/>
      <c r="BY78" s="598"/>
      <c r="BZ78" s="598"/>
      <c r="CA78" s="598"/>
      <c r="CB78" s="598"/>
      <c r="CC78" s="598"/>
      <c r="CD78" s="598"/>
      <c r="CE78" s="598"/>
      <c r="CF78" s="598"/>
      <c r="CG78" s="598"/>
      <c r="CH78" s="599"/>
      <c r="CI78" s="597" t="s">
        <v>61</v>
      </c>
      <c r="CJ78" s="598"/>
      <c r="CK78" s="598"/>
      <c r="CL78" s="598"/>
      <c r="CM78" s="598"/>
      <c r="CN78" s="598"/>
      <c r="CO78" s="598"/>
      <c r="CP78" s="598"/>
      <c r="CQ78" s="598"/>
      <c r="CR78" s="598"/>
      <c r="CS78" s="598"/>
      <c r="CT78" s="598"/>
      <c r="CU78" s="598"/>
      <c r="CV78" s="598"/>
      <c r="CW78" s="598"/>
      <c r="CX78" s="598"/>
      <c r="CY78" s="598"/>
      <c r="CZ78" s="598"/>
      <c r="DA78" s="217"/>
      <c r="DB78" s="228"/>
    </row>
    <row r="79" spans="1:106" s="16" customFormat="1" ht="15" hidden="1" customHeight="1" x14ac:dyDescent="0.3">
      <c r="A79" s="591">
        <v>1</v>
      </c>
      <c r="B79" s="591"/>
      <c r="C79" s="591"/>
      <c r="D79" s="591"/>
      <c r="E79" s="591"/>
      <c r="F79" s="591"/>
      <c r="G79" s="591">
        <v>2</v>
      </c>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v>3</v>
      </c>
      <c r="AE79" s="591"/>
      <c r="AF79" s="591"/>
      <c r="AG79" s="591"/>
      <c r="AH79" s="591"/>
      <c r="AI79" s="591"/>
      <c r="AJ79" s="591"/>
      <c r="AK79" s="591"/>
      <c r="AL79" s="591"/>
      <c r="AM79" s="591"/>
      <c r="AN79" s="591"/>
      <c r="AO79" s="591"/>
      <c r="AP79" s="591"/>
      <c r="AQ79" s="591"/>
      <c r="AR79" s="591"/>
      <c r="AS79" s="591"/>
      <c r="AT79" s="591"/>
      <c r="AU79" s="591"/>
      <c r="AV79" s="591"/>
      <c r="AW79" s="591"/>
      <c r="AX79" s="591"/>
      <c r="AY79" s="591">
        <v>4</v>
      </c>
      <c r="AZ79" s="591"/>
      <c r="BA79" s="591"/>
      <c r="BB79" s="591"/>
      <c r="BC79" s="591"/>
      <c r="BD79" s="591"/>
      <c r="BE79" s="591"/>
      <c r="BF79" s="591"/>
      <c r="BG79" s="591"/>
      <c r="BH79" s="591"/>
      <c r="BI79" s="591"/>
      <c r="BJ79" s="591"/>
      <c r="BK79" s="591"/>
      <c r="BL79" s="591"/>
      <c r="BM79" s="591"/>
      <c r="BN79" s="591"/>
      <c r="BO79" s="591"/>
      <c r="BP79" s="591"/>
      <c r="BQ79" s="591">
        <v>5</v>
      </c>
      <c r="BR79" s="591"/>
      <c r="BS79" s="591"/>
      <c r="BT79" s="591"/>
      <c r="BU79" s="591"/>
      <c r="BV79" s="591"/>
      <c r="BW79" s="591"/>
      <c r="BX79" s="591"/>
      <c r="BY79" s="591"/>
      <c r="BZ79" s="591"/>
      <c r="CA79" s="591"/>
      <c r="CB79" s="591"/>
      <c r="CC79" s="591"/>
      <c r="CD79" s="591"/>
      <c r="CE79" s="591"/>
      <c r="CF79" s="591"/>
      <c r="CG79" s="591"/>
      <c r="CH79" s="591"/>
      <c r="CI79" s="591">
        <v>6</v>
      </c>
      <c r="CJ79" s="591"/>
      <c r="CK79" s="591"/>
      <c r="CL79" s="591"/>
      <c r="CM79" s="591"/>
      <c r="CN79" s="591"/>
      <c r="CO79" s="591"/>
      <c r="CP79" s="591"/>
      <c r="CQ79" s="591"/>
      <c r="CR79" s="591"/>
      <c r="CS79" s="591"/>
      <c r="CT79" s="591"/>
      <c r="CU79" s="591"/>
      <c r="CV79" s="591"/>
      <c r="CW79" s="591"/>
      <c r="CX79" s="591"/>
      <c r="CY79" s="591"/>
      <c r="CZ79" s="661"/>
      <c r="DA79" s="217"/>
      <c r="DB79" s="228"/>
    </row>
    <row r="80" spans="1:106" s="16" customFormat="1" ht="15" hidden="1" customHeight="1" x14ac:dyDescent="0.3">
      <c r="A80" s="656" t="s">
        <v>547</v>
      </c>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57"/>
      <c r="BQ80" s="657"/>
      <c r="BR80" s="657"/>
      <c r="BS80" s="657"/>
      <c r="BT80" s="657"/>
      <c r="BU80" s="657"/>
      <c r="BV80" s="657"/>
      <c r="BW80" s="657"/>
      <c r="BX80" s="657"/>
      <c r="BY80" s="657"/>
      <c r="BZ80" s="657"/>
      <c r="CA80" s="657"/>
      <c r="CB80" s="657"/>
      <c r="CC80" s="657"/>
      <c r="CD80" s="657"/>
      <c r="CE80" s="657"/>
      <c r="CF80" s="657"/>
      <c r="CG80" s="657"/>
      <c r="CH80" s="657"/>
      <c r="CI80" s="657"/>
      <c r="CJ80" s="657"/>
      <c r="CK80" s="657"/>
      <c r="CL80" s="657"/>
      <c r="CM80" s="657"/>
      <c r="CN80" s="657"/>
      <c r="CO80" s="657"/>
      <c r="CP80" s="657"/>
      <c r="CQ80" s="657"/>
      <c r="CR80" s="657"/>
      <c r="CS80" s="657"/>
      <c r="CT80" s="657"/>
      <c r="CU80" s="657"/>
      <c r="CV80" s="657"/>
      <c r="CW80" s="657"/>
      <c r="CX80" s="657"/>
      <c r="CY80" s="657"/>
      <c r="CZ80" s="657"/>
      <c r="DA80" s="217"/>
      <c r="DB80" s="228"/>
    </row>
    <row r="81" spans="1:106" s="16" customFormat="1" ht="38.25" hidden="1" customHeight="1" x14ac:dyDescent="0.3">
      <c r="A81" s="630" t="s">
        <v>441</v>
      </c>
      <c r="B81" s="631"/>
      <c r="C81" s="631"/>
      <c r="D81" s="631"/>
      <c r="E81" s="631"/>
      <c r="F81" s="632"/>
      <c r="G81" s="584" t="s">
        <v>548</v>
      </c>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6"/>
      <c r="AY81" s="544"/>
      <c r="AZ81" s="545"/>
      <c r="BA81" s="545"/>
      <c r="BB81" s="545"/>
      <c r="BC81" s="545"/>
      <c r="BD81" s="545"/>
      <c r="BE81" s="545"/>
      <c r="BF81" s="545"/>
      <c r="BG81" s="545"/>
      <c r="BH81" s="545"/>
      <c r="BI81" s="545"/>
      <c r="BJ81" s="545"/>
      <c r="BK81" s="545"/>
      <c r="BL81" s="545"/>
      <c r="BM81" s="545"/>
      <c r="BN81" s="545"/>
      <c r="BO81" s="545"/>
      <c r="BP81" s="546"/>
      <c r="BQ81" s="627"/>
      <c r="BR81" s="628"/>
      <c r="BS81" s="628"/>
      <c r="BT81" s="628"/>
      <c r="BU81" s="628"/>
      <c r="BV81" s="628"/>
      <c r="BW81" s="628"/>
      <c r="BX81" s="628"/>
      <c r="BY81" s="628"/>
      <c r="BZ81" s="628"/>
      <c r="CA81" s="628"/>
      <c r="CB81" s="628"/>
      <c r="CC81" s="628"/>
      <c r="CD81" s="628"/>
      <c r="CE81" s="628"/>
      <c r="CF81" s="628"/>
      <c r="CG81" s="628"/>
      <c r="CH81" s="629"/>
      <c r="CI81" s="627"/>
      <c r="CJ81" s="628"/>
      <c r="CK81" s="628"/>
      <c r="CL81" s="628"/>
      <c r="CM81" s="628"/>
      <c r="CN81" s="628"/>
      <c r="CO81" s="628"/>
      <c r="CP81" s="628"/>
      <c r="CQ81" s="628"/>
      <c r="CR81" s="628"/>
      <c r="CS81" s="628"/>
      <c r="CT81" s="628"/>
      <c r="CU81" s="628"/>
      <c r="CV81" s="628"/>
      <c r="CW81" s="628"/>
      <c r="CX81" s="628"/>
      <c r="CY81" s="628"/>
      <c r="CZ81" s="628"/>
      <c r="DA81" s="217"/>
      <c r="DB81" s="228"/>
    </row>
    <row r="82" spans="1:106" s="16" customFormat="1" ht="43.5" hidden="1" customHeight="1" x14ac:dyDescent="0.3">
      <c r="A82" s="630" t="s">
        <v>444</v>
      </c>
      <c r="B82" s="631"/>
      <c r="C82" s="631"/>
      <c r="D82" s="631"/>
      <c r="E82" s="631"/>
      <c r="F82" s="632"/>
      <c r="G82" s="584" t="s">
        <v>549</v>
      </c>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6"/>
      <c r="AY82" s="544"/>
      <c r="AZ82" s="545"/>
      <c r="BA82" s="545"/>
      <c r="BB82" s="545"/>
      <c r="BC82" s="545"/>
      <c r="BD82" s="545"/>
      <c r="BE82" s="545"/>
      <c r="BF82" s="545"/>
      <c r="BG82" s="545"/>
      <c r="BH82" s="545"/>
      <c r="BI82" s="545"/>
      <c r="BJ82" s="545"/>
      <c r="BK82" s="545"/>
      <c r="BL82" s="545"/>
      <c r="BM82" s="545"/>
      <c r="BN82" s="545"/>
      <c r="BO82" s="545"/>
      <c r="BP82" s="546"/>
      <c r="BQ82" s="627"/>
      <c r="BR82" s="628"/>
      <c r="BS82" s="628"/>
      <c r="BT82" s="628"/>
      <c r="BU82" s="628"/>
      <c r="BV82" s="628"/>
      <c r="BW82" s="628"/>
      <c r="BX82" s="628"/>
      <c r="BY82" s="628"/>
      <c r="BZ82" s="628"/>
      <c r="CA82" s="628"/>
      <c r="CB82" s="628"/>
      <c r="CC82" s="628"/>
      <c r="CD82" s="628"/>
      <c r="CE82" s="628"/>
      <c r="CF82" s="628"/>
      <c r="CG82" s="628"/>
      <c r="CH82" s="629"/>
      <c r="CI82" s="627"/>
      <c r="CJ82" s="628"/>
      <c r="CK82" s="628"/>
      <c r="CL82" s="628"/>
      <c r="CM82" s="628"/>
      <c r="CN82" s="628"/>
      <c r="CO82" s="628"/>
      <c r="CP82" s="628"/>
      <c r="CQ82" s="628"/>
      <c r="CR82" s="628"/>
      <c r="CS82" s="628"/>
      <c r="CT82" s="628"/>
      <c r="CU82" s="628"/>
      <c r="CV82" s="628"/>
      <c r="CW82" s="628"/>
      <c r="CX82" s="628"/>
      <c r="CY82" s="628"/>
      <c r="CZ82" s="628"/>
      <c r="DA82" s="217"/>
      <c r="DB82" s="228"/>
    </row>
    <row r="83" spans="1:106" s="16" customFormat="1" ht="39.75" hidden="1" customHeight="1" x14ac:dyDescent="0.3">
      <c r="A83" s="630" t="s">
        <v>446</v>
      </c>
      <c r="B83" s="631"/>
      <c r="C83" s="631"/>
      <c r="D83" s="631"/>
      <c r="E83" s="631"/>
      <c r="F83" s="632"/>
      <c r="G83" s="584" t="s">
        <v>552</v>
      </c>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6"/>
      <c r="AY83" s="544"/>
      <c r="AZ83" s="545"/>
      <c r="BA83" s="545"/>
      <c r="BB83" s="545"/>
      <c r="BC83" s="545"/>
      <c r="BD83" s="545"/>
      <c r="BE83" s="545"/>
      <c r="BF83" s="545"/>
      <c r="BG83" s="545"/>
      <c r="BH83" s="545"/>
      <c r="BI83" s="545"/>
      <c r="BJ83" s="545"/>
      <c r="BK83" s="545"/>
      <c r="BL83" s="545"/>
      <c r="BM83" s="545"/>
      <c r="BN83" s="545"/>
      <c r="BO83" s="545"/>
      <c r="BP83" s="546"/>
      <c r="BQ83" s="627"/>
      <c r="BR83" s="628"/>
      <c r="BS83" s="628"/>
      <c r="BT83" s="628"/>
      <c r="BU83" s="628"/>
      <c r="BV83" s="628"/>
      <c r="BW83" s="628"/>
      <c r="BX83" s="628"/>
      <c r="BY83" s="628"/>
      <c r="BZ83" s="628"/>
      <c r="CA83" s="628"/>
      <c r="CB83" s="628"/>
      <c r="CC83" s="628"/>
      <c r="CD83" s="628"/>
      <c r="CE83" s="628"/>
      <c r="CF83" s="628"/>
      <c r="CG83" s="628"/>
      <c r="CH83" s="629"/>
      <c r="CI83" s="627"/>
      <c r="CJ83" s="628"/>
      <c r="CK83" s="628"/>
      <c r="CL83" s="628"/>
      <c r="CM83" s="628"/>
      <c r="CN83" s="628"/>
      <c r="CO83" s="628"/>
      <c r="CP83" s="628"/>
      <c r="CQ83" s="628"/>
      <c r="CR83" s="628"/>
      <c r="CS83" s="628"/>
      <c r="CT83" s="628"/>
      <c r="CU83" s="628"/>
      <c r="CV83" s="628"/>
      <c r="CW83" s="628"/>
      <c r="CX83" s="628"/>
      <c r="CY83" s="628"/>
      <c r="CZ83" s="628"/>
      <c r="DA83" s="217"/>
      <c r="DB83" s="228"/>
    </row>
    <row r="84" spans="1:106" s="16" customFormat="1" ht="15" hidden="1" customHeight="1" x14ac:dyDescent="0.3">
      <c r="A84" s="633" t="s">
        <v>292</v>
      </c>
      <c r="B84" s="634"/>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5"/>
      <c r="AY84" s="544" t="s">
        <v>4</v>
      </c>
      <c r="AZ84" s="545"/>
      <c r="BA84" s="545"/>
      <c r="BB84" s="545"/>
      <c r="BC84" s="545"/>
      <c r="BD84" s="545"/>
      <c r="BE84" s="545"/>
      <c r="BF84" s="545"/>
      <c r="BG84" s="545"/>
      <c r="BH84" s="545"/>
      <c r="BI84" s="545"/>
      <c r="BJ84" s="545"/>
      <c r="BK84" s="545"/>
      <c r="BL84" s="545"/>
      <c r="BM84" s="545"/>
      <c r="BN84" s="545"/>
      <c r="BO84" s="545"/>
      <c r="BP84" s="546"/>
      <c r="BQ84" s="544" t="s">
        <v>4</v>
      </c>
      <c r="BR84" s="545"/>
      <c r="BS84" s="545"/>
      <c r="BT84" s="545"/>
      <c r="BU84" s="545"/>
      <c r="BV84" s="545"/>
      <c r="BW84" s="545"/>
      <c r="BX84" s="545"/>
      <c r="BY84" s="545"/>
      <c r="BZ84" s="545"/>
      <c r="CA84" s="545"/>
      <c r="CB84" s="545"/>
      <c r="CC84" s="545"/>
      <c r="CD84" s="545"/>
      <c r="CE84" s="545"/>
      <c r="CF84" s="545"/>
      <c r="CG84" s="545"/>
      <c r="CH84" s="546"/>
      <c r="CI84" s="636">
        <f>CI81+CI82+CI83</f>
        <v>0</v>
      </c>
      <c r="CJ84" s="654"/>
      <c r="CK84" s="654"/>
      <c r="CL84" s="654"/>
      <c r="CM84" s="654"/>
      <c r="CN84" s="654"/>
      <c r="CO84" s="654"/>
      <c r="CP84" s="654"/>
      <c r="CQ84" s="654"/>
      <c r="CR84" s="654"/>
      <c r="CS84" s="654"/>
      <c r="CT84" s="654"/>
      <c r="CU84" s="654"/>
      <c r="CV84" s="654"/>
      <c r="CW84" s="654"/>
      <c r="CX84" s="654"/>
      <c r="CY84" s="654"/>
      <c r="CZ84" s="654"/>
      <c r="DA84" s="217"/>
      <c r="DB84" s="228"/>
    </row>
    <row r="85" spans="1:106" s="16" customFormat="1" ht="15" hidden="1" customHeight="1" x14ac:dyDescent="0.3">
      <c r="A85" s="630"/>
      <c r="B85" s="631"/>
      <c r="C85" s="631"/>
      <c r="D85" s="631"/>
      <c r="E85" s="631"/>
      <c r="F85" s="632"/>
      <c r="G85" s="630" t="s">
        <v>56</v>
      </c>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2"/>
      <c r="AY85" s="544" t="s">
        <v>4</v>
      </c>
      <c r="AZ85" s="545"/>
      <c r="BA85" s="545"/>
      <c r="BB85" s="545"/>
      <c r="BC85" s="545"/>
      <c r="BD85" s="545"/>
      <c r="BE85" s="545"/>
      <c r="BF85" s="545"/>
      <c r="BG85" s="545"/>
      <c r="BH85" s="545"/>
      <c r="BI85" s="545"/>
      <c r="BJ85" s="545"/>
      <c r="BK85" s="545"/>
      <c r="BL85" s="545"/>
      <c r="BM85" s="545"/>
      <c r="BN85" s="545"/>
      <c r="BO85" s="545"/>
      <c r="BP85" s="546"/>
      <c r="BQ85" s="544" t="s">
        <v>4</v>
      </c>
      <c r="BR85" s="545"/>
      <c r="BS85" s="545"/>
      <c r="BT85" s="545"/>
      <c r="BU85" s="545"/>
      <c r="BV85" s="545"/>
      <c r="BW85" s="545"/>
      <c r="BX85" s="545"/>
      <c r="BY85" s="545"/>
      <c r="BZ85" s="545"/>
      <c r="CA85" s="545"/>
      <c r="CB85" s="545"/>
      <c r="CC85" s="545"/>
      <c r="CD85" s="545"/>
      <c r="CE85" s="545"/>
      <c r="CF85" s="545"/>
      <c r="CG85" s="545"/>
      <c r="CH85" s="546"/>
      <c r="CI85" s="636">
        <f>CI84</f>
        <v>0</v>
      </c>
      <c r="CJ85" s="654"/>
      <c r="CK85" s="654"/>
      <c r="CL85" s="654"/>
      <c r="CM85" s="654"/>
      <c r="CN85" s="654"/>
      <c r="CO85" s="654"/>
      <c r="CP85" s="654"/>
      <c r="CQ85" s="654"/>
      <c r="CR85" s="654"/>
      <c r="CS85" s="654"/>
      <c r="CT85" s="654"/>
      <c r="CU85" s="654"/>
      <c r="CV85" s="654"/>
      <c r="CW85" s="654"/>
      <c r="CX85" s="654"/>
      <c r="CY85" s="654"/>
      <c r="CZ85" s="654"/>
      <c r="DA85" s="217">
        <f>CI85</f>
        <v>0</v>
      </c>
      <c r="DB85" s="228"/>
    </row>
    <row r="86" spans="1:106" s="16" customFormat="1" ht="15" hidden="1"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9"/>
      <c r="CJ86" s="229"/>
      <c r="CK86" s="229"/>
      <c r="CL86" s="229"/>
      <c r="CM86" s="229"/>
      <c r="CN86" s="229"/>
      <c r="CO86" s="229"/>
      <c r="CP86" s="229"/>
      <c r="CQ86" s="229"/>
      <c r="CR86" s="229"/>
      <c r="CS86" s="229"/>
      <c r="CT86" s="229"/>
      <c r="CU86" s="229"/>
      <c r="CV86" s="229"/>
      <c r="CW86" s="229"/>
      <c r="CX86" s="229"/>
      <c r="CY86" s="229"/>
      <c r="CZ86" s="229"/>
      <c r="DA86" s="230"/>
      <c r="DB86" s="230"/>
    </row>
    <row r="87" spans="1:106" s="16" customFormat="1" ht="15" hidden="1"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9"/>
      <c r="CJ87" s="229"/>
      <c r="CK87" s="229"/>
      <c r="CL87" s="229"/>
      <c r="CM87" s="229"/>
      <c r="CN87" s="229"/>
      <c r="CO87" s="229"/>
      <c r="CP87" s="229"/>
      <c r="CQ87" s="229"/>
      <c r="CR87" s="229"/>
      <c r="CS87" s="229"/>
      <c r="CT87" s="229"/>
      <c r="CU87" s="229"/>
      <c r="CV87" s="229"/>
      <c r="CW87" s="229"/>
      <c r="CX87" s="229"/>
      <c r="CY87" s="229"/>
      <c r="CZ87" s="229"/>
      <c r="DA87" s="230"/>
      <c r="DB87" s="230"/>
    </row>
    <row r="88" spans="1:106" s="16" customFormat="1" ht="15" customHeight="1" x14ac:dyDescent="0.25">
      <c r="A88" s="731" t="s">
        <v>305</v>
      </c>
      <c r="B88" s="731"/>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230"/>
      <c r="DB88" s="230"/>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95" t="s">
        <v>553</v>
      </c>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5"/>
      <c r="BT89" s="595"/>
      <c r="BU89" s="595"/>
      <c r="BV89" s="595"/>
      <c r="BW89" s="595"/>
      <c r="BX89" s="595"/>
      <c r="BY89" s="595"/>
      <c r="BZ89" s="595"/>
      <c r="CA89" s="595"/>
      <c r="CB89" s="595"/>
      <c r="CC89" s="595"/>
      <c r="CD89" s="595"/>
      <c r="CE89" s="595"/>
      <c r="CF89" s="595"/>
      <c r="CG89" s="595"/>
      <c r="CH89" s="595"/>
      <c r="CI89" s="595"/>
      <c r="CJ89" s="595"/>
      <c r="CK89" s="595"/>
      <c r="CL89" s="595"/>
      <c r="CM89" s="595"/>
      <c r="CN89" s="595"/>
      <c r="CO89" s="595"/>
      <c r="CP89" s="595"/>
      <c r="CQ89" s="595"/>
      <c r="CR89" s="595"/>
      <c r="CS89" s="595"/>
      <c r="CT89" s="595"/>
      <c r="CU89" s="595"/>
      <c r="CV89" s="595"/>
      <c r="CW89" s="595"/>
      <c r="CX89" s="595"/>
      <c r="CY89" s="595"/>
      <c r="CZ89" s="595"/>
      <c r="DA89" s="230">
        <v>226</v>
      </c>
      <c r="DB89" s="230"/>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31"/>
      <c r="DB90" s="230"/>
    </row>
    <row r="91" spans="1:106" s="16" customFormat="1" ht="26.25" customHeight="1" x14ac:dyDescent="0.25">
      <c r="A91" s="597" t="s">
        <v>49</v>
      </c>
      <c r="B91" s="598"/>
      <c r="C91" s="598"/>
      <c r="D91" s="598"/>
      <c r="E91" s="598"/>
      <c r="F91" s="599"/>
      <c r="G91" s="475" t="s">
        <v>57</v>
      </c>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7"/>
      <c r="AY91" s="597" t="s">
        <v>59</v>
      </c>
      <c r="AZ91" s="598"/>
      <c r="BA91" s="598"/>
      <c r="BB91" s="598"/>
      <c r="BC91" s="598"/>
      <c r="BD91" s="598"/>
      <c r="BE91" s="598"/>
      <c r="BF91" s="598"/>
      <c r="BG91" s="598"/>
      <c r="BH91" s="598"/>
      <c r="BI91" s="598"/>
      <c r="BJ91" s="598"/>
      <c r="BK91" s="598"/>
      <c r="BL91" s="598"/>
      <c r="BM91" s="598"/>
      <c r="BN91" s="598"/>
      <c r="BO91" s="598"/>
      <c r="BP91" s="599"/>
      <c r="BQ91" s="597" t="s">
        <v>306</v>
      </c>
      <c r="BR91" s="598"/>
      <c r="BS91" s="598"/>
      <c r="BT91" s="598"/>
      <c r="BU91" s="598"/>
      <c r="BV91" s="598"/>
      <c r="BW91" s="598"/>
      <c r="BX91" s="598"/>
      <c r="BY91" s="598"/>
      <c r="BZ91" s="598"/>
      <c r="CA91" s="598"/>
      <c r="CB91" s="598"/>
      <c r="CC91" s="598"/>
      <c r="CD91" s="598"/>
      <c r="CE91" s="598"/>
      <c r="CF91" s="598"/>
      <c r="CG91" s="598"/>
      <c r="CH91" s="599"/>
      <c r="CI91" s="597" t="s">
        <v>61</v>
      </c>
      <c r="CJ91" s="598"/>
      <c r="CK91" s="598"/>
      <c r="CL91" s="598"/>
      <c r="CM91" s="598"/>
      <c r="CN91" s="598"/>
      <c r="CO91" s="598"/>
      <c r="CP91" s="598"/>
      <c r="CQ91" s="598"/>
      <c r="CR91" s="598"/>
      <c r="CS91" s="598"/>
      <c r="CT91" s="598"/>
      <c r="CU91" s="598"/>
      <c r="CV91" s="598"/>
      <c r="CW91" s="598"/>
      <c r="CX91" s="598"/>
      <c r="CY91" s="598"/>
      <c r="CZ91" s="598"/>
      <c r="DA91" s="230"/>
      <c r="DB91" s="230"/>
    </row>
    <row r="92" spans="1:106" s="16" customFormat="1" ht="15" customHeight="1" x14ac:dyDescent="0.3">
      <c r="A92" s="591">
        <v>1</v>
      </c>
      <c r="B92" s="591"/>
      <c r="C92" s="591"/>
      <c r="D92" s="591"/>
      <c r="E92" s="591"/>
      <c r="F92" s="591"/>
      <c r="G92" s="591">
        <v>2</v>
      </c>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v>3</v>
      </c>
      <c r="AE92" s="591"/>
      <c r="AF92" s="591"/>
      <c r="AG92" s="591"/>
      <c r="AH92" s="591"/>
      <c r="AI92" s="591"/>
      <c r="AJ92" s="591"/>
      <c r="AK92" s="591"/>
      <c r="AL92" s="591"/>
      <c r="AM92" s="591"/>
      <c r="AN92" s="591"/>
      <c r="AO92" s="591"/>
      <c r="AP92" s="591"/>
      <c r="AQ92" s="591"/>
      <c r="AR92" s="591"/>
      <c r="AS92" s="591"/>
      <c r="AT92" s="591"/>
      <c r="AU92" s="591"/>
      <c r="AV92" s="591"/>
      <c r="AW92" s="591"/>
      <c r="AX92" s="591"/>
      <c r="AY92" s="591">
        <v>4</v>
      </c>
      <c r="AZ92" s="591"/>
      <c r="BA92" s="591"/>
      <c r="BB92" s="591"/>
      <c r="BC92" s="591"/>
      <c r="BD92" s="591"/>
      <c r="BE92" s="591"/>
      <c r="BF92" s="591"/>
      <c r="BG92" s="591"/>
      <c r="BH92" s="591"/>
      <c r="BI92" s="591"/>
      <c r="BJ92" s="591"/>
      <c r="BK92" s="591"/>
      <c r="BL92" s="591"/>
      <c r="BM92" s="591"/>
      <c r="BN92" s="591"/>
      <c r="BO92" s="591"/>
      <c r="BP92" s="591"/>
      <c r="BQ92" s="591">
        <v>5</v>
      </c>
      <c r="BR92" s="591"/>
      <c r="BS92" s="591"/>
      <c r="BT92" s="591"/>
      <c r="BU92" s="591"/>
      <c r="BV92" s="591"/>
      <c r="BW92" s="591"/>
      <c r="BX92" s="591"/>
      <c r="BY92" s="591"/>
      <c r="BZ92" s="591"/>
      <c r="CA92" s="591"/>
      <c r="CB92" s="591"/>
      <c r="CC92" s="591"/>
      <c r="CD92" s="591"/>
      <c r="CE92" s="591"/>
      <c r="CF92" s="591"/>
      <c r="CG92" s="591"/>
      <c r="CH92" s="591"/>
      <c r="CI92" s="591">
        <v>6</v>
      </c>
      <c r="CJ92" s="591"/>
      <c r="CK92" s="591"/>
      <c r="CL92" s="591"/>
      <c r="CM92" s="591"/>
      <c r="CN92" s="591"/>
      <c r="CO92" s="591"/>
      <c r="CP92" s="591"/>
      <c r="CQ92" s="591"/>
      <c r="CR92" s="591"/>
      <c r="CS92" s="591"/>
      <c r="CT92" s="591"/>
      <c r="CU92" s="591"/>
      <c r="CV92" s="591"/>
      <c r="CW92" s="591"/>
      <c r="CX92" s="591"/>
      <c r="CY92" s="591"/>
      <c r="CZ92" s="591"/>
      <c r="DA92" s="214"/>
    </row>
    <row r="93" spans="1:106" s="16" customFormat="1" ht="15" customHeight="1" x14ac:dyDescent="0.3">
      <c r="A93" s="656" t="s">
        <v>537</v>
      </c>
      <c r="B93" s="657"/>
      <c r="C93" s="657"/>
      <c r="D93" s="657"/>
      <c r="E93" s="657"/>
      <c r="F93" s="657"/>
      <c r="G93" s="657"/>
      <c r="H93" s="657"/>
      <c r="I93" s="657"/>
      <c r="J93" s="657"/>
      <c r="K93" s="657"/>
      <c r="L93" s="657"/>
      <c r="M93" s="657"/>
      <c r="N93" s="657"/>
      <c r="O93" s="657"/>
      <c r="P93" s="657"/>
      <c r="Q93" s="657"/>
      <c r="R93" s="657"/>
      <c r="S93" s="657"/>
      <c r="T93" s="657"/>
      <c r="U93" s="657"/>
      <c r="V93" s="657"/>
      <c r="W93" s="657"/>
      <c r="X93" s="657"/>
      <c r="Y93" s="657"/>
      <c r="Z93" s="657"/>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57"/>
      <c r="BQ93" s="657"/>
      <c r="BR93" s="657"/>
      <c r="BS93" s="657"/>
      <c r="BT93" s="657"/>
      <c r="BU93" s="657"/>
      <c r="BV93" s="657"/>
      <c r="BW93" s="657"/>
      <c r="BX93" s="657"/>
      <c r="BY93" s="657"/>
      <c r="BZ93" s="657"/>
      <c r="CA93" s="657"/>
      <c r="CB93" s="657"/>
      <c r="CC93" s="657"/>
      <c r="CD93" s="657"/>
      <c r="CE93" s="657"/>
      <c r="CF93" s="657"/>
      <c r="CG93" s="657"/>
      <c r="CH93" s="657"/>
      <c r="CI93" s="657"/>
      <c r="CJ93" s="657"/>
      <c r="CK93" s="657"/>
      <c r="CL93" s="657"/>
      <c r="CM93" s="657"/>
      <c r="CN93" s="657"/>
      <c r="CO93" s="657"/>
      <c r="CP93" s="657"/>
      <c r="CQ93" s="657"/>
      <c r="CR93" s="657"/>
      <c r="CS93" s="657"/>
      <c r="CT93" s="657"/>
      <c r="CU93" s="657"/>
      <c r="CV93" s="657"/>
      <c r="CW93" s="657"/>
      <c r="CX93" s="657"/>
      <c r="CY93" s="657"/>
      <c r="CZ93" s="657"/>
      <c r="DA93" s="214"/>
    </row>
    <row r="94" spans="1:106" s="16" customFormat="1" ht="34.950000000000003" customHeight="1" x14ac:dyDescent="0.3">
      <c r="A94" s="630" t="s">
        <v>441</v>
      </c>
      <c r="B94" s="631"/>
      <c r="C94" s="631"/>
      <c r="D94" s="631"/>
      <c r="E94" s="631"/>
      <c r="F94" s="632"/>
      <c r="G94" s="584" t="s">
        <v>870</v>
      </c>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5"/>
      <c r="AL94" s="585"/>
      <c r="AM94" s="585"/>
      <c r="AN94" s="585"/>
      <c r="AO94" s="585"/>
      <c r="AP94" s="585"/>
      <c r="AQ94" s="585"/>
      <c r="AR94" s="585"/>
      <c r="AS94" s="585"/>
      <c r="AT94" s="585"/>
      <c r="AU94" s="585"/>
      <c r="AV94" s="585"/>
      <c r="AW94" s="585"/>
      <c r="AX94" s="586"/>
      <c r="AY94" s="544">
        <v>1</v>
      </c>
      <c r="AZ94" s="545"/>
      <c r="BA94" s="545"/>
      <c r="BB94" s="545"/>
      <c r="BC94" s="545"/>
      <c r="BD94" s="545"/>
      <c r="BE94" s="545"/>
      <c r="BF94" s="545"/>
      <c r="BG94" s="545"/>
      <c r="BH94" s="545"/>
      <c r="BI94" s="545"/>
      <c r="BJ94" s="545"/>
      <c r="BK94" s="545"/>
      <c r="BL94" s="545"/>
      <c r="BM94" s="545"/>
      <c r="BN94" s="545"/>
      <c r="BO94" s="545"/>
      <c r="BP94" s="546"/>
      <c r="BQ94" s="627">
        <v>10000</v>
      </c>
      <c r="BR94" s="628"/>
      <c r="BS94" s="628"/>
      <c r="BT94" s="628"/>
      <c r="BU94" s="628"/>
      <c r="BV94" s="628"/>
      <c r="BW94" s="628"/>
      <c r="BX94" s="628"/>
      <c r="BY94" s="628"/>
      <c r="BZ94" s="628"/>
      <c r="CA94" s="628"/>
      <c r="CB94" s="628"/>
      <c r="CC94" s="628"/>
      <c r="CD94" s="628"/>
      <c r="CE94" s="628"/>
      <c r="CF94" s="628"/>
      <c r="CG94" s="628"/>
      <c r="CH94" s="629"/>
      <c r="CI94" s="627">
        <f>BQ94*AY94</f>
        <v>10000</v>
      </c>
      <c r="CJ94" s="628"/>
      <c r="CK94" s="628"/>
      <c r="CL94" s="628"/>
      <c r="CM94" s="628"/>
      <c r="CN94" s="628"/>
      <c r="CO94" s="628"/>
      <c r="CP94" s="628"/>
      <c r="CQ94" s="628"/>
      <c r="CR94" s="628"/>
      <c r="CS94" s="628"/>
      <c r="CT94" s="628"/>
      <c r="CU94" s="628"/>
      <c r="CV94" s="628"/>
      <c r="CW94" s="628"/>
      <c r="CX94" s="628"/>
      <c r="CY94" s="628"/>
      <c r="CZ94" s="629"/>
      <c r="DA94" s="214"/>
    </row>
    <row r="95" spans="1:106" s="16" customFormat="1" ht="15" customHeight="1" x14ac:dyDescent="0.3">
      <c r="A95" s="633" t="s">
        <v>292</v>
      </c>
      <c r="B95" s="634"/>
      <c r="C95" s="634"/>
      <c r="D95" s="63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5"/>
      <c r="AY95" s="544" t="s">
        <v>4</v>
      </c>
      <c r="AZ95" s="545"/>
      <c r="BA95" s="545"/>
      <c r="BB95" s="545"/>
      <c r="BC95" s="545"/>
      <c r="BD95" s="545"/>
      <c r="BE95" s="545"/>
      <c r="BF95" s="545"/>
      <c r="BG95" s="545"/>
      <c r="BH95" s="545"/>
      <c r="BI95" s="545"/>
      <c r="BJ95" s="545"/>
      <c r="BK95" s="545"/>
      <c r="BL95" s="545"/>
      <c r="BM95" s="545"/>
      <c r="BN95" s="545"/>
      <c r="BO95" s="545"/>
      <c r="BP95" s="546"/>
      <c r="BQ95" s="544" t="s">
        <v>4</v>
      </c>
      <c r="BR95" s="545"/>
      <c r="BS95" s="545"/>
      <c r="BT95" s="545"/>
      <c r="BU95" s="545"/>
      <c r="BV95" s="545"/>
      <c r="BW95" s="545"/>
      <c r="BX95" s="545"/>
      <c r="BY95" s="545"/>
      <c r="BZ95" s="545"/>
      <c r="CA95" s="545"/>
      <c r="CB95" s="545"/>
      <c r="CC95" s="545"/>
      <c r="CD95" s="545"/>
      <c r="CE95" s="545"/>
      <c r="CF95" s="545"/>
      <c r="CG95" s="545"/>
      <c r="CH95" s="546"/>
      <c r="CI95" s="636">
        <f>CI94</f>
        <v>10000</v>
      </c>
      <c r="CJ95" s="654"/>
      <c r="CK95" s="654"/>
      <c r="CL95" s="654"/>
      <c r="CM95" s="654"/>
      <c r="CN95" s="654"/>
      <c r="CO95" s="654"/>
      <c r="CP95" s="654"/>
      <c r="CQ95" s="654"/>
      <c r="CR95" s="654"/>
      <c r="CS95" s="654"/>
      <c r="CT95" s="654"/>
      <c r="CU95" s="654"/>
      <c r="CV95" s="654"/>
      <c r="CW95" s="654"/>
      <c r="CX95" s="654"/>
      <c r="CY95" s="654"/>
      <c r="CZ95" s="655"/>
      <c r="DA95" s="214"/>
    </row>
    <row r="96" spans="1:106" s="16" customFormat="1" ht="15" customHeight="1" x14ac:dyDescent="0.3">
      <c r="A96" s="630"/>
      <c r="B96" s="631"/>
      <c r="C96" s="631"/>
      <c r="D96" s="631"/>
      <c r="E96" s="631"/>
      <c r="F96" s="632"/>
      <c r="G96" s="630" t="s">
        <v>56</v>
      </c>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2"/>
      <c r="AY96" s="544" t="s">
        <v>4</v>
      </c>
      <c r="AZ96" s="545"/>
      <c r="BA96" s="545"/>
      <c r="BB96" s="545"/>
      <c r="BC96" s="545"/>
      <c r="BD96" s="545"/>
      <c r="BE96" s="545"/>
      <c r="BF96" s="545"/>
      <c r="BG96" s="545"/>
      <c r="BH96" s="545"/>
      <c r="BI96" s="545"/>
      <c r="BJ96" s="545"/>
      <c r="BK96" s="545"/>
      <c r="BL96" s="545"/>
      <c r="BM96" s="545"/>
      <c r="BN96" s="545"/>
      <c r="BO96" s="545"/>
      <c r="BP96" s="546"/>
      <c r="BQ96" s="544" t="s">
        <v>4</v>
      </c>
      <c r="BR96" s="545"/>
      <c r="BS96" s="545"/>
      <c r="BT96" s="545"/>
      <c r="BU96" s="545"/>
      <c r="BV96" s="545"/>
      <c r="BW96" s="545"/>
      <c r="BX96" s="545"/>
      <c r="BY96" s="545"/>
      <c r="BZ96" s="545"/>
      <c r="CA96" s="545"/>
      <c r="CB96" s="545"/>
      <c r="CC96" s="545"/>
      <c r="CD96" s="545"/>
      <c r="CE96" s="545"/>
      <c r="CF96" s="545"/>
      <c r="CG96" s="545"/>
      <c r="CH96" s="546"/>
      <c r="CI96" s="636">
        <f>CI95</f>
        <v>10000</v>
      </c>
      <c r="CJ96" s="654"/>
      <c r="CK96" s="654"/>
      <c r="CL96" s="654"/>
      <c r="CM96" s="654"/>
      <c r="CN96" s="654"/>
      <c r="CO96" s="654"/>
      <c r="CP96" s="654"/>
      <c r="CQ96" s="654"/>
      <c r="CR96" s="654"/>
      <c r="CS96" s="654"/>
      <c r="CT96" s="654"/>
      <c r="CU96" s="654"/>
      <c r="CV96" s="654"/>
      <c r="CW96" s="654"/>
      <c r="CX96" s="654"/>
      <c r="CY96" s="654"/>
      <c r="CZ96" s="655"/>
      <c r="DA96" s="214"/>
    </row>
    <row r="97" spans="1:105" s="16" customFormat="1" ht="15" customHeight="1"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9"/>
      <c r="CJ97" s="229"/>
      <c r="CK97" s="229"/>
      <c r="CL97" s="229"/>
      <c r="CM97" s="229"/>
      <c r="CN97" s="229"/>
      <c r="CO97" s="229"/>
      <c r="CP97" s="229"/>
      <c r="CQ97" s="229"/>
      <c r="CR97" s="229"/>
      <c r="CS97" s="229"/>
      <c r="CT97" s="229"/>
      <c r="CU97" s="229"/>
      <c r="CV97" s="229"/>
      <c r="CW97" s="229"/>
      <c r="CX97" s="229"/>
      <c r="CY97" s="229"/>
      <c r="CZ97" s="229"/>
      <c r="DA97" s="220">
        <f>CI96</f>
        <v>10000</v>
      </c>
    </row>
    <row r="98" spans="1:105" s="20" customFormat="1" ht="26.4" customHeight="1" x14ac:dyDescent="0.25">
      <c r="A98" s="524" t="s">
        <v>376</v>
      </c>
      <c r="B98" s="524"/>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4"/>
      <c r="AZ98" s="524"/>
      <c r="BA98" s="524"/>
      <c r="BB98" s="524"/>
      <c r="BC98" s="524"/>
      <c r="BD98" s="524"/>
      <c r="BE98" s="524"/>
      <c r="BF98" s="524"/>
      <c r="BG98" s="524"/>
      <c r="BH98" s="524"/>
      <c r="BI98" s="524"/>
      <c r="BJ98" s="524"/>
      <c r="BK98" s="524"/>
      <c r="BL98" s="524"/>
      <c r="BM98" s="524"/>
      <c r="BN98" s="524"/>
      <c r="BO98" s="524"/>
      <c r="BP98" s="524"/>
      <c r="BQ98" s="524"/>
      <c r="BR98" s="524"/>
      <c r="BS98" s="524"/>
      <c r="BT98" s="524"/>
      <c r="BU98" s="524"/>
      <c r="BV98" s="524"/>
      <c r="BW98" s="524"/>
      <c r="BX98" s="524"/>
      <c r="BY98" s="524"/>
      <c r="BZ98" s="524"/>
      <c r="CA98" s="524"/>
      <c r="CB98" s="524"/>
      <c r="CC98" s="524"/>
      <c r="CD98" s="524"/>
      <c r="CE98" s="524"/>
      <c r="CF98" s="524"/>
      <c r="CG98" s="524"/>
      <c r="CH98" s="524"/>
      <c r="CI98" s="524"/>
      <c r="CJ98" s="524"/>
      <c r="CK98" s="524"/>
      <c r="CL98" s="524"/>
      <c r="CM98" s="524"/>
      <c r="CN98" s="524"/>
      <c r="CO98" s="524"/>
      <c r="CP98" s="524"/>
      <c r="CQ98" s="524"/>
      <c r="CR98" s="524"/>
      <c r="CS98" s="524"/>
      <c r="CT98" s="524"/>
      <c r="CU98" s="524"/>
      <c r="CV98" s="524"/>
      <c r="CW98" s="524"/>
      <c r="CX98" s="524"/>
      <c r="CY98" s="524"/>
      <c r="CZ98" s="524"/>
    </row>
    <row r="99" spans="1:105" s="20" customFormat="1" ht="9.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5" s="20" customFormat="1" x14ac:dyDescent="0.25">
      <c r="A100" s="20" t="s">
        <v>47</v>
      </c>
      <c r="W100" s="595" t="s">
        <v>553</v>
      </c>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595"/>
      <c r="BV100" s="595"/>
      <c r="BW100" s="595"/>
      <c r="BX100" s="595"/>
      <c r="BY100" s="595"/>
      <c r="BZ100" s="595"/>
      <c r="CA100" s="595"/>
      <c r="CB100" s="595"/>
      <c r="CC100" s="595"/>
      <c r="CD100" s="595"/>
      <c r="CE100" s="595"/>
      <c r="CF100" s="595"/>
      <c r="CG100" s="595"/>
      <c r="CH100" s="595"/>
      <c r="CI100" s="595"/>
      <c r="CJ100" s="595"/>
      <c r="CK100" s="595"/>
      <c r="CL100" s="595"/>
      <c r="CM100" s="595"/>
      <c r="CN100" s="595"/>
      <c r="CO100" s="595"/>
      <c r="CP100" s="595"/>
      <c r="CQ100" s="595"/>
      <c r="CR100" s="595"/>
      <c r="CS100" s="595"/>
      <c r="CT100" s="595"/>
      <c r="CU100" s="595"/>
      <c r="CV100" s="595"/>
      <c r="CW100" s="595"/>
      <c r="CX100" s="595"/>
      <c r="CY100" s="595"/>
      <c r="CZ100" s="595"/>
      <c r="DA100" s="230">
        <v>213.21100000000001</v>
      </c>
    </row>
    <row r="101" spans="1:105" s="20" customFormat="1" ht="15.6" customHeight="1" x14ac:dyDescent="0.25"/>
    <row r="102" spans="1:105" ht="55.5" customHeight="1" x14ac:dyDescent="0.25">
      <c r="A102" s="475" t="s">
        <v>49</v>
      </c>
      <c r="B102" s="476"/>
      <c r="C102" s="476"/>
      <c r="D102" s="476"/>
      <c r="E102" s="476"/>
      <c r="F102" s="477"/>
      <c r="G102" s="475" t="s">
        <v>64</v>
      </c>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476"/>
      <c r="BT102" s="476"/>
      <c r="BU102" s="477"/>
      <c r="BV102" s="475" t="s">
        <v>65</v>
      </c>
      <c r="BW102" s="476"/>
      <c r="BX102" s="476"/>
      <c r="BY102" s="476"/>
      <c r="BZ102" s="476"/>
      <c r="CA102" s="476"/>
      <c r="CB102" s="476"/>
      <c r="CC102" s="476"/>
      <c r="CD102" s="476"/>
      <c r="CE102" s="476"/>
      <c r="CF102" s="476"/>
      <c r="CG102" s="476"/>
      <c r="CH102" s="476"/>
      <c r="CI102" s="476"/>
      <c r="CJ102" s="476"/>
      <c r="CK102" s="477"/>
      <c r="CL102" s="475" t="s">
        <v>66</v>
      </c>
      <c r="CM102" s="476"/>
      <c r="CN102" s="476"/>
      <c r="CO102" s="476"/>
      <c r="CP102" s="476"/>
      <c r="CQ102" s="476"/>
      <c r="CR102" s="476"/>
      <c r="CS102" s="476"/>
      <c r="CT102" s="476"/>
      <c r="CU102" s="476"/>
      <c r="CV102" s="476"/>
      <c r="CW102" s="476"/>
      <c r="CX102" s="476"/>
      <c r="CY102" s="476"/>
      <c r="CZ102" s="476"/>
    </row>
    <row r="103" spans="1:105" s="17" customFormat="1" ht="13.2" x14ac:dyDescent="0.25">
      <c r="A103" s="661">
        <v>1</v>
      </c>
      <c r="B103" s="662"/>
      <c r="C103" s="662"/>
      <c r="D103" s="662"/>
      <c r="E103" s="662"/>
      <c r="F103" s="663"/>
      <c r="G103" s="661">
        <v>2</v>
      </c>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2"/>
      <c r="AY103" s="662"/>
      <c r="AZ103" s="662"/>
      <c r="BA103" s="662"/>
      <c r="BB103" s="662"/>
      <c r="BC103" s="662"/>
      <c r="BD103" s="662"/>
      <c r="BE103" s="662"/>
      <c r="BF103" s="662"/>
      <c r="BG103" s="662"/>
      <c r="BH103" s="662"/>
      <c r="BI103" s="662"/>
      <c r="BJ103" s="662"/>
      <c r="BK103" s="662"/>
      <c r="BL103" s="662"/>
      <c r="BM103" s="662"/>
      <c r="BN103" s="662"/>
      <c r="BO103" s="662"/>
      <c r="BP103" s="662"/>
      <c r="BQ103" s="662"/>
      <c r="BR103" s="662"/>
      <c r="BS103" s="662"/>
      <c r="BT103" s="662"/>
      <c r="BU103" s="663"/>
      <c r="BV103" s="661">
        <v>3</v>
      </c>
      <c r="BW103" s="662"/>
      <c r="BX103" s="662"/>
      <c r="BY103" s="662"/>
      <c r="BZ103" s="662"/>
      <c r="CA103" s="662"/>
      <c r="CB103" s="662"/>
      <c r="CC103" s="662"/>
      <c r="CD103" s="662"/>
      <c r="CE103" s="662"/>
      <c r="CF103" s="662"/>
      <c r="CG103" s="662"/>
      <c r="CH103" s="662"/>
      <c r="CI103" s="662"/>
      <c r="CJ103" s="662"/>
      <c r="CK103" s="663"/>
      <c r="CL103" s="661">
        <v>4</v>
      </c>
      <c r="CM103" s="662"/>
      <c r="CN103" s="662"/>
      <c r="CO103" s="662"/>
      <c r="CP103" s="662"/>
      <c r="CQ103" s="662"/>
      <c r="CR103" s="662"/>
      <c r="CS103" s="662"/>
      <c r="CT103" s="662"/>
      <c r="CU103" s="662"/>
      <c r="CV103" s="662"/>
      <c r="CW103" s="662"/>
      <c r="CX103" s="662"/>
      <c r="CY103" s="662"/>
      <c r="CZ103" s="663"/>
      <c r="DA103" s="232"/>
    </row>
    <row r="104" spans="1:105" s="16" customFormat="1" ht="15" customHeight="1" x14ac:dyDescent="0.3">
      <c r="A104" s="648" t="s">
        <v>569</v>
      </c>
      <c r="B104" s="649"/>
      <c r="C104" s="649"/>
      <c r="D104" s="649"/>
      <c r="E104" s="649"/>
      <c r="F104" s="649"/>
      <c r="G104" s="649"/>
      <c r="H104" s="649"/>
      <c r="I104" s="649"/>
      <c r="J104" s="649"/>
      <c r="K104" s="649"/>
      <c r="L104" s="649"/>
      <c r="M104" s="649"/>
      <c r="N104" s="649"/>
      <c r="O104" s="649"/>
      <c r="P104" s="649"/>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49"/>
      <c r="BA104" s="649"/>
      <c r="BB104" s="649"/>
      <c r="BC104" s="649"/>
      <c r="BD104" s="649"/>
      <c r="BE104" s="649"/>
      <c r="BF104" s="649"/>
      <c r="BG104" s="649"/>
      <c r="BH104" s="649"/>
      <c r="BI104" s="649"/>
      <c r="BJ104" s="649"/>
      <c r="BK104" s="649"/>
      <c r="BL104" s="649"/>
      <c r="BM104" s="649"/>
      <c r="BN104" s="649"/>
      <c r="BO104" s="649"/>
      <c r="BP104" s="649"/>
      <c r="BQ104" s="649"/>
      <c r="BR104" s="649"/>
      <c r="BS104" s="649"/>
      <c r="BT104" s="649"/>
      <c r="BU104" s="649"/>
      <c r="BV104" s="649"/>
      <c r="BW104" s="649"/>
      <c r="BX104" s="649"/>
      <c r="BY104" s="649"/>
      <c r="BZ104" s="649"/>
      <c r="CA104" s="649"/>
      <c r="CB104" s="649"/>
      <c r="CC104" s="649"/>
      <c r="CD104" s="649"/>
      <c r="CE104" s="649"/>
      <c r="CF104" s="649"/>
      <c r="CG104" s="649"/>
      <c r="CH104" s="649"/>
      <c r="CI104" s="649"/>
      <c r="CJ104" s="649"/>
      <c r="CK104" s="649"/>
      <c r="CL104" s="649"/>
      <c r="CM104" s="649"/>
      <c r="CN104" s="649"/>
      <c r="CO104" s="649"/>
      <c r="CP104" s="649"/>
      <c r="CQ104" s="649"/>
      <c r="CR104" s="649"/>
      <c r="CS104" s="649"/>
      <c r="CT104" s="649"/>
      <c r="CU104" s="649"/>
      <c r="CV104" s="649"/>
      <c r="CW104" s="649"/>
      <c r="CX104" s="649"/>
      <c r="CY104" s="649"/>
      <c r="CZ104" s="649"/>
      <c r="DA104" s="214"/>
    </row>
    <row r="105" spans="1:105" ht="40.950000000000003" customHeight="1" x14ac:dyDescent="0.25">
      <c r="A105" s="630" t="s">
        <v>67</v>
      </c>
      <c r="B105" s="631"/>
      <c r="C105" s="631"/>
      <c r="D105" s="631"/>
      <c r="E105" s="631"/>
      <c r="F105" s="632"/>
      <c r="G105" s="213"/>
      <c r="H105" s="585" t="s">
        <v>369</v>
      </c>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5"/>
      <c r="AZ105" s="585"/>
      <c r="BA105" s="585"/>
      <c r="BB105" s="585"/>
      <c r="BC105" s="585"/>
      <c r="BD105" s="585"/>
      <c r="BE105" s="585"/>
      <c r="BF105" s="585"/>
      <c r="BG105" s="585"/>
      <c r="BH105" s="585"/>
      <c r="BI105" s="585"/>
      <c r="BJ105" s="585"/>
      <c r="BK105" s="585"/>
      <c r="BL105" s="585"/>
      <c r="BM105" s="585"/>
      <c r="BN105" s="585"/>
      <c r="BO105" s="585"/>
      <c r="BP105" s="585"/>
      <c r="BQ105" s="585"/>
      <c r="BR105" s="585"/>
      <c r="BS105" s="585"/>
      <c r="BT105" s="585"/>
      <c r="BU105" s="586"/>
      <c r="BV105" s="544" t="s">
        <v>4</v>
      </c>
      <c r="BW105" s="545"/>
      <c r="BX105" s="545"/>
      <c r="BY105" s="545"/>
      <c r="BZ105" s="545"/>
      <c r="CA105" s="545"/>
      <c r="CB105" s="545"/>
      <c r="CC105" s="545"/>
      <c r="CD105" s="545"/>
      <c r="CE105" s="545"/>
      <c r="CF105" s="545"/>
      <c r="CG105" s="545"/>
      <c r="CH105" s="545"/>
      <c r="CI105" s="545"/>
      <c r="CJ105" s="545"/>
      <c r="CK105" s="546"/>
      <c r="CL105" s="636">
        <f>CL106+CL108</f>
        <v>26560893.828000002</v>
      </c>
      <c r="CM105" s="654"/>
      <c r="CN105" s="654"/>
      <c r="CO105" s="654"/>
      <c r="CP105" s="654"/>
      <c r="CQ105" s="654"/>
      <c r="CR105" s="654"/>
      <c r="CS105" s="654"/>
      <c r="CT105" s="654"/>
      <c r="CU105" s="654"/>
      <c r="CV105" s="654"/>
      <c r="CW105" s="654"/>
      <c r="CX105" s="654"/>
      <c r="CY105" s="654"/>
      <c r="CZ105" s="655"/>
    </row>
    <row r="106" spans="1:105" s="17" customFormat="1" ht="12.75" customHeight="1" x14ac:dyDescent="0.25">
      <c r="A106" s="709" t="s">
        <v>68</v>
      </c>
      <c r="B106" s="710"/>
      <c r="C106" s="710"/>
      <c r="D106" s="710"/>
      <c r="E106" s="710"/>
      <c r="F106" s="711"/>
      <c r="G106" s="233"/>
      <c r="H106" s="707" t="s">
        <v>3</v>
      </c>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c r="BA106" s="707"/>
      <c r="BB106" s="707"/>
      <c r="BC106" s="707"/>
      <c r="BD106" s="707"/>
      <c r="BE106" s="707"/>
      <c r="BF106" s="707"/>
      <c r="BG106" s="707"/>
      <c r="BH106" s="707"/>
      <c r="BI106" s="707"/>
      <c r="BJ106" s="707"/>
      <c r="BK106" s="707"/>
      <c r="BL106" s="707"/>
      <c r="BM106" s="707"/>
      <c r="BN106" s="707"/>
      <c r="BO106" s="707"/>
      <c r="BP106" s="707"/>
      <c r="BQ106" s="707"/>
      <c r="BR106" s="707"/>
      <c r="BS106" s="707"/>
      <c r="BT106" s="707"/>
      <c r="BU106" s="708"/>
      <c r="BV106" s="717">
        <f>BV111</f>
        <v>88536312.760000005</v>
      </c>
      <c r="BW106" s="718"/>
      <c r="BX106" s="718"/>
      <c r="BY106" s="718"/>
      <c r="BZ106" s="718"/>
      <c r="CA106" s="718"/>
      <c r="CB106" s="718"/>
      <c r="CC106" s="718"/>
      <c r="CD106" s="718"/>
      <c r="CE106" s="718"/>
      <c r="CF106" s="718"/>
      <c r="CG106" s="718"/>
      <c r="CH106" s="718"/>
      <c r="CI106" s="718"/>
      <c r="CJ106" s="718"/>
      <c r="CK106" s="719"/>
      <c r="CL106" s="717">
        <f>BV106*30%</f>
        <v>26560893.828000002</v>
      </c>
      <c r="CM106" s="718"/>
      <c r="CN106" s="718"/>
      <c r="CO106" s="718"/>
      <c r="CP106" s="718"/>
      <c r="CQ106" s="718"/>
      <c r="CR106" s="718"/>
      <c r="CS106" s="718"/>
      <c r="CT106" s="718"/>
      <c r="CU106" s="718"/>
      <c r="CV106" s="718"/>
      <c r="CW106" s="718"/>
      <c r="CX106" s="718"/>
      <c r="CY106" s="718"/>
      <c r="CZ106" s="719"/>
      <c r="DA106" s="232"/>
    </row>
    <row r="107" spans="1:105" s="17" customFormat="1" ht="12.75" customHeight="1" x14ac:dyDescent="0.25">
      <c r="A107" s="712"/>
      <c r="B107" s="713"/>
      <c r="C107" s="713"/>
      <c r="D107" s="713"/>
      <c r="E107" s="713"/>
      <c r="F107" s="714"/>
      <c r="G107" s="234"/>
      <c r="H107" s="707" t="s">
        <v>370</v>
      </c>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8"/>
      <c r="BV107" s="720"/>
      <c r="BW107" s="721"/>
      <c r="BX107" s="721"/>
      <c r="BY107" s="721"/>
      <c r="BZ107" s="721"/>
      <c r="CA107" s="721"/>
      <c r="CB107" s="721"/>
      <c r="CC107" s="721"/>
      <c r="CD107" s="721"/>
      <c r="CE107" s="721"/>
      <c r="CF107" s="721"/>
      <c r="CG107" s="721"/>
      <c r="CH107" s="721"/>
      <c r="CI107" s="721"/>
      <c r="CJ107" s="721"/>
      <c r="CK107" s="722"/>
      <c r="CL107" s="720"/>
      <c r="CM107" s="721"/>
      <c r="CN107" s="721"/>
      <c r="CO107" s="721"/>
      <c r="CP107" s="721"/>
      <c r="CQ107" s="721"/>
      <c r="CR107" s="721"/>
      <c r="CS107" s="721"/>
      <c r="CT107" s="721"/>
      <c r="CU107" s="721"/>
      <c r="CV107" s="721"/>
      <c r="CW107" s="721"/>
      <c r="CX107" s="721"/>
      <c r="CY107" s="721"/>
      <c r="CZ107" s="722"/>
      <c r="DA107" s="232"/>
    </row>
    <row r="108" spans="1:105" s="17" customFormat="1" ht="13.5" customHeight="1" x14ac:dyDescent="0.25">
      <c r="A108" s="630" t="s">
        <v>69</v>
      </c>
      <c r="B108" s="631"/>
      <c r="C108" s="631"/>
      <c r="D108" s="631"/>
      <c r="E108" s="631"/>
      <c r="F108" s="632"/>
      <c r="G108" s="213"/>
      <c r="H108" s="707" t="s">
        <v>371</v>
      </c>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8"/>
      <c r="BV108" s="547">
        <v>0</v>
      </c>
      <c r="BW108" s="548"/>
      <c r="BX108" s="548"/>
      <c r="BY108" s="548"/>
      <c r="BZ108" s="548"/>
      <c r="CA108" s="548"/>
      <c r="CB108" s="548"/>
      <c r="CC108" s="548"/>
      <c r="CD108" s="548"/>
      <c r="CE108" s="548"/>
      <c r="CF108" s="548"/>
      <c r="CG108" s="548"/>
      <c r="CH108" s="548"/>
      <c r="CI108" s="548"/>
      <c r="CJ108" s="548"/>
      <c r="CK108" s="549"/>
      <c r="CL108" s="547">
        <f>BV108*10%</f>
        <v>0</v>
      </c>
      <c r="CM108" s="548"/>
      <c r="CN108" s="548"/>
      <c r="CO108" s="548"/>
      <c r="CP108" s="548"/>
      <c r="CQ108" s="548"/>
      <c r="CR108" s="548"/>
      <c r="CS108" s="548"/>
      <c r="CT108" s="548"/>
      <c r="CU108" s="548"/>
      <c r="CV108" s="548"/>
      <c r="CW108" s="548"/>
      <c r="CX108" s="548"/>
      <c r="CY108" s="548"/>
      <c r="CZ108" s="549"/>
      <c r="DA108" s="232"/>
    </row>
    <row r="109" spans="1:105" s="17" customFormat="1" ht="26.25" customHeight="1" x14ac:dyDescent="0.25">
      <c r="A109" s="630" t="s">
        <v>70</v>
      </c>
      <c r="B109" s="631"/>
      <c r="C109" s="631"/>
      <c r="D109" s="631"/>
      <c r="E109" s="631"/>
      <c r="F109" s="632"/>
      <c r="G109" s="213"/>
      <c r="H109" s="707" t="s">
        <v>557</v>
      </c>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8"/>
      <c r="BV109" s="547"/>
      <c r="BW109" s="548"/>
      <c r="BX109" s="548"/>
      <c r="BY109" s="548"/>
      <c r="BZ109" s="548"/>
      <c r="CA109" s="548"/>
      <c r="CB109" s="548"/>
      <c r="CC109" s="548"/>
      <c r="CD109" s="548"/>
      <c r="CE109" s="548"/>
      <c r="CF109" s="548"/>
      <c r="CG109" s="548"/>
      <c r="CH109" s="548"/>
      <c r="CI109" s="548"/>
      <c r="CJ109" s="548"/>
      <c r="CK109" s="549"/>
      <c r="CL109" s="547"/>
      <c r="CM109" s="548"/>
      <c r="CN109" s="548"/>
      <c r="CO109" s="548"/>
      <c r="CP109" s="548"/>
      <c r="CQ109" s="548"/>
      <c r="CR109" s="548"/>
      <c r="CS109" s="548"/>
      <c r="CT109" s="548"/>
      <c r="CU109" s="548"/>
      <c r="CV109" s="548"/>
      <c r="CW109" s="548"/>
      <c r="CX109" s="548"/>
      <c r="CY109" s="548"/>
      <c r="CZ109" s="549"/>
      <c r="DA109" s="235"/>
    </row>
    <row r="110" spans="1:105" s="17" customFormat="1" ht="26.25" customHeight="1" x14ac:dyDescent="0.25">
      <c r="A110" s="630" t="s">
        <v>71</v>
      </c>
      <c r="B110" s="631"/>
      <c r="C110" s="631"/>
      <c r="D110" s="631"/>
      <c r="E110" s="631"/>
      <c r="F110" s="632"/>
      <c r="G110" s="213"/>
      <c r="H110" s="585" t="s">
        <v>822</v>
      </c>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5"/>
      <c r="AW110" s="585"/>
      <c r="AX110" s="585"/>
      <c r="AY110" s="585"/>
      <c r="AZ110" s="585"/>
      <c r="BA110" s="585"/>
      <c r="BB110" s="585"/>
      <c r="BC110" s="585"/>
      <c r="BD110" s="585"/>
      <c r="BE110" s="585"/>
      <c r="BF110" s="585"/>
      <c r="BG110" s="585"/>
      <c r="BH110" s="585"/>
      <c r="BI110" s="585"/>
      <c r="BJ110" s="585"/>
      <c r="BK110" s="585"/>
      <c r="BL110" s="585"/>
      <c r="BM110" s="585"/>
      <c r="BN110" s="585"/>
      <c r="BO110" s="585"/>
      <c r="BP110" s="585"/>
      <c r="BQ110" s="585"/>
      <c r="BR110" s="585"/>
      <c r="BS110" s="585"/>
      <c r="BT110" s="585"/>
      <c r="BU110" s="586"/>
      <c r="BV110" s="547" t="s">
        <v>4</v>
      </c>
      <c r="BW110" s="548"/>
      <c r="BX110" s="548"/>
      <c r="BY110" s="548"/>
      <c r="BZ110" s="548"/>
      <c r="CA110" s="548"/>
      <c r="CB110" s="548"/>
      <c r="CC110" s="548"/>
      <c r="CD110" s="548"/>
      <c r="CE110" s="548"/>
      <c r="CF110" s="548"/>
      <c r="CG110" s="548"/>
      <c r="CH110" s="548"/>
      <c r="CI110" s="548"/>
      <c r="CJ110" s="548"/>
      <c r="CK110" s="549"/>
      <c r="CL110" s="767">
        <f>CL111+CL114</f>
        <v>177072.62552</v>
      </c>
      <c r="CM110" s="768"/>
      <c r="CN110" s="768"/>
      <c r="CO110" s="768"/>
      <c r="CP110" s="768"/>
      <c r="CQ110" s="768"/>
      <c r="CR110" s="768"/>
      <c r="CS110" s="768"/>
      <c r="CT110" s="768"/>
      <c r="CU110" s="768"/>
      <c r="CV110" s="768"/>
      <c r="CW110" s="768"/>
      <c r="CX110" s="768"/>
      <c r="CY110" s="768"/>
      <c r="CZ110" s="769"/>
      <c r="DA110" s="232"/>
    </row>
    <row r="111" spans="1:105" s="17" customFormat="1" ht="12.75" customHeight="1" x14ac:dyDescent="0.25">
      <c r="A111" s="709" t="s">
        <v>72</v>
      </c>
      <c r="B111" s="710"/>
      <c r="C111" s="710"/>
      <c r="D111" s="710"/>
      <c r="E111" s="710"/>
      <c r="F111" s="711"/>
      <c r="G111" s="233"/>
      <c r="H111" s="707" t="s">
        <v>3</v>
      </c>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8"/>
      <c r="BV111" s="717">
        <v>88536312.760000005</v>
      </c>
      <c r="BW111" s="718"/>
      <c r="BX111" s="718"/>
      <c r="BY111" s="718"/>
      <c r="BZ111" s="718"/>
      <c r="CA111" s="718"/>
      <c r="CB111" s="718"/>
      <c r="CC111" s="718"/>
      <c r="CD111" s="718"/>
      <c r="CE111" s="718"/>
      <c r="CF111" s="718"/>
      <c r="CG111" s="718"/>
      <c r="CH111" s="718"/>
      <c r="CI111" s="718"/>
      <c r="CJ111" s="718"/>
      <c r="CK111" s="719"/>
      <c r="CL111" s="717">
        <f>BV111*0.2%</f>
        <v>177072.62552</v>
      </c>
      <c r="CM111" s="718"/>
      <c r="CN111" s="718"/>
      <c r="CO111" s="718"/>
      <c r="CP111" s="718"/>
      <c r="CQ111" s="718"/>
      <c r="CR111" s="718"/>
      <c r="CS111" s="718"/>
      <c r="CT111" s="718"/>
      <c r="CU111" s="718"/>
      <c r="CV111" s="718"/>
      <c r="CW111" s="718"/>
      <c r="CX111" s="718"/>
      <c r="CY111" s="718"/>
      <c r="CZ111" s="719"/>
      <c r="DA111" s="232"/>
    </row>
    <row r="112" spans="1:105" s="17" customFormat="1" ht="13.2" customHeight="1" x14ac:dyDescent="0.25">
      <c r="A112" s="712"/>
      <c r="B112" s="713"/>
      <c r="C112" s="713"/>
      <c r="D112" s="713"/>
      <c r="E112" s="713"/>
      <c r="F112" s="714"/>
      <c r="G112" s="234"/>
      <c r="H112" s="707" t="s">
        <v>374</v>
      </c>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8"/>
      <c r="BV112" s="720"/>
      <c r="BW112" s="721"/>
      <c r="BX112" s="721"/>
      <c r="BY112" s="721"/>
      <c r="BZ112" s="721"/>
      <c r="CA112" s="721"/>
      <c r="CB112" s="721"/>
      <c r="CC112" s="721"/>
      <c r="CD112" s="721"/>
      <c r="CE112" s="721"/>
      <c r="CF112" s="721"/>
      <c r="CG112" s="721"/>
      <c r="CH112" s="721"/>
      <c r="CI112" s="721"/>
      <c r="CJ112" s="721"/>
      <c r="CK112" s="722"/>
      <c r="CL112" s="720"/>
      <c r="CM112" s="721"/>
      <c r="CN112" s="721"/>
      <c r="CO112" s="721"/>
      <c r="CP112" s="721"/>
      <c r="CQ112" s="721"/>
      <c r="CR112" s="721"/>
      <c r="CS112" s="721"/>
      <c r="CT112" s="721"/>
      <c r="CU112" s="721"/>
      <c r="CV112" s="721"/>
      <c r="CW112" s="721"/>
      <c r="CX112" s="721"/>
      <c r="CY112" s="721"/>
      <c r="CZ112" s="722"/>
      <c r="DA112" s="232"/>
    </row>
    <row r="113" spans="1:106" s="17" customFormat="1" ht="13.2" customHeight="1" x14ac:dyDescent="0.25">
      <c r="A113" s="630" t="s">
        <v>73</v>
      </c>
      <c r="B113" s="631"/>
      <c r="C113" s="631"/>
      <c r="D113" s="631"/>
      <c r="E113" s="631"/>
      <c r="F113" s="632"/>
      <c r="G113" s="213"/>
      <c r="H113" s="707" t="s">
        <v>375</v>
      </c>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8"/>
      <c r="BV113" s="547">
        <v>0</v>
      </c>
      <c r="BW113" s="548"/>
      <c r="BX113" s="548"/>
      <c r="BY113" s="548"/>
      <c r="BZ113" s="548"/>
      <c r="CA113" s="548"/>
      <c r="CB113" s="548"/>
      <c r="CC113" s="548"/>
      <c r="CD113" s="548"/>
      <c r="CE113" s="548"/>
      <c r="CF113" s="548"/>
      <c r="CG113" s="548"/>
      <c r="CH113" s="548"/>
      <c r="CI113" s="548"/>
      <c r="CJ113" s="548"/>
      <c r="CK113" s="549"/>
      <c r="CL113" s="547"/>
      <c r="CM113" s="548"/>
      <c r="CN113" s="548"/>
      <c r="CO113" s="548"/>
      <c r="CP113" s="548"/>
      <c r="CQ113" s="548"/>
      <c r="CR113" s="548"/>
      <c r="CS113" s="548"/>
      <c r="CT113" s="548"/>
      <c r="CU113" s="548"/>
      <c r="CV113" s="548"/>
      <c r="CW113" s="548"/>
      <c r="CX113" s="548"/>
      <c r="CY113" s="548"/>
      <c r="CZ113" s="549"/>
      <c r="DA113" s="232"/>
    </row>
    <row r="114" spans="1:106" s="17" customFormat="1" ht="13.95" customHeight="1" x14ac:dyDescent="0.25">
      <c r="A114" s="630" t="s">
        <v>74</v>
      </c>
      <c r="B114" s="631"/>
      <c r="C114" s="631"/>
      <c r="D114" s="631"/>
      <c r="E114" s="631"/>
      <c r="F114" s="632"/>
      <c r="G114" s="213"/>
      <c r="H114" s="707" t="s">
        <v>375</v>
      </c>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8"/>
      <c r="BV114" s="547"/>
      <c r="BW114" s="548"/>
      <c r="BX114" s="548"/>
      <c r="BY114" s="548"/>
      <c r="BZ114" s="548"/>
      <c r="CA114" s="548"/>
      <c r="CB114" s="548"/>
      <c r="CC114" s="548"/>
      <c r="CD114" s="548"/>
      <c r="CE114" s="548"/>
      <c r="CF114" s="548"/>
      <c r="CG114" s="548"/>
      <c r="CH114" s="548"/>
      <c r="CI114" s="548"/>
      <c r="CJ114" s="548"/>
      <c r="CK114" s="549"/>
      <c r="CL114" s="547"/>
      <c r="CM114" s="548"/>
      <c r="CN114" s="548"/>
      <c r="CO114" s="548"/>
      <c r="CP114" s="548"/>
      <c r="CQ114" s="548"/>
      <c r="CR114" s="548"/>
      <c r="CS114" s="548"/>
      <c r="CT114" s="548"/>
      <c r="CU114" s="548"/>
      <c r="CV114" s="548"/>
      <c r="CW114" s="548"/>
      <c r="CX114" s="548"/>
      <c r="CY114" s="548"/>
      <c r="CZ114" s="549"/>
      <c r="DA114" s="235"/>
    </row>
    <row r="115" spans="1:106" s="17" customFormat="1" ht="13.5" customHeight="1" x14ac:dyDescent="0.25">
      <c r="A115" s="630"/>
      <c r="B115" s="631"/>
      <c r="C115" s="631"/>
      <c r="D115" s="631"/>
      <c r="E115" s="631"/>
      <c r="F115" s="632"/>
      <c r="G115" s="607" t="s">
        <v>292</v>
      </c>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8"/>
      <c r="AZ115" s="608"/>
      <c r="BA115" s="608"/>
      <c r="BB115" s="608"/>
      <c r="BC115" s="608"/>
      <c r="BD115" s="608"/>
      <c r="BE115" s="608"/>
      <c r="BF115" s="608"/>
      <c r="BG115" s="608"/>
      <c r="BH115" s="608"/>
      <c r="BI115" s="608"/>
      <c r="BJ115" s="608"/>
      <c r="BK115" s="608"/>
      <c r="BL115" s="608"/>
      <c r="BM115" s="608"/>
      <c r="BN115" s="608"/>
      <c r="BO115" s="608"/>
      <c r="BP115" s="608"/>
      <c r="BQ115" s="608"/>
      <c r="BR115" s="608"/>
      <c r="BS115" s="608"/>
      <c r="BT115" s="608"/>
      <c r="BU115" s="609"/>
      <c r="BV115" s="647" t="s">
        <v>4</v>
      </c>
      <c r="BW115" s="637"/>
      <c r="BX115" s="637"/>
      <c r="BY115" s="637"/>
      <c r="BZ115" s="637"/>
      <c r="CA115" s="637"/>
      <c r="CB115" s="637"/>
      <c r="CC115" s="637"/>
      <c r="CD115" s="637"/>
      <c r="CE115" s="637"/>
      <c r="CF115" s="637"/>
      <c r="CG115" s="637"/>
      <c r="CH115" s="637"/>
      <c r="CI115" s="637"/>
      <c r="CJ115" s="637"/>
      <c r="CK115" s="638"/>
      <c r="CL115" s="636">
        <f>CL105+CL110</f>
        <v>26737966.45352</v>
      </c>
      <c r="CM115" s="654"/>
      <c r="CN115" s="654"/>
      <c r="CO115" s="654"/>
      <c r="CP115" s="654"/>
      <c r="CQ115" s="654"/>
      <c r="CR115" s="654"/>
      <c r="CS115" s="654"/>
      <c r="CT115" s="654"/>
      <c r="CU115" s="654"/>
      <c r="CV115" s="654"/>
      <c r="CW115" s="654"/>
      <c r="CX115" s="654"/>
      <c r="CY115" s="654"/>
      <c r="CZ115" s="655"/>
      <c r="DA115" s="235"/>
      <c r="DB115" s="236"/>
    </row>
    <row r="116" spans="1:106" s="16" customFormat="1" ht="15" customHeight="1" x14ac:dyDescent="0.3">
      <c r="A116" s="648" t="s">
        <v>566</v>
      </c>
      <c r="B116" s="649"/>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49"/>
      <c r="BC116" s="649"/>
      <c r="BD116" s="649"/>
      <c r="BE116" s="649"/>
      <c r="BF116" s="649"/>
      <c r="BG116" s="649"/>
      <c r="BH116" s="649"/>
      <c r="BI116" s="649"/>
      <c r="BJ116" s="649"/>
      <c r="BK116" s="649"/>
      <c r="BL116" s="649"/>
      <c r="BM116" s="649"/>
      <c r="BN116" s="649"/>
      <c r="BO116" s="649"/>
      <c r="BP116" s="649"/>
      <c r="BQ116" s="649"/>
      <c r="BR116" s="649"/>
      <c r="BS116" s="649"/>
      <c r="BT116" s="649"/>
      <c r="BU116" s="649"/>
      <c r="BV116" s="649"/>
      <c r="BW116" s="649"/>
      <c r="BX116" s="649"/>
      <c r="BY116" s="649"/>
      <c r="BZ116" s="649"/>
      <c r="CA116" s="649"/>
      <c r="CB116" s="649"/>
      <c r="CC116" s="649"/>
      <c r="CD116" s="649"/>
      <c r="CE116" s="649"/>
      <c r="CF116" s="649"/>
      <c r="CG116" s="649"/>
      <c r="CH116" s="649"/>
      <c r="CI116" s="649"/>
      <c r="CJ116" s="649"/>
      <c r="CK116" s="649"/>
      <c r="CL116" s="649"/>
      <c r="CM116" s="649"/>
      <c r="CN116" s="649"/>
      <c r="CO116" s="649"/>
      <c r="CP116" s="649"/>
      <c r="CQ116" s="649"/>
      <c r="CR116" s="649"/>
      <c r="CS116" s="649"/>
      <c r="CT116" s="649"/>
      <c r="CU116" s="649"/>
      <c r="CV116" s="649"/>
      <c r="CW116" s="649"/>
      <c r="CX116" s="649"/>
      <c r="CY116" s="649"/>
      <c r="CZ116" s="649"/>
      <c r="DA116" s="214"/>
    </row>
    <row r="117" spans="1:106" ht="37.950000000000003" customHeight="1" x14ac:dyDescent="0.25">
      <c r="A117" s="630" t="s">
        <v>67</v>
      </c>
      <c r="B117" s="631"/>
      <c r="C117" s="631"/>
      <c r="D117" s="631"/>
      <c r="E117" s="631"/>
      <c r="F117" s="632"/>
      <c r="G117" s="213"/>
      <c r="H117" s="585" t="s">
        <v>369</v>
      </c>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c r="AV117" s="585"/>
      <c r="AW117" s="585"/>
      <c r="AX117" s="585"/>
      <c r="AY117" s="585"/>
      <c r="AZ117" s="585"/>
      <c r="BA117" s="585"/>
      <c r="BB117" s="585"/>
      <c r="BC117" s="585"/>
      <c r="BD117" s="585"/>
      <c r="BE117" s="585"/>
      <c r="BF117" s="585"/>
      <c r="BG117" s="585"/>
      <c r="BH117" s="585"/>
      <c r="BI117" s="585"/>
      <c r="BJ117" s="585"/>
      <c r="BK117" s="585"/>
      <c r="BL117" s="585"/>
      <c r="BM117" s="585"/>
      <c r="BN117" s="585"/>
      <c r="BO117" s="585"/>
      <c r="BP117" s="585"/>
      <c r="BQ117" s="585"/>
      <c r="BR117" s="585"/>
      <c r="BS117" s="585"/>
      <c r="BT117" s="585"/>
      <c r="BU117" s="586"/>
      <c r="BV117" s="544" t="s">
        <v>4</v>
      </c>
      <c r="BW117" s="545"/>
      <c r="BX117" s="545"/>
      <c r="BY117" s="545"/>
      <c r="BZ117" s="545"/>
      <c r="CA117" s="545"/>
      <c r="CB117" s="545"/>
      <c r="CC117" s="545"/>
      <c r="CD117" s="545"/>
      <c r="CE117" s="545"/>
      <c r="CF117" s="545"/>
      <c r="CG117" s="545"/>
      <c r="CH117" s="545"/>
      <c r="CI117" s="545"/>
      <c r="CJ117" s="545"/>
      <c r="CK117" s="546"/>
      <c r="CL117" s="767">
        <f>CL118+CL120</f>
        <v>83271.890999999989</v>
      </c>
      <c r="CM117" s="768"/>
      <c r="CN117" s="768"/>
      <c r="CO117" s="768"/>
      <c r="CP117" s="768"/>
      <c r="CQ117" s="768"/>
      <c r="CR117" s="768"/>
      <c r="CS117" s="768"/>
      <c r="CT117" s="768"/>
      <c r="CU117" s="768"/>
      <c r="CV117" s="768"/>
      <c r="CW117" s="768"/>
      <c r="CX117" s="768"/>
      <c r="CY117" s="768"/>
      <c r="CZ117" s="769"/>
    </row>
    <row r="118" spans="1:106" s="17" customFormat="1" ht="12.75" customHeight="1" x14ac:dyDescent="0.25">
      <c r="A118" s="709" t="s">
        <v>68</v>
      </c>
      <c r="B118" s="710"/>
      <c r="C118" s="710"/>
      <c r="D118" s="710"/>
      <c r="E118" s="710"/>
      <c r="F118" s="711"/>
      <c r="G118" s="233"/>
      <c r="H118" s="707" t="s">
        <v>3</v>
      </c>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c r="BA118" s="707"/>
      <c r="BB118" s="707"/>
      <c r="BC118" s="707"/>
      <c r="BD118" s="707"/>
      <c r="BE118" s="707"/>
      <c r="BF118" s="707"/>
      <c r="BG118" s="707"/>
      <c r="BH118" s="707"/>
      <c r="BI118" s="707"/>
      <c r="BJ118" s="707"/>
      <c r="BK118" s="707"/>
      <c r="BL118" s="707"/>
      <c r="BM118" s="707"/>
      <c r="BN118" s="707"/>
      <c r="BO118" s="707"/>
      <c r="BP118" s="707"/>
      <c r="BQ118" s="707"/>
      <c r="BR118" s="707"/>
      <c r="BS118" s="707"/>
      <c r="BT118" s="707"/>
      <c r="BU118" s="708"/>
      <c r="BV118" s="717">
        <f>BV123</f>
        <v>277572.96999999997</v>
      </c>
      <c r="BW118" s="718"/>
      <c r="BX118" s="718"/>
      <c r="BY118" s="718"/>
      <c r="BZ118" s="718"/>
      <c r="CA118" s="718"/>
      <c r="CB118" s="718"/>
      <c r="CC118" s="718"/>
      <c r="CD118" s="718"/>
      <c r="CE118" s="718"/>
      <c r="CF118" s="718"/>
      <c r="CG118" s="718"/>
      <c r="CH118" s="718"/>
      <c r="CI118" s="718"/>
      <c r="CJ118" s="718"/>
      <c r="CK118" s="719"/>
      <c r="CL118" s="717">
        <f>BV118*30%</f>
        <v>83271.890999999989</v>
      </c>
      <c r="CM118" s="718"/>
      <c r="CN118" s="718"/>
      <c r="CO118" s="718"/>
      <c r="CP118" s="718"/>
      <c r="CQ118" s="718"/>
      <c r="CR118" s="718"/>
      <c r="CS118" s="718"/>
      <c r="CT118" s="718"/>
      <c r="CU118" s="718"/>
      <c r="CV118" s="718"/>
      <c r="CW118" s="718"/>
      <c r="CX118" s="718"/>
      <c r="CY118" s="718"/>
      <c r="CZ118" s="719"/>
      <c r="DA118" s="232"/>
    </row>
    <row r="119" spans="1:106" s="17" customFormat="1" ht="12.75" customHeight="1" x14ac:dyDescent="0.25">
      <c r="A119" s="712"/>
      <c r="B119" s="713"/>
      <c r="C119" s="713"/>
      <c r="D119" s="713"/>
      <c r="E119" s="713"/>
      <c r="F119" s="714"/>
      <c r="G119" s="234"/>
      <c r="H119" s="707" t="s">
        <v>370</v>
      </c>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8"/>
      <c r="BV119" s="720"/>
      <c r="BW119" s="721"/>
      <c r="BX119" s="721"/>
      <c r="BY119" s="721"/>
      <c r="BZ119" s="721"/>
      <c r="CA119" s="721"/>
      <c r="CB119" s="721"/>
      <c r="CC119" s="721"/>
      <c r="CD119" s="721"/>
      <c r="CE119" s="721"/>
      <c r="CF119" s="721"/>
      <c r="CG119" s="721"/>
      <c r="CH119" s="721"/>
      <c r="CI119" s="721"/>
      <c r="CJ119" s="721"/>
      <c r="CK119" s="722"/>
      <c r="CL119" s="720"/>
      <c r="CM119" s="721"/>
      <c r="CN119" s="721"/>
      <c r="CO119" s="721"/>
      <c r="CP119" s="721"/>
      <c r="CQ119" s="721"/>
      <c r="CR119" s="721"/>
      <c r="CS119" s="721"/>
      <c r="CT119" s="721"/>
      <c r="CU119" s="721"/>
      <c r="CV119" s="721"/>
      <c r="CW119" s="721"/>
      <c r="CX119" s="721"/>
      <c r="CY119" s="721"/>
      <c r="CZ119" s="722"/>
      <c r="DA119" s="232"/>
    </row>
    <row r="120" spans="1:106" s="17" customFormat="1" ht="13.5" customHeight="1" x14ac:dyDescent="0.25">
      <c r="A120" s="630" t="s">
        <v>69</v>
      </c>
      <c r="B120" s="631"/>
      <c r="C120" s="631"/>
      <c r="D120" s="631"/>
      <c r="E120" s="631"/>
      <c r="F120" s="632"/>
      <c r="G120" s="213"/>
      <c r="H120" s="707" t="s">
        <v>371</v>
      </c>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8"/>
      <c r="BV120" s="547">
        <v>0</v>
      </c>
      <c r="BW120" s="548"/>
      <c r="BX120" s="548"/>
      <c r="BY120" s="548"/>
      <c r="BZ120" s="548"/>
      <c r="CA120" s="548"/>
      <c r="CB120" s="548"/>
      <c r="CC120" s="548"/>
      <c r="CD120" s="548"/>
      <c r="CE120" s="548"/>
      <c r="CF120" s="548"/>
      <c r="CG120" s="548"/>
      <c r="CH120" s="548"/>
      <c r="CI120" s="548"/>
      <c r="CJ120" s="548"/>
      <c r="CK120" s="549"/>
      <c r="CL120" s="547">
        <f>BV120*10%</f>
        <v>0</v>
      </c>
      <c r="CM120" s="548"/>
      <c r="CN120" s="548"/>
      <c r="CO120" s="548"/>
      <c r="CP120" s="548"/>
      <c r="CQ120" s="548"/>
      <c r="CR120" s="548"/>
      <c r="CS120" s="548"/>
      <c r="CT120" s="548"/>
      <c r="CU120" s="548"/>
      <c r="CV120" s="548"/>
      <c r="CW120" s="548"/>
      <c r="CX120" s="548"/>
      <c r="CY120" s="548"/>
      <c r="CZ120" s="549"/>
      <c r="DA120" s="232"/>
    </row>
    <row r="121" spans="1:106" s="17" customFormat="1" ht="26.25" customHeight="1" x14ac:dyDescent="0.25">
      <c r="A121" s="630" t="s">
        <v>70</v>
      </c>
      <c r="B121" s="631"/>
      <c r="C121" s="631"/>
      <c r="D121" s="631"/>
      <c r="E121" s="631"/>
      <c r="F121" s="632"/>
      <c r="G121" s="213"/>
      <c r="H121" s="707" t="s">
        <v>557</v>
      </c>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8"/>
      <c r="BV121" s="547"/>
      <c r="BW121" s="548"/>
      <c r="BX121" s="548"/>
      <c r="BY121" s="548"/>
      <c r="BZ121" s="548"/>
      <c r="CA121" s="548"/>
      <c r="CB121" s="548"/>
      <c r="CC121" s="548"/>
      <c r="CD121" s="548"/>
      <c r="CE121" s="548"/>
      <c r="CF121" s="548"/>
      <c r="CG121" s="548"/>
      <c r="CH121" s="548"/>
      <c r="CI121" s="548"/>
      <c r="CJ121" s="548"/>
      <c r="CK121" s="549"/>
      <c r="CL121" s="547"/>
      <c r="CM121" s="548"/>
      <c r="CN121" s="548"/>
      <c r="CO121" s="548"/>
      <c r="CP121" s="548"/>
      <c r="CQ121" s="548"/>
      <c r="CR121" s="548"/>
      <c r="CS121" s="548"/>
      <c r="CT121" s="548"/>
      <c r="CU121" s="548"/>
      <c r="CV121" s="548"/>
      <c r="CW121" s="548"/>
      <c r="CX121" s="548"/>
      <c r="CY121" s="548"/>
      <c r="CZ121" s="549"/>
      <c r="DA121" s="232"/>
    </row>
    <row r="122" spans="1:106" s="17" customFormat="1" ht="26.25" customHeight="1" x14ac:dyDescent="0.25">
      <c r="A122" s="630" t="s">
        <v>71</v>
      </c>
      <c r="B122" s="631"/>
      <c r="C122" s="631"/>
      <c r="D122" s="631"/>
      <c r="E122" s="631"/>
      <c r="F122" s="632"/>
      <c r="G122" s="213"/>
      <c r="H122" s="585" t="s">
        <v>373</v>
      </c>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5"/>
      <c r="AW122" s="585"/>
      <c r="AX122" s="585"/>
      <c r="AY122" s="585"/>
      <c r="AZ122" s="585"/>
      <c r="BA122" s="585"/>
      <c r="BB122" s="585"/>
      <c r="BC122" s="585"/>
      <c r="BD122" s="585"/>
      <c r="BE122" s="585"/>
      <c r="BF122" s="585"/>
      <c r="BG122" s="585"/>
      <c r="BH122" s="585"/>
      <c r="BI122" s="585"/>
      <c r="BJ122" s="585"/>
      <c r="BK122" s="585"/>
      <c r="BL122" s="585"/>
      <c r="BM122" s="585"/>
      <c r="BN122" s="585"/>
      <c r="BO122" s="585"/>
      <c r="BP122" s="585"/>
      <c r="BQ122" s="585"/>
      <c r="BR122" s="585"/>
      <c r="BS122" s="585"/>
      <c r="BT122" s="585"/>
      <c r="BU122" s="586"/>
      <c r="BV122" s="544" t="s">
        <v>4</v>
      </c>
      <c r="BW122" s="545"/>
      <c r="BX122" s="545"/>
      <c r="BY122" s="545"/>
      <c r="BZ122" s="545"/>
      <c r="CA122" s="545"/>
      <c r="CB122" s="545"/>
      <c r="CC122" s="545"/>
      <c r="CD122" s="545"/>
      <c r="CE122" s="545"/>
      <c r="CF122" s="545"/>
      <c r="CG122" s="545"/>
      <c r="CH122" s="545"/>
      <c r="CI122" s="545"/>
      <c r="CJ122" s="545"/>
      <c r="CK122" s="546"/>
      <c r="CL122" s="767">
        <f>CL123+CL126+CL125-0.01</f>
        <v>555.13594000000001</v>
      </c>
      <c r="CM122" s="768"/>
      <c r="CN122" s="768"/>
      <c r="CO122" s="768"/>
      <c r="CP122" s="768"/>
      <c r="CQ122" s="768"/>
      <c r="CR122" s="768"/>
      <c r="CS122" s="768"/>
      <c r="CT122" s="768"/>
      <c r="CU122" s="768"/>
      <c r="CV122" s="768"/>
      <c r="CW122" s="768"/>
      <c r="CX122" s="768"/>
      <c r="CY122" s="768"/>
      <c r="CZ122" s="769"/>
      <c r="DA122" s="232"/>
    </row>
    <row r="123" spans="1:106" s="17" customFormat="1" ht="12.75" customHeight="1" x14ac:dyDescent="0.25">
      <c r="A123" s="709" t="s">
        <v>72</v>
      </c>
      <c r="B123" s="710"/>
      <c r="C123" s="710"/>
      <c r="D123" s="710"/>
      <c r="E123" s="710"/>
      <c r="F123" s="711"/>
      <c r="G123" s="233"/>
      <c r="H123" s="707" t="s">
        <v>3</v>
      </c>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c r="BA123" s="707"/>
      <c r="BB123" s="707"/>
      <c r="BC123" s="707"/>
      <c r="BD123" s="707"/>
      <c r="BE123" s="707"/>
      <c r="BF123" s="707"/>
      <c r="BG123" s="707"/>
      <c r="BH123" s="707"/>
      <c r="BI123" s="707"/>
      <c r="BJ123" s="707"/>
      <c r="BK123" s="707"/>
      <c r="BL123" s="707"/>
      <c r="BM123" s="707"/>
      <c r="BN123" s="707"/>
      <c r="BO123" s="707"/>
      <c r="BP123" s="707"/>
      <c r="BQ123" s="707"/>
      <c r="BR123" s="707"/>
      <c r="BS123" s="707"/>
      <c r="BT123" s="707"/>
      <c r="BU123" s="708"/>
      <c r="BV123" s="717">
        <v>277572.96999999997</v>
      </c>
      <c r="BW123" s="718"/>
      <c r="BX123" s="718"/>
      <c r="BY123" s="718"/>
      <c r="BZ123" s="718"/>
      <c r="CA123" s="718"/>
      <c r="CB123" s="718"/>
      <c r="CC123" s="718"/>
      <c r="CD123" s="718"/>
      <c r="CE123" s="718"/>
      <c r="CF123" s="718"/>
      <c r="CG123" s="718"/>
      <c r="CH123" s="718"/>
      <c r="CI123" s="718"/>
      <c r="CJ123" s="718"/>
      <c r="CK123" s="719"/>
      <c r="CL123" s="717">
        <f>BV123*0.2%</f>
        <v>555.14594</v>
      </c>
      <c r="CM123" s="718"/>
      <c r="CN123" s="718"/>
      <c r="CO123" s="718"/>
      <c r="CP123" s="718"/>
      <c r="CQ123" s="718"/>
      <c r="CR123" s="718"/>
      <c r="CS123" s="718"/>
      <c r="CT123" s="718"/>
      <c r="CU123" s="718"/>
      <c r="CV123" s="718"/>
      <c r="CW123" s="718"/>
      <c r="CX123" s="718"/>
      <c r="CY123" s="718"/>
      <c r="CZ123" s="719"/>
      <c r="DA123" s="232"/>
    </row>
    <row r="124" spans="1:106" s="17" customFormat="1" ht="13.2" customHeight="1" x14ac:dyDescent="0.25">
      <c r="A124" s="712"/>
      <c r="B124" s="713"/>
      <c r="C124" s="713"/>
      <c r="D124" s="713"/>
      <c r="E124" s="713"/>
      <c r="F124" s="714"/>
      <c r="G124" s="234"/>
      <c r="H124" s="707" t="s">
        <v>374</v>
      </c>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7"/>
      <c r="AY124" s="707"/>
      <c r="AZ124" s="707"/>
      <c r="BA124" s="707"/>
      <c r="BB124" s="707"/>
      <c r="BC124" s="707"/>
      <c r="BD124" s="707"/>
      <c r="BE124" s="707"/>
      <c r="BF124" s="707"/>
      <c r="BG124" s="707"/>
      <c r="BH124" s="707"/>
      <c r="BI124" s="707"/>
      <c r="BJ124" s="707"/>
      <c r="BK124" s="707"/>
      <c r="BL124" s="707"/>
      <c r="BM124" s="707"/>
      <c r="BN124" s="707"/>
      <c r="BO124" s="707"/>
      <c r="BP124" s="707"/>
      <c r="BQ124" s="707"/>
      <c r="BR124" s="707"/>
      <c r="BS124" s="707"/>
      <c r="BT124" s="707"/>
      <c r="BU124" s="708"/>
      <c r="BV124" s="720"/>
      <c r="BW124" s="721"/>
      <c r="BX124" s="721"/>
      <c r="BY124" s="721"/>
      <c r="BZ124" s="721"/>
      <c r="CA124" s="721"/>
      <c r="CB124" s="721"/>
      <c r="CC124" s="721"/>
      <c r="CD124" s="721"/>
      <c r="CE124" s="721"/>
      <c r="CF124" s="721"/>
      <c r="CG124" s="721"/>
      <c r="CH124" s="721"/>
      <c r="CI124" s="721"/>
      <c r="CJ124" s="721"/>
      <c r="CK124" s="722"/>
      <c r="CL124" s="720"/>
      <c r="CM124" s="721"/>
      <c r="CN124" s="721"/>
      <c r="CO124" s="721"/>
      <c r="CP124" s="721"/>
      <c r="CQ124" s="721"/>
      <c r="CR124" s="721"/>
      <c r="CS124" s="721"/>
      <c r="CT124" s="721"/>
      <c r="CU124" s="721"/>
      <c r="CV124" s="721"/>
      <c r="CW124" s="721"/>
      <c r="CX124" s="721"/>
      <c r="CY124" s="721"/>
      <c r="CZ124" s="722"/>
      <c r="DA124" s="232"/>
    </row>
    <row r="125" spans="1:106" s="17" customFormat="1" ht="12" customHeight="1" x14ac:dyDescent="0.25">
      <c r="A125" s="630" t="s">
        <v>73</v>
      </c>
      <c r="B125" s="631"/>
      <c r="C125" s="631"/>
      <c r="D125" s="631"/>
      <c r="E125" s="631"/>
      <c r="F125" s="632"/>
      <c r="G125" s="213"/>
      <c r="H125" s="707" t="s">
        <v>375</v>
      </c>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8"/>
      <c r="BV125" s="547"/>
      <c r="BW125" s="548"/>
      <c r="BX125" s="548"/>
      <c r="BY125" s="548"/>
      <c r="BZ125" s="548"/>
      <c r="CA125" s="548"/>
      <c r="CB125" s="548"/>
      <c r="CC125" s="548"/>
      <c r="CD125" s="548"/>
      <c r="CE125" s="548"/>
      <c r="CF125" s="548"/>
      <c r="CG125" s="548"/>
      <c r="CH125" s="548"/>
      <c r="CI125" s="548"/>
      <c r="CJ125" s="548"/>
      <c r="CK125" s="549"/>
      <c r="CL125" s="547"/>
      <c r="CM125" s="548"/>
      <c r="CN125" s="548"/>
      <c r="CO125" s="548"/>
      <c r="CP125" s="548"/>
      <c r="CQ125" s="548"/>
      <c r="CR125" s="548"/>
      <c r="CS125" s="548"/>
      <c r="CT125" s="548"/>
      <c r="CU125" s="548"/>
      <c r="CV125" s="548"/>
      <c r="CW125" s="548"/>
      <c r="CX125" s="548"/>
      <c r="CY125" s="548"/>
      <c r="CZ125" s="549"/>
      <c r="DA125" s="232"/>
    </row>
    <row r="126" spans="1:106" s="17" customFormat="1" ht="12.6" customHeight="1" x14ac:dyDescent="0.25">
      <c r="A126" s="630" t="s">
        <v>74</v>
      </c>
      <c r="B126" s="631"/>
      <c r="C126" s="631"/>
      <c r="D126" s="631"/>
      <c r="E126" s="631"/>
      <c r="F126" s="632"/>
      <c r="G126" s="213"/>
      <c r="H126" s="707" t="s">
        <v>375</v>
      </c>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c r="BA126" s="707"/>
      <c r="BB126" s="707"/>
      <c r="BC126" s="707"/>
      <c r="BD126" s="707"/>
      <c r="BE126" s="707"/>
      <c r="BF126" s="707"/>
      <c r="BG126" s="707"/>
      <c r="BH126" s="707"/>
      <c r="BI126" s="707"/>
      <c r="BJ126" s="707"/>
      <c r="BK126" s="707"/>
      <c r="BL126" s="707"/>
      <c r="BM126" s="707"/>
      <c r="BN126" s="707"/>
      <c r="BO126" s="707"/>
      <c r="BP126" s="707"/>
      <c r="BQ126" s="707"/>
      <c r="BR126" s="707"/>
      <c r="BS126" s="707"/>
      <c r="BT126" s="707"/>
      <c r="BU126" s="708"/>
      <c r="BV126" s="547"/>
      <c r="BW126" s="548"/>
      <c r="BX126" s="548"/>
      <c r="BY126" s="548"/>
      <c r="BZ126" s="548"/>
      <c r="CA126" s="548"/>
      <c r="CB126" s="548"/>
      <c r="CC126" s="548"/>
      <c r="CD126" s="548"/>
      <c r="CE126" s="548"/>
      <c r="CF126" s="548"/>
      <c r="CG126" s="548"/>
      <c r="CH126" s="548"/>
      <c r="CI126" s="548"/>
      <c r="CJ126" s="548"/>
      <c r="CK126" s="549"/>
      <c r="CL126" s="547"/>
      <c r="CM126" s="548"/>
      <c r="CN126" s="548"/>
      <c r="CO126" s="548"/>
      <c r="CP126" s="548"/>
      <c r="CQ126" s="548"/>
      <c r="CR126" s="548"/>
      <c r="CS126" s="548"/>
      <c r="CT126" s="548"/>
      <c r="CU126" s="548"/>
      <c r="CV126" s="548"/>
      <c r="CW126" s="548"/>
      <c r="CX126" s="548"/>
      <c r="CY126" s="548"/>
      <c r="CZ126" s="549"/>
      <c r="DA126" s="232"/>
    </row>
    <row r="127" spans="1:106" s="17" customFormat="1" ht="13.5" customHeight="1" x14ac:dyDescent="0.25">
      <c r="A127" s="630"/>
      <c r="B127" s="631"/>
      <c r="C127" s="631"/>
      <c r="D127" s="631"/>
      <c r="E127" s="631"/>
      <c r="F127" s="632"/>
      <c r="G127" s="607" t="s">
        <v>292</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8"/>
      <c r="AY127" s="608"/>
      <c r="AZ127" s="608"/>
      <c r="BA127" s="608"/>
      <c r="BB127" s="608"/>
      <c r="BC127" s="608"/>
      <c r="BD127" s="608"/>
      <c r="BE127" s="608"/>
      <c r="BF127" s="608"/>
      <c r="BG127" s="608"/>
      <c r="BH127" s="608"/>
      <c r="BI127" s="608"/>
      <c r="BJ127" s="608"/>
      <c r="BK127" s="608"/>
      <c r="BL127" s="608"/>
      <c r="BM127" s="608"/>
      <c r="BN127" s="608"/>
      <c r="BO127" s="608"/>
      <c r="BP127" s="608"/>
      <c r="BQ127" s="608"/>
      <c r="BR127" s="608"/>
      <c r="BS127" s="608"/>
      <c r="BT127" s="608"/>
      <c r="BU127" s="609"/>
      <c r="BV127" s="647" t="s">
        <v>4</v>
      </c>
      <c r="BW127" s="637"/>
      <c r="BX127" s="637"/>
      <c r="BY127" s="637"/>
      <c r="BZ127" s="637"/>
      <c r="CA127" s="637"/>
      <c r="CB127" s="637"/>
      <c r="CC127" s="637"/>
      <c r="CD127" s="637"/>
      <c r="CE127" s="637"/>
      <c r="CF127" s="637"/>
      <c r="CG127" s="637"/>
      <c r="CH127" s="637"/>
      <c r="CI127" s="637"/>
      <c r="CJ127" s="637"/>
      <c r="CK127" s="638"/>
      <c r="CL127" s="636">
        <f>CL117+CL122</f>
        <v>83827.026939999982</v>
      </c>
      <c r="CM127" s="654"/>
      <c r="CN127" s="654"/>
      <c r="CO127" s="654"/>
      <c r="CP127" s="654"/>
      <c r="CQ127" s="654"/>
      <c r="CR127" s="654"/>
      <c r="CS127" s="654"/>
      <c r="CT127" s="654"/>
      <c r="CU127" s="654"/>
      <c r="CV127" s="654"/>
      <c r="CW127" s="654"/>
      <c r="CX127" s="654"/>
      <c r="CY127" s="654"/>
      <c r="CZ127" s="655"/>
      <c r="DA127" s="235"/>
    </row>
    <row r="128" spans="1:106" s="17" customFormat="1" ht="13.5" hidden="1" customHeight="1" x14ac:dyDescent="0.25">
      <c r="A128" s="648" t="s">
        <v>567</v>
      </c>
      <c r="B128" s="649"/>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49"/>
      <c r="BC128" s="649"/>
      <c r="BD128" s="649"/>
      <c r="BE128" s="649"/>
      <c r="BF128" s="649"/>
      <c r="BG128" s="649"/>
      <c r="BH128" s="649"/>
      <c r="BI128" s="649"/>
      <c r="BJ128" s="649"/>
      <c r="BK128" s="649"/>
      <c r="BL128" s="649"/>
      <c r="BM128" s="649"/>
      <c r="BN128" s="649"/>
      <c r="BO128" s="649"/>
      <c r="BP128" s="649"/>
      <c r="BQ128" s="649"/>
      <c r="BR128" s="649"/>
      <c r="BS128" s="649"/>
      <c r="BT128" s="649"/>
      <c r="BU128" s="649"/>
      <c r="BV128" s="649"/>
      <c r="BW128" s="649"/>
      <c r="BX128" s="649"/>
      <c r="BY128" s="649"/>
      <c r="BZ128" s="649"/>
      <c r="CA128" s="649"/>
      <c r="CB128" s="649"/>
      <c r="CC128" s="649"/>
      <c r="CD128" s="649"/>
      <c r="CE128" s="649"/>
      <c r="CF128" s="649"/>
      <c r="CG128" s="649"/>
      <c r="CH128" s="649"/>
      <c r="CI128" s="649"/>
      <c r="CJ128" s="649"/>
      <c r="CK128" s="649"/>
      <c r="CL128" s="649"/>
      <c r="CM128" s="649"/>
      <c r="CN128" s="649"/>
      <c r="CO128" s="649"/>
      <c r="CP128" s="649"/>
      <c r="CQ128" s="649"/>
      <c r="CR128" s="649"/>
      <c r="CS128" s="649"/>
      <c r="CT128" s="649"/>
      <c r="CU128" s="649"/>
      <c r="CV128" s="649"/>
      <c r="CW128" s="649"/>
      <c r="CX128" s="649"/>
      <c r="CY128" s="649"/>
      <c r="CZ128" s="649"/>
      <c r="DA128" s="232"/>
    </row>
    <row r="129" spans="1:105" s="17" customFormat="1" ht="13.5" hidden="1" customHeight="1" x14ac:dyDescent="0.25">
      <c r="A129" s="630" t="s">
        <v>67</v>
      </c>
      <c r="B129" s="631"/>
      <c r="C129" s="631"/>
      <c r="D129" s="631"/>
      <c r="E129" s="631"/>
      <c r="F129" s="632"/>
      <c r="G129" s="213"/>
      <c r="H129" s="585" t="s">
        <v>554</v>
      </c>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5"/>
      <c r="AY129" s="585"/>
      <c r="AZ129" s="585"/>
      <c r="BA129" s="585"/>
      <c r="BB129" s="585"/>
      <c r="BC129" s="585"/>
      <c r="BD129" s="585"/>
      <c r="BE129" s="585"/>
      <c r="BF129" s="585"/>
      <c r="BG129" s="585"/>
      <c r="BH129" s="585"/>
      <c r="BI129" s="585"/>
      <c r="BJ129" s="585"/>
      <c r="BK129" s="585"/>
      <c r="BL129" s="585"/>
      <c r="BM129" s="585"/>
      <c r="BN129" s="585"/>
      <c r="BO129" s="585"/>
      <c r="BP129" s="585"/>
      <c r="BQ129" s="585"/>
      <c r="BR129" s="585"/>
      <c r="BS129" s="585"/>
      <c r="BT129" s="585"/>
      <c r="BU129" s="586"/>
      <c r="BV129" s="544" t="s">
        <v>4</v>
      </c>
      <c r="BW129" s="545"/>
      <c r="BX129" s="545"/>
      <c r="BY129" s="545"/>
      <c r="BZ129" s="545"/>
      <c r="CA129" s="545"/>
      <c r="CB129" s="545"/>
      <c r="CC129" s="545"/>
      <c r="CD129" s="545"/>
      <c r="CE129" s="545"/>
      <c r="CF129" s="545"/>
      <c r="CG129" s="545"/>
      <c r="CH129" s="545"/>
      <c r="CI129" s="545"/>
      <c r="CJ129" s="545"/>
      <c r="CK129" s="546"/>
      <c r="CL129" s="767">
        <f>CL130+CL132</f>
        <v>0</v>
      </c>
      <c r="CM129" s="768"/>
      <c r="CN129" s="768"/>
      <c r="CO129" s="768"/>
      <c r="CP129" s="768"/>
      <c r="CQ129" s="768"/>
      <c r="CR129" s="768"/>
      <c r="CS129" s="768"/>
      <c r="CT129" s="768"/>
      <c r="CU129" s="768"/>
      <c r="CV129" s="768"/>
      <c r="CW129" s="768"/>
      <c r="CX129" s="768"/>
      <c r="CY129" s="768"/>
      <c r="CZ129" s="769"/>
      <c r="DA129" s="232"/>
    </row>
    <row r="130" spans="1:105" s="17" customFormat="1" ht="13.5" hidden="1" customHeight="1" x14ac:dyDescent="0.25">
      <c r="A130" s="709" t="s">
        <v>68</v>
      </c>
      <c r="B130" s="710"/>
      <c r="C130" s="710"/>
      <c r="D130" s="710"/>
      <c r="E130" s="710"/>
      <c r="F130" s="711"/>
      <c r="G130" s="233"/>
      <c r="H130" s="715" t="s">
        <v>3</v>
      </c>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5"/>
      <c r="AY130" s="715"/>
      <c r="AZ130" s="715"/>
      <c r="BA130" s="715"/>
      <c r="BB130" s="715"/>
      <c r="BC130" s="715"/>
      <c r="BD130" s="715"/>
      <c r="BE130" s="715"/>
      <c r="BF130" s="715"/>
      <c r="BG130" s="715"/>
      <c r="BH130" s="715"/>
      <c r="BI130" s="715"/>
      <c r="BJ130" s="715"/>
      <c r="BK130" s="715"/>
      <c r="BL130" s="715"/>
      <c r="BM130" s="715"/>
      <c r="BN130" s="715"/>
      <c r="BO130" s="715"/>
      <c r="BP130" s="715"/>
      <c r="BQ130" s="715"/>
      <c r="BR130" s="715"/>
      <c r="BS130" s="715"/>
      <c r="BT130" s="715"/>
      <c r="BU130" s="716"/>
      <c r="BV130" s="717">
        <f>BV141</f>
        <v>0</v>
      </c>
      <c r="BW130" s="718"/>
      <c r="BX130" s="718"/>
      <c r="BY130" s="718"/>
      <c r="BZ130" s="718"/>
      <c r="CA130" s="718"/>
      <c r="CB130" s="718"/>
      <c r="CC130" s="718"/>
      <c r="CD130" s="718"/>
      <c r="CE130" s="718"/>
      <c r="CF130" s="718"/>
      <c r="CG130" s="718"/>
      <c r="CH130" s="718"/>
      <c r="CI130" s="718"/>
      <c r="CJ130" s="718"/>
      <c r="CK130" s="719"/>
      <c r="CL130" s="717">
        <f>BV130*22%</f>
        <v>0</v>
      </c>
      <c r="CM130" s="718"/>
      <c r="CN130" s="718"/>
      <c r="CO130" s="718"/>
      <c r="CP130" s="718"/>
      <c r="CQ130" s="718"/>
      <c r="CR130" s="718"/>
      <c r="CS130" s="718"/>
      <c r="CT130" s="718"/>
      <c r="CU130" s="718"/>
      <c r="CV130" s="718"/>
      <c r="CW130" s="718"/>
      <c r="CX130" s="718"/>
      <c r="CY130" s="718"/>
      <c r="CZ130" s="719"/>
      <c r="DA130" s="232"/>
    </row>
    <row r="131" spans="1:105" s="17" customFormat="1" ht="13.5" hidden="1" customHeight="1" x14ac:dyDescent="0.25">
      <c r="A131" s="712"/>
      <c r="B131" s="713"/>
      <c r="C131" s="713"/>
      <c r="D131" s="713"/>
      <c r="E131" s="713"/>
      <c r="F131" s="714"/>
      <c r="G131" s="234"/>
      <c r="H131" s="723" t="s">
        <v>555</v>
      </c>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3"/>
      <c r="AR131" s="723"/>
      <c r="AS131" s="723"/>
      <c r="AT131" s="723"/>
      <c r="AU131" s="723"/>
      <c r="AV131" s="723"/>
      <c r="AW131" s="723"/>
      <c r="AX131" s="723"/>
      <c r="AY131" s="723"/>
      <c r="AZ131" s="723"/>
      <c r="BA131" s="723"/>
      <c r="BB131" s="723"/>
      <c r="BC131" s="723"/>
      <c r="BD131" s="723"/>
      <c r="BE131" s="723"/>
      <c r="BF131" s="723"/>
      <c r="BG131" s="723"/>
      <c r="BH131" s="723"/>
      <c r="BI131" s="723"/>
      <c r="BJ131" s="723"/>
      <c r="BK131" s="723"/>
      <c r="BL131" s="723"/>
      <c r="BM131" s="723"/>
      <c r="BN131" s="723"/>
      <c r="BO131" s="723"/>
      <c r="BP131" s="723"/>
      <c r="BQ131" s="723"/>
      <c r="BR131" s="723"/>
      <c r="BS131" s="723"/>
      <c r="BT131" s="723"/>
      <c r="BU131" s="724"/>
      <c r="BV131" s="720"/>
      <c r="BW131" s="721"/>
      <c r="BX131" s="721"/>
      <c r="BY131" s="721"/>
      <c r="BZ131" s="721"/>
      <c r="CA131" s="721"/>
      <c r="CB131" s="721"/>
      <c r="CC131" s="721"/>
      <c r="CD131" s="721"/>
      <c r="CE131" s="721"/>
      <c r="CF131" s="721"/>
      <c r="CG131" s="721"/>
      <c r="CH131" s="721"/>
      <c r="CI131" s="721"/>
      <c r="CJ131" s="721"/>
      <c r="CK131" s="722"/>
      <c r="CL131" s="720"/>
      <c r="CM131" s="721"/>
      <c r="CN131" s="721"/>
      <c r="CO131" s="721"/>
      <c r="CP131" s="721"/>
      <c r="CQ131" s="721"/>
      <c r="CR131" s="721"/>
      <c r="CS131" s="721"/>
      <c r="CT131" s="721"/>
      <c r="CU131" s="721"/>
      <c r="CV131" s="721"/>
      <c r="CW131" s="721"/>
      <c r="CX131" s="721"/>
      <c r="CY131" s="721"/>
      <c r="CZ131" s="722"/>
      <c r="DA131" s="232"/>
    </row>
    <row r="132" spans="1:105" s="17" customFormat="1" ht="13.5" hidden="1" customHeight="1" x14ac:dyDescent="0.25">
      <c r="A132" s="630" t="s">
        <v>69</v>
      </c>
      <c r="B132" s="631"/>
      <c r="C132" s="631"/>
      <c r="D132" s="631"/>
      <c r="E132" s="631"/>
      <c r="F132" s="632"/>
      <c r="G132" s="213"/>
      <c r="H132" s="707" t="s">
        <v>556</v>
      </c>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c r="BA132" s="707"/>
      <c r="BB132" s="707"/>
      <c r="BC132" s="707"/>
      <c r="BD132" s="707"/>
      <c r="BE132" s="707"/>
      <c r="BF132" s="707"/>
      <c r="BG132" s="707"/>
      <c r="BH132" s="707"/>
      <c r="BI132" s="707"/>
      <c r="BJ132" s="707"/>
      <c r="BK132" s="707"/>
      <c r="BL132" s="707"/>
      <c r="BM132" s="707"/>
      <c r="BN132" s="707"/>
      <c r="BO132" s="707"/>
      <c r="BP132" s="707"/>
      <c r="BQ132" s="707"/>
      <c r="BR132" s="707"/>
      <c r="BS132" s="707"/>
      <c r="BT132" s="707"/>
      <c r="BU132" s="708"/>
      <c r="BV132" s="547">
        <v>0</v>
      </c>
      <c r="BW132" s="548"/>
      <c r="BX132" s="548"/>
      <c r="BY132" s="548"/>
      <c r="BZ132" s="548"/>
      <c r="CA132" s="548"/>
      <c r="CB132" s="548"/>
      <c r="CC132" s="548"/>
      <c r="CD132" s="548"/>
      <c r="CE132" s="548"/>
      <c r="CF132" s="548"/>
      <c r="CG132" s="548"/>
      <c r="CH132" s="548"/>
      <c r="CI132" s="548"/>
      <c r="CJ132" s="548"/>
      <c r="CK132" s="549"/>
      <c r="CL132" s="547">
        <f>BV132*10%</f>
        <v>0</v>
      </c>
      <c r="CM132" s="548"/>
      <c r="CN132" s="548"/>
      <c r="CO132" s="548"/>
      <c r="CP132" s="548"/>
      <c r="CQ132" s="548"/>
      <c r="CR132" s="548"/>
      <c r="CS132" s="548"/>
      <c r="CT132" s="548"/>
      <c r="CU132" s="548"/>
      <c r="CV132" s="548"/>
      <c r="CW132" s="548"/>
      <c r="CX132" s="548"/>
      <c r="CY132" s="548"/>
      <c r="CZ132" s="549"/>
      <c r="DA132" s="232"/>
    </row>
    <row r="133" spans="1:105" s="17" customFormat="1" ht="20.25" hidden="1" customHeight="1" x14ac:dyDescent="0.25">
      <c r="A133" s="630" t="s">
        <v>70</v>
      </c>
      <c r="B133" s="631"/>
      <c r="C133" s="631"/>
      <c r="D133" s="631"/>
      <c r="E133" s="631"/>
      <c r="F133" s="632"/>
      <c r="G133" s="213"/>
      <c r="H133" s="707" t="s">
        <v>557</v>
      </c>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707"/>
      <c r="BF133" s="707"/>
      <c r="BG133" s="707"/>
      <c r="BH133" s="707"/>
      <c r="BI133" s="707"/>
      <c r="BJ133" s="707"/>
      <c r="BK133" s="707"/>
      <c r="BL133" s="707"/>
      <c r="BM133" s="707"/>
      <c r="BN133" s="707"/>
      <c r="BO133" s="707"/>
      <c r="BP133" s="707"/>
      <c r="BQ133" s="707"/>
      <c r="BR133" s="707"/>
      <c r="BS133" s="707"/>
      <c r="BT133" s="707"/>
      <c r="BU133" s="708"/>
      <c r="BV133" s="547"/>
      <c r="BW133" s="548"/>
      <c r="BX133" s="548"/>
      <c r="BY133" s="548"/>
      <c r="BZ133" s="548"/>
      <c r="CA133" s="548"/>
      <c r="CB133" s="548"/>
      <c r="CC133" s="548"/>
      <c r="CD133" s="548"/>
      <c r="CE133" s="548"/>
      <c r="CF133" s="548"/>
      <c r="CG133" s="548"/>
      <c r="CH133" s="548"/>
      <c r="CI133" s="548"/>
      <c r="CJ133" s="548"/>
      <c r="CK133" s="549"/>
      <c r="CL133" s="547"/>
      <c r="CM133" s="548"/>
      <c r="CN133" s="548"/>
      <c r="CO133" s="548"/>
      <c r="CP133" s="548"/>
      <c r="CQ133" s="548"/>
      <c r="CR133" s="548"/>
      <c r="CS133" s="548"/>
      <c r="CT133" s="548"/>
      <c r="CU133" s="548"/>
      <c r="CV133" s="548"/>
      <c r="CW133" s="548"/>
      <c r="CX133" s="548"/>
      <c r="CY133" s="548"/>
      <c r="CZ133" s="549"/>
      <c r="DA133" s="232"/>
    </row>
    <row r="134" spans="1:105" s="17" customFormat="1" ht="21.75" hidden="1" customHeight="1" x14ac:dyDescent="0.25">
      <c r="A134" s="630" t="s">
        <v>71</v>
      </c>
      <c r="B134" s="631"/>
      <c r="C134" s="631"/>
      <c r="D134" s="631"/>
      <c r="E134" s="631"/>
      <c r="F134" s="632"/>
      <c r="G134" s="213"/>
      <c r="H134" s="585" t="s">
        <v>558</v>
      </c>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5"/>
      <c r="AY134" s="585"/>
      <c r="AZ134" s="585"/>
      <c r="BA134" s="585"/>
      <c r="BB134" s="585"/>
      <c r="BC134" s="585"/>
      <c r="BD134" s="585"/>
      <c r="BE134" s="585"/>
      <c r="BF134" s="585"/>
      <c r="BG134" s="585"/>
      <c r="BH134" s="585"/>
      <c r="BI134" s="585"/>
      <c r="BJ134" s="585"/>
      <c r="BK134" s="585"/>
      <c r="BL134" s="585"/>
      <c r="BM134" s="585"/>
      <c r="BN134" s="585"/>
      <c r="BO134" s="585"/>
      <c r="BP134" s="585"/>
      <c r="BQ134" s="585"/>
      <c r="BR134" s="585"/>
      <c r="BS134" s="585"/>
      <c r="BT134" s="585"/>
      <c r="BU134" s="586"/>
      <c r="BV134" s="544" t="s">
        <v>4</v>
      </c>
      <c r="BW134" s="545"/>
      <c r="BX134" s="545"/>
      <c r="BY134" s="545"/>
      <c r="BZ134" s="545"/>
      <c r="CA134" s="545"/>
      <c r="CB134" s="545"/>
      <c r="CC134" s="545"/>
      <c r="CD134" s="545"/>
      <c r="CE134" s="545"/>
      <c r="CF134" s="545"/>
      <c r="CG134" s="545"/>
      <c r="CH134" s="545"/>
      <c r="CI134" s="545"/>
      <c r="CJ134" s="545"/>
      <c r="CK134" s="546"/>
      <c r="CL134" s="767">
        <f>CL135+CL138+CL137</f>
        <v>0</v>
      </c>
      <c r="CM134" s="768"/>
      <c r="CN134" s="768"/>
      <c r="CO134" s="768"/>
      <c r="CP134" s="768"/>
      <c r="CQ134" s="768"/>
      <c r="CR134" s="768"/>
      <c r="CS134" s="768"/>
      <c r="CT134" s="768"/>
      <c r="CU134" s="768"/>
      <c r="CV134" s="768"/>
      <c r="CW134" s="768"/>
      <c r="CX134" s="768"/>
      <c r="CY134" s="768"/>
      <c r="CZ134" s="769"/>
      <c r="DA134" s="232"/>
    </row>
    <row r="135" spans="1:105" s="17" customFormat="1" ht="13.5" hidden="1" customHeight="1" x14ac:dyDescent="0.25">
      <c r="A135" s="709" t="s">
        <v>72</v>
      </c>
      <c r="B135" s="710"/>
      <c r="C135" s="710"/>
      <c r="D135" s="710"/>
      <c r="E135" s="710"/>
      <c r="F135" s="711"/>
      <c r="G135" s="233"/>
      <c r="H135" s="715" t="s">
        <v>3</v>
      </c>
      <c r="I135" s="715"/>
      <c r="J135" s="715"/>
      <c r="K135" s="715"/>
      <c r="L135" s="715"/>
      <c r="M135" s="715"/>
      <c r="N135" s="715"/>
      <c r="O135" s="715"/>
      <c r="P135" s="715"/>
      <c r="Q135" s="715"/>
      <c r="R135" s="715"/>
      <c r="S135" s="715"/>
      <c r="T135" s="715"/>
      <c r="U135" s="715"/>
      <c r="V135" s="715"/>
      <c r="W135" s="715"/>
      <c r="X135" s="715"/>
      <c r="Y135" s="715"/>
      <c r="Z135" s="715"/>
      <c r="AA135" s="715"/>
      <c r="AB135" s="715"/>
      <c r="AC135" s="715"/>
      <c r="AD135" s="715"/>
      <c r="AE135" s="715"/>
      <c r="AF135" s="715"/>
      <c r="AG135" s="715"/>
      <c r="AH135" s="715"/>
      <c r="AI135" s="715"/>
      <c r="AJ135" s="715"/>
      <c r="AK135" s="715"/>
      <c r="AL135" s="715"/>
      <c r="AM135" s="715"/>
      <c r="AN135" s="715"/>
      <c r="AO135" s="715"/>
      <c r="AP135" s="715"/>
      <c r="AQ135" s="715"/>
      <c r="AR135" s="715"/>
      <c r="AS135" s="715"/>
      <c r="AT135" s="715"/>
      <c r="AU135" s="715"/>
      <c r="AV135" s="715"/>
      <c r="AW135" s="715"/>
      <c r="AX135" s="715"/>
      <c r="AY135" s="715"/>
      <c r="AZ135" s="715"/>
      <c r="BA135" s="715"/>
      <c r="BB135" s="715"/>
      <c r="BC135" s="715"/>
      <c r="BD135" s="715"/>
      <c r="BE135" s="715"/>
      <c r="BF135" s="715"/>
      <c r="BG135" s="715"/>
      <c r="BH135" s="715"/>
      <c r="BI135" s="715"/>
      <c r="BJ135" s="715"/>
      <c r="BK135" s="715"/>
      <c r="BL135" s="715"/>
      <c r="BM135" s="715"/>
      <c r="BN135" s="715"/>
      <c r="BO135" s="715"/>
      <c r="BP135" s="715"/>
      <c r="BQ135" s="715"/>
      <c r="BR135" s="715"/>
      <c r="BS135" s="715"/>
      <c r="BT135" s="715"/>
      <c r="BU135" s="716"/>
      <c r="BV135" s="717">
        <f>BV141</f>
        <v>0</v>
      </c>
      <c r="BW135" s="718"/>
      <c r="BX135" s="718"/>
      <c r="BY135" s="718"/>
      <c r="BZ135" s="718"/>
      <c r="CA135" s="718"/>
      <c r="CB135" s="718"/>
      <c r="CC135" s="718"/>
      <c r="CD135" s="718"/>
      <c r="CE135" s="718"/>
      <c r="CF135" s="718"/>
      <c r="CG135" s="718"/>
      <c r="CH135" s="718"/>
      <c r="CI135" s="718"/>
      <c r="CJ135" s="718"/>
      <c r="CK135" s="719"/>
      <c r="CL135" s="717">
        <f>BV135*2.9%</f>
        <v>0</v>
      </c>
      <c r="CM135" s="718"/>
      <c r="CN135" s="718"/>
      <c r="CO135" s="718"/>
      <c r="CP135" s="718"/>
      <c r="CQ135" s="718"/>
      <c r="CR135" s="718"/>
      <c r="CS135" s="718"/>
      <c r="CT135" s="718"/>
      <c r="CU135" s="718"/>
      <c r="CV135" s="718"/>
      <c r="CW135" s="718"/>
      <c r="CX135" s="718"/>
      <c r="CY135" s="718"/>
      <c r="CZ135" s="719"/>
      <c r="DA135" s="232"/>
    </row>
    <row r="136" spans="1:105" s="17" customFormat="1" ht="29.25" hidden="1" customHeight="1" x14ac:dyDescent="0.25">
      <c r="A136" s="712"/>
      <c r="B136" s="713"/>
      <c r="C136" s="713"/>
      <c r="D136" s="713"/>
      <c r="E136" s="713"/>
      <c r="F136" s="714"/>
      <c r="G136" s="234"/>
      <c r="H136" s="723" t="s">
        <v>559</v>
      </c>
      <c r="I136" s="723"/>
      <c r="J136" s="723"/>
      <c r="K136" s="723"/>
      <c r="L136" s="723"/>
      <c r="M136" s="723"/>
      <c r="N136" s="723"/>
      <c r="O136" s="723"/>
      <c r="P136" s="723"/>
      <c r="Q136" s="723"/>
      <c r="R136" s="723"/>
      <c r="S136" s="723"/>
      <c r="T136" s="723"/>
      <c r="U136" s="723"/>
      <c r="V136" s="723"/>
      <c r="W136" s="723"/>
      <c r="X136" s="723"/>
      <c r="Y136" s="723"/>
      <c r="Z136" s="723"/>
      <c r="AA136" s="723"/>
      <c r="AB136" s="723"/>
      <c r="AC136" s="723"/>
      <c r="AD136" s="723"/>
      <c r="AE136" s="723"/>
      <c r="AF136" s="723"/>
      <c r="AG136" s="723"/>
      <c r="AH136" s="723"/>
      <c r="AI136" s="723"/>
      <c r="AJ136" s="723"/>
      <c r="AK136" s="723"/>
      <c r="AL136" s="723"/>
      <c r="AM136" s="723"/>
      <c r="AN136" s="723"/>
      <c r="AO136" s="723"/>
      <c r="AP136" s="723"/>
      <c r="AQ136" s="723"/>
      <c r="AR136" s="723"/>
      <c r="AS136" s="723"/>
      <c r="AT136" s="723"/>
      <c r="AU136" s="723"/>
      <c r="AV136" s="723"/>
      <c r="AW136" s="723"/>
      <c r="AX136" s="723"/>
      <c r="AY136" s="723"/>
      <c r="AZ136" s="723"/>
      <c r="BA136" s="723"/>
      <c r="BB136" s="723"/>
      <c r="BC136" s="723"/>
      <c r="BD136" s="723"/>
      <c r="BE136" s="723"/>
      <c r="BF136" s="723"/>
      <c r="BG136" s="723"/>
      <c r="BH136" s="723"/>
      <c r="BI136" s="723"/>
      <c r="BJ136" s="723"/>
      <c r="BK136" s="723"/>
      <c r="BL136" s="723"/>
      <c r="BM136" s="723"/>
      <c r="BN136" s="723"/>
      <c r="BO136" s="723"/>
      <c r="BP136" s="723"/>
      <c r="BQ136" s="723"/>
      <c r="BR136" s="723"/>
      <c r="BS136" s="723"/>
      <c r="BT136" s="723"/>
      <c r="BU136" s="724"/>
      <c r="BV136" s="720"/>
      <c r="BW136" s="721"/>
      <c r="BX136" s="721"/>
      <c r="BY136" s="721"/>
      <c r="BZ136" s="721"/>
      <c r="CA136" s="721"/>
      <c r="CB136" s="721"/>
      <c r="CC136" s="721"/>
      <c r="CD136" s="721"/>
      <c r="CE136" s="721"/>
      <c r="CF136" s="721"/>
      <c r="CG136" s="721"/>
      <c r="CH136" s="721"/>
      <c r="CI136" s="721"/>
      <c r="CJ136" s="721"/>
      <c r="CK136" s="722"/>
      <c r="CL136" s="720"/>
      <c r="CM136" s="721"/>
      <c r="CN136" s="721"/>
      <c r="CO136" s="721"/>
      <c r="CP136" s="721"/>
      <c r="CQ136" s="721"/>
      <c r="CR136" s="721"/>
      <c r="CS136" s="721"/>
      <c r="CT136" s="721"/>
      <c r="CU136" s="721"/>
      <c r="CV136" s="721"/>
      <c r="CW136" s="721"/>
      <c r="CX136" s="721"/>
      <c r="CY136" s="721"/>
      <c r="CZ136" s="722"/>
      <c r="DA136" s="232"/>
    </row>
    <row r="137" spans="1:105" s="17" customFormat="1" ht="13.5" hidden="1" customHeight="1" x14ac:dyDescent="0.25">
      <c r="A137" s="630" t="s">
        <v>73</v>
      </c>
      <c r="B137" s="631"/>
      <c r="C137" s="631"/>
      <c r="D137" s="631"/>
      <c r="E137" s="631"/>
      <c r="F137" s="632"/>
      <c r="G137" s="213"/>
      <c r="H137" s="707" t="s">
        <v>560</v>
      </c>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c r="BA137" s="707"/>
      <c r="BB137" s="707"/>
      <c r="BC137" s="707"/>
      <c r="BD137" s="707"/>
      <c r="BE137" s="707"/>
      <c r="BF137" s="707"/>
      <c r="BG137" s="707"/>
      <c r="BH137" s="707"/>
      <c r="BI137" s="707"/>
      <c r="BJ137" s="707"/>
      <c r="BK137" s="707"/>
      <c r="BL137" s="707"/>
      <c r="BM137" s="707"/>
      <c r="BN137" s="707"/>
      <c r="BO137" s="707"/>
      <c r="BP137" s="707"/>
      <c r="BQ137" s="707"/>
      <c r="BR137" s="707"/>
      <c r="BS137" s="707"/>
      <c r="BT137" s="707"/>
      <c r="BU137" s="708"/>
      <c r="BV137" s="547">
        <v>0</v>
      </c>
      <c r="BW137" s="548"/>
      <c r="BX137" s="548"/>
      <c r="BY137" s="548"/>
      <c r="BZ137" s="548"/>
      <c r="CA137" s="548"/>
      <c r="CB137" s="548"/>
      <c r="CC137" s="548"/>
      <c r="CD137" s="548"/>
      <c r="CE137" s="548"/>
      <c r="CF137" s="548"/>
      <c r="CG137" s="548"/>
      <c r="CH137" s="548"/>
      <c r="CI137" s="548"/>
      <c r="CJ137" s="548"/>
      <c r="CK137" s="549"/>
      <c r="CL137" s="547"/>
      <c r="CM137" s="548"/>
      <c r="CN137" s="548"/>
      <c r="CO137" s="548"/>
      <c r="CP137" s="548"/>
      <c r="CQ137" s="548"/>
      <c r="CR137" s="548"/>
      <c r="CS137" s="548"/>
      <c r="CT137" s="548"/>
      <c r="CU137" s="548"/>
      <c r="CV137" s="548"/>
      <c r="CW137" s="548"/>
      <c r="CX137" s="548"/>
      <c r="CY137" s="548"/>
      <c r="CZ137" s="549"/>
      <c r="DA137" s="232"/>
    </row>
    <row r="138" spans="1:105" s="17" customFormat="1" ht="30.75" hidden="1" customHeight="1" x14ac:dyDescent="0.25">
      <c r="A138" s="630" t="s">
        <v>74</v>
      </c>
      <c r="B138" s="631"/>
      <c r="C138" s="631"/>
      <c r="D138" s="631"/>
      <c r="E138" s="631"/>
      <c r="F138" s="632"/>
      <c r="G138" s="213"/>
      <c r="H138" s="707" t="s">
        <v>561</v>
      </c>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c r="BA138" s="707"/>
      <c r="BB138" s="707"/>
      <c r="BC138" s="707"/>
      <c r="BD138" s="707"/>
      <c r="BE138" s="707"/>
      <c r="BF138" s="707"/>
      <c r="BG138" s="707"/>
      <c r="BH138" s="707"/>
      <c r="BI138" s="707"/>
      <c r="BJ138" s="707"/>
      <c r="BK138" s="707"/>
      <c r="BL138" s="707"/>
      <c r="BM138" s="707"/>
      <c r="BN138" s="707"/>
      <c r="BO138" s="707"/>
      <c r="BP138" s="707"/>
      <c r="BQ138" s="707"/>
      <c r="BR138" s="707"/>
      <c r="BS138" s="707"/>
      <c r="BT138" s="707"/>
      <c r="BU138" s="708"/>
      <c r="BV138" s="547">
        <f>BV141</f>
        <v>0</v>
      </c>
      <c r="BW138" s="548"/>
      <c r="BX138" s="548"/>
      <c r="BY138" s="548"/>
      <c r="BZ138" s="548"/>
      <c r="CA138" s="548"/>
      <c r="CB138" s="548"/>
      <c r="CC138" s="548"/>
      <c r="CD138" s="548"/>
      <c r="CE138" s="548"/>
      <c r="CF138" s="548"/>
      <c r="CG138" s="548"/>
      <c r="CH138" s="548"/>
      <c r="CI138" s="548"/>
      <c r="CJ138" s="548"/>
      <c r="CK138" s="549"/>
      <c r="CL138" s="547">
        <f>BV138*0.2%</f>
        <v>0</v>
      </c>
      <c r="CM138" s="548"/>
      <c r="CN138" s="548"/>
      <c r="CO138" s="548"/>
      <c r="CP138" s="548"/>
      <c r="CQ138" s="548"/>
      <c r="CR138" s="548"/>
      <c r="CS138" s="548"/>
      <c r="CT138" s="548"/>
      <c r="CU138" s="548"/>
      <c r="CV138" s="548"/>
      <c r="CW138" s="548"/>
      <c r="CX138" s="548"/>
      <c r="CY138" s="548"/>
      <c r="CZ138" s="549"/>
      <c r="DA138" s="232"/>
    </row>
    <row r="139" spans="1:105" s="17" customFormat="1" ht="13.5" hidden="1" customHeight="1" x14ac:dyDescent="0.25">
      <c r="A139" s="630" t="s">
        <v>562</v>
      </c>
      <c r="B139" s="631"/>
      <c r="C139" s="631"/>
      <c r="D139" s="631"/>
      <c r="E139" s="631"/>
      <c r="F139" s="632"/>
      <c r="G139" s="213"/>
      <c r="H139" s="707" t="s">
        <v>563</v>
      </c>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707"/>
      <c r="BF139" s="707"/>
      <c r="BG139" s="707"/>
      <c r="BH139" s="707"/>
      <c r="BI139" s="707"/>
      <c r="BJ139" s="707"/>
      <c r="BK139" s="707"/>
      <c r="BL139" s="707"/>
      <c r="BM139" s="707"/>
      <c r="BN139" s="707"/>
      <c r="BO139" s="707"/>
      <c r="BP139" s="707"/>
      <c r="BQ139" s="707"/>
      <c r="BR139" s="707"/>
      <c r="BS139" s="707"/>
      <c r="BT139" s="707"/>
      <c r="BU139" s="708"/>
      <c r="BV139" s="547"/>
      <c r="BW139" s="548"/>
      <c r="BX139" s="548"/>
      <c r="BY139" s="548"/>
      <c r="BZ139" s="548"/>
      <c r="CA139" s="548"/>
      <c r="CB139" s="548"/>
      <c r="CC139" s="548"/>
      <c r="CD139" s="548"/>
      <c r="CE139" s="548"/>
      <c r="CF139" s="548"/>
      <c r="CG139" s="548"/>
      <c r="CH139" s="548"/>
      <c r="CI139" s="548"/>
      <c r="CJ139" s="548"/>
      <c r="CK139" s="549"/>
      <c r="CL139" s="547"/>
      <c r="CM139" s="548"/>
      <c r="CN139" s="548"/>
      <c r="CO139" s="548"/>
      <c r="CP139" s="548"/>
      <c r="CQ139" s="548"/>
      <c r="CR139" s="548"/>
      <c r="CS139" s="548"/>
      <c r="CT139" s="548"/>
      <c r="CU139" s="548"/>
      <c r="CV139" s="548"/>
      <c r="CW139" s="548"/>
      <c r="CX139" s="548"/>
      <c r="CY139" s="548"/>
      <c r="CZ139" s="549"/>
      <c r="DA139" s="232"/>
    </row>
    <row r="140" spans="1:105" s="17" customFormat="1" ht="13.5" hidden="1" customHeight="1" x14ac:dyDescent="0.25">
      <c r="A140" s="630" t="s">
        <v>564</v>
      </c>
      <c r="B140" s="631"/>
      <c r="C140" s="631"/>
      <c r="D140" s="631"/>
      <c r="E140" s="631"/>
      <c r="F140" s="632"/>
      <c r="G140" s="213"/>
      <c r="H140" s="707" t="s">
        <v>563</v>
      </c>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c r="BA140" s="707"/>
      <c r="BB140" s="707"/>
      <c r="BC140" s="707"/>
      <c r="BD140" s="707"/>
      <c r="BE140" s="707"/>
      <c r="BF140" s="707"/>
      <c r="BG140" s="707"/>
      <c r="BH140" s="707"/>
      <c r="BI140" s="707"/>
      <c r="BJ140" s="707"/>
      <c r="BK140" s="707"/>
      <c r="BL140" s="707"/>
      <c r="BM140" s="707"/>
      <c r="BN140" s="707"/>
      <c r="BO140" s="707"/>
      <c r="BP140" s="707"/>
      <c r="BQ140" s="707"/>
      <c r="BR140" s="707"/>
      <c r="BS140" s="707"/>
      <c r="BT140" s="707"/>
      <c r="BU140" s="708"/>
      <c r="BV140" s="547"/>
      <c r="BW140" s="548"/>
      <c r="BX140" s="548"/>
      <c r="BY140" s="548"/>
      <c r="BZ140" s="548"/>
      <c r="CA140" s="548"/>
      <c r="CB140" s="548"/>
      <c r="CC140" s="548"/>
      <c r="CD140" s="548"/>
      <c r="CE140" s="548"/>
      <c r="CF140" s="548"/>
      <c r="CG140" s="548"/>
      <c r="CH140" s="548"/>
      <c r="CI140" s="548"/>
      <c r="CJ140" s="548"/>
      <c r="CK140" s="549"/>
      <c r="CL140" s="547"/>
      <c r="CM140" s="548"/>
      <c r="CN140" s="548"/>
      <c r="CO140" s="548"/>
      <c r="CP140" s="548"/>
      <c r="CQ140" s="548"/>
      <c r="CR140" s="548"/>
      <c r="CS140" s="548"/>
      <c r="CT140" s="548"/>
      <c r="CU140" s="548"/>
      <c r="CV140" s="548"/>
      <c r="CW140" s="548"/>
      <c r="CX140" s="548"/>
      <c r="CY140" s="548"/>
      <c r="CZ140" s="549"/>
      <c r="DA140" s="232"/>
    </row>
    <row r="141" spans="1:105" s="17" customFormat="1" ht="13.5" hidden="1" customHeight="1" x14ac:dyDescent="0.25">
      <c r="A141" s="630" t="s">
        <v>462</v>
      </c>
      <c r="B141" s="631"/>
      <c r="C141" s="631"/>
      <c r="D141" s="631"/>
      <c r="E141" s="631"/>
      <c r="F141" s="632"/>
      <c r="G141" s="213"/>
      <c r="H141" s="585" t="s">
        <v>565</v>
      </c>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c r="AV141" s="585"/>
      <c r="AW141" s="585"/>
      <c r="AX141" s="585"/>
      <c r="AY141" s="585"/>
      <c r="AZ141" s="585"/>
      <c r="BA141" s="585"/>
      <c r="BB141" s="585"/>
      <c r="BC141" s="585"/>
      <c r="BD141" s="585"/>
      <c r="BE141" s="585"/>
      <c r="BF141" s="585"/>
      <c r="BG141" s="585"/>
      <c r="BH141" s="585"/>
      <c r="BI141" s="585"/>
      <c r="BJ141" s="585"/>
      <c r="BK141" s="585"/>
      <c r="BL141" s="585"/>
      <c r="BM141" s="585"/>
      <c r="BN141" s="585"/>
      <c r="BO141" s="585"/>
      <c r="BP141" s="585"/>
      <c r="BQ141" s="585"/>
      <c r="BR141" s="585"/>
      <c r="BS141" s="585"/>
      <c r="BT141" s="585"/>
      <c r="BU141" s="586"/>
      <c r="BV141" s="547">
        <v>0</v>
      </c>
      <c r="BW141" s="548"/>
      <c r="BX141" s="548"/>
      <c r="BY141" s="548"/>
      <c r="BZ141" s="548"/>
      <c r="CA141" s="548"/>
      <c r="CB141" s="548"/>
      <c r="CC141" s="548"/>
      <c r="CD141" s="548"/>
      <c r="CE141" s="548"/>
      <c r="CF141" s="548"/>
      <c r="CG141" s="548"/>
      <c r="CH141" s="548"/>
      <c r="CI141" s="548"/>
      <c r="CJ141" s="548"/>
      <c r="CK141" s="549"/>
      <c r="CL141" s="767">
        <f>BV141*5.1%</f>
        <v>0</v>
      </c>
      <c r="CM141" s="768"/>
      <c r="CN141" s="768"/>
      <c r="CO141" s="768"/>
      <c r="CP141" s="768"/>
      <c r="CQ141" s="768"/>
      <c r="CR141" s="768"/>
      <c r="CS141" s="768"/>
      <c r="CT141" s="768"/>
      <c r="CU141" s="768"/>
      <c r="CV141" s="768"/>
      <c r="CW141" s="768"/>
      <c r="CX141" s="768"/>
      <c r="CY141" s="768"/>
      <c r="CZ141" s="769"/>
      <c r="DA141" s="235"/>
    </row>
    <row r="142" spans="1:105" s="17" customFormat="1" ht="13.5" hidden="1" customHeight="1" x14ac:dyDescent="0.25">
      <c r="A142" s="630"/>
      <c r="B142" s="631"/>
      <c r="C142" s="631"/>
      <c r="D142" s="631"/>
      <c r="E142" s="631"/>
      <c r="F142" s="632"/>
      <c r="G142" s="607" t="s">
        <v>292</v>
      </c>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8"/>
      <c r="AZ142" s="608"/>
      <c r="BA142" s="608"/>
      <c r="BB142" s="608"/>
      <c r="BC142" s="608"/>
      <c r="BD142" s="608"/>
      <c r="BE142" s="608"/>
      <c r="BF142" s="608"/>
      <c r="BG142" s="608"/>
      <c r="BH142" s="608"/>
      <c r="BI142" s="608"/>
      <c r="BJ142" s="608"/>
      <c r="BK142" s="608"/>
      <c r="BL142" s="608"/>
      <c r="BM142" s="608"/>
      <c r="BN142" s="608"/>
      <c r="BO142" s="608"/>
      <c r="BP142" s="608"/>
      <c r="BQ142" s="608"/>
      <c r="BR142" s="608"/>
      <c r="BS142" s="608"/>
      <c r="BT142" s="608"/>
      <c r="BU142" s="609"/>
      <c r="BV142" s="647" t="s">
        <v>4</v>
      </c>
      <c r="BW142" s="637"/>
      <c r="BX142" s="637"/>
      <c r="BY142" s="637"/>
      <c r="BZ142" s="637"/>
      <c r="CA142" s="637"/>
      <c r="CB142" s="637"/>
      <c r="CC142" s="637"/>
      <c r="CD142" s="637"/>
      <c r="CE142" s="637"/>
      <c r="CF142" s="637"/>
      <c r="CG142" s="637"/>
      <c r="CH142" s="637"/>
      <c r="CI142" s="637"/>
      <c r="CJ142" s="637"/>
      <c r="CK142" s="638"/>
      <c r="CL142" s="636">
        <v>0</v>
      </c>
      <c r="CM142" s="654"/>
      <c r="CN142" s="654"/>
      <c r="CO142" s="654"/>
      <c r="CP142" s="654"/>
      <c r="CQ142" s="654"/>
      <c r="CR142" s="654"/>
      <c r="CS142" s="654"/>
      <c r="CT142" s="654"/>
      <c r="CU142" s="654"/>
      <c r="CV142" s="654"/>
      <c r="CW142" s="654"/>
      <c r="CX142" s="654"/>
      <c r="CY142" s="654"/>
      <c r="CZ142" s="655"/>
      <c r="DA142" s="235"/>
    </row>
    <row r="143" spans="1:105" s="17" customFormat="1" ht="13.5" customHeight="1" x14ac:dyDescent="0.25">
      <c r="A143" s="630"/>
      <c r="B143" s="631"/>
      <c r="C143" s="631"/>
      <c r="D143" s="631"/>
      <c r="E143" s="631"/>
      <c r="F143" s="632"/>
      <c r="G143" s="607" t="s">
        <v>56</v>
      </c>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8"/>
      <c r="AY143" s="608"/>
      <c r="AZ143" s="608"/>
      <c r="BA143" s="608"/>
      <c r="BB143" s="608"/>
      <c r="BC143" s="608"/>
      <c r="BD143" s="608"/>
      <c r="BE143" s="608"/>
      <c r="BF143" s="608"/>
      <c r="BG143" s="608"/>
      <c r="BH143" s="608"/>
      <c r="BI143" s="608"/>
      <c r="BJ143" s="608"/>
      <c r="BK143" s="608"/>
      <c r="BL143" s="608"/>
      <c r="BM143" s="608"/>
      <c r="BN143" s="608"/>
      <c r="BO143" s="608"/>
      <c r="BP143" s="608"/>
      <c r="BQ143" s="608"/>
      <c r="BR143" s="608"/>
      <c r="BS143" s="608"/>
      <c r="BT143" s="608"/>
      <c r="BU143" s="609"/>
      <c r="BV143" s="647" t="s">
        <v>4</v>
      </c>
      <c r="BW143" s="637"/>
      <c r="BX143" s="637"/>
      <c r="BY143" s="637"/>
      <c r="BZ143" s="637"/>
      <c r="CA143" s="637"/>
      <c r="CB143" s="637"/>
      <c r="CC143" s="637"/>
      <c r="CD143" s="637"/>
      <c r="CE143" s="637"/>
      <c r="CF143" s="637"/>
      <c r="CG143" s="637"/>
      <c r="CH143" s="637"/>
      <c r="CI143" s="637"/>
      <c r="CJ143" s="637"/>
      <c r="CK143" s="638"/>
      <c r="CL143" s="636">
        <f>CL115+CL127+CL142</f>
        <v>26821793.480459999</v>
      </c>
      <c r="CM143" s="654"/>
      <c r="CN143" s="654"/>
      <c r="CO143" s="654"/>
      <c r="CP143" s="654"/>
      <c r="CQ143" s="654"/>
      <c r="CR143" s="654"/>
      <c r="CS143" s="654"/>
      <c r="CT143" s="654"/>
      <c r="CU143" s="654"/>
      <c r="CV143" s="654"/>
      <c r="CW143" s="654"/>
      <c r="CX143" s="654"/>
      <c r="CY143" s="654"/>
      <c r="CZ143" s="655"/>
      <c r="DA143" s="235"/>
    </row>
    <row r="144" spans="1:105" s="17" customFormat="1" ht="13.5" customHeight="1" x14ac:dyDescent="0.25">
      <c r="A144" s="221"/>
      <c r="B144" s="221"/>
      <c r="C144" s="221"/>
      <c r="D144" s="221"/>
      <c r="E144" s="221"/>
      <c r="F144" s="221"/>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9"/>
      <c r="CM144" s="229"/>
      <c r="CN144" s="229"/>
      <c r="CO144" s="229"/>
      <c r="CP144" s="229"/>
      <c r="CQ144" s="229"/>
      <c r="CR144" s="229"/>
      <c r="CS144" s="229"/>
      <c r="CT144" s="229"/>
      <c r="CU144" s="229"/>
      <c r="CV144" s="229"/>
      <c r="CW144" s="229"/>
      <c r="CX144" s="229"/>
      <c r="CY144" s="229"/>
      <c r="CZ144" s="229"/>
      <c r="DA144" s="235"/>
    </row>
    <row r="145" spans="1:105" s="17" customFormat="1" ht="30" hidden="1" customHeight="1" x14ac:dyDescent="0.25">
      <c r="A145" s="524" t="s">
        <v>377</v>
      </c>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4"/>
      <c r="AY145" s="524"/>
      <c r="AZ145" s="524"/>
      <c r="BA145" s="524"/>
      <c r="BB145" s="524"/>
      <c r="BC145" s="524"/>
      <c r="BD145" s="524"/>
      <c r="BE145" s="524"/>
      <c r="BF145" s="524"/>
      <c r="BG145" s="524"/>
      <c r="BH145" s="524"/>
      <c r="BI145" s="524"/>
      <c r="BJ145" s="524"/>
      <c r="BK145" s="524"/>
      <c r="BL145" s="524"/>
      <c r="BM145" s="524"/>
      <c r="BN145" s="524"/>
      <c r="BO145" s="524"/>
      <c r="BP145" s="524"/>
      <c r="BQ145" s="524"/>
      <c r="BR145" s="524"/>
      <c r="BS145" s="524"/>
      <c r="BT145" s="524"/>
      <c r="BU145" s="524"/>
      <c r="BV145" s="524"/>
      <c r="BW145" s="524"/>
      <c r="BX145" s="524"/>
      <c r="BY145" s="524"/>
      <c r="BZ145" s="524"/>
      <c r="CA145" s="524"/>
      <c r="CB145" s="524"/>
      <c r="CC145" s="524"/>
      <c r="CD145" s="524"/>
      <c r="CE145" s="524"/>
      <c r="CF145" s="524"/>
      <c r="CG145" s="524"/>
      <c r="CH145" s="524"/>
      <c r="CI145" s="524"/>
      <c r="CJ145" s="524"/>
      <c r="CK145" s="524"/>
      <c r="CL145" s="524"/>
      <c r="CM145" s="524"/>
      <c r="CN145" s="524"/>
      <c r="CO145" s="524"/>
      <c r="CP145" s="524"/>
      <c r="CQ145" s="524"/>
      <c r="CR145" s="524"/>
      <c r="CS145" s="524"/>
      <c r="CT145" s="524"/>
      <c r="CU145" s="524"/>
      <c r="CV145" s="524"/>
      <c r="CW145" s="524"/>
      <c r="CX145" s="524"/>
      <c r="CY145" s="524"/>
      <c r="CZ145" s="524"/>
      <c r="DA145" s="235"/>
    </row>
    <row r="146" spans="1:105" s="17" customFormat="1" ht="8.4" hidden="1" customHeight="1" x14ac:dyDescent="0.25">
      <c r="A146" s="221"/>
      <c r="B146" s="221"/>
      <c r="C146" s="221"/>
      <c r="D146" s="221"/>
      <c r="E146" s="221"/>
      <c r="F146" s="2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9"/>
      <c r="CM146" s="229"/>
      <c r="CN146" s="229"/>
      <c r="CO146" s="229"/>
      <c r="CP146" s="229"/>
      <c r="CQ146" s="229"/>
      <c r="CR146" s="229"/>
      <c r="CS146" s="229"/>
      <c r="CT146" s="229"/>
      <c r="CU146" s="229"/>
      <c r="CV146" s="229"/>
      <c r="CW146" s="229"/>
      <c r="CX146" s="229"/>
      <c r="CY146" s="229"/>
      <c r="CZ146" s="229"/>
      <c r="DA146" s="235"/>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95" t="s">
        <v>553</v>
      </c>
      <c r="X147" s="595"/>
      <c r="Y147" s="595"/>
      <c r="Z147" s="595"/>
      <c r="AA147" s="595"/>
      <c r="AB147" s="595"/>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595"/>
      <c r="BB147" s="595"/>
      <c r="BC147" s="595"/>
      <c r="BD147" s="595"/>
      <c r="BE147" s="595"/>
      <c r="BF147" s="595"/>
      <c r="BG147" s="595"/>
      <c r="BH147" s="595"/>
      <c r="BI147" s="595"/>
      <c r="BJ147" s="595"/>
      <c r="BK147" s="595"/>
      <c r="BL147" s="595"/>
      <c r="BM147" s="595"/>
      <c r="BN147" s="595"/>
      <c r="BO147" s="595"/>
      <c r="BP147" s="595"/>
      <c r="BQ147" s="595"/>
      <c r="BR147" s="595"/>
      <c r="BS147" s="595"/>
      <c r="BT147" s="595"/>
      <c r="BU147" s="595"/>
      <c r="BV147" s="595"/>
      <c r="BW147" s="595"/>
      <c r="BX147" s="595"/>
      <c r="BY147" s="595"/>
      <c r="BZ147" s="595"/>
      <c r="CA147" s="595"/>
      <c r="CB147" s="595"/>
      <c r="CC147" s="595"/>
      <c r="CD147" s="595"/>
      <c r="CE147" s="595"/>
      <c r="CF147" s="595"/>
      <c r="CG147" s="595"/>
      <c r="CH147" s="595"/>
      <c r="CI147" s="595"/>
      <c r="CJ147" s="595"/>
      <c r="CK147" s="595"/>
      <c r="CL147" s="595"/>
      <c r="CM147" s="595"/>
      <c r="CN147" s="595"/>
      <c r="CO147" s="595"/>
      <c r="CP147" s="595"/>
      <c r="CQ147" s="595"/>
      <c r="CR147" s="595"/>
      <c r="CS147" s="595"/>
      <c r="CT147" s="595"/>
      <c r="CU147" s="595"/>
      <c r="CV147" s="595"/>
      <c r="CW147" s="595"/>
      <c r="CX147" s="595"/>
      <c r="CY147" s="595"/>
      <c r="CZ147" s="595"/>
      <c r="DA147" s="235"/>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5"/>
    </row>
    <row r="149" spans="1:105" s="17" customFormat="1" ht="13.5" hidden="1" customHeight="1" x14ac:dyDescent="0.25">
      <c r="A149" s="606" t="s">
        <v>49</v>
      </c>
      <c r="B149" s="606"/>
      <c r="C149" s="606"/>
      <c r="D149" s="606"/>
      <c r="E149" s="606"/>
      <c r="F149" s="606"/>
      <c r="G149" s="606" t="s">
        <v>64</v>
      </c>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06"/>
      <c r="AL149" s="606"/>
      <c r="AM149" s="606"/>
      <c r="AN149" s="606"/>
      <c r="AO149" s="606"/>
      <c r="AP149" s="606"/>
      <c r="AQ149" s="606"/>
      <c r="AR149" s="606"/>
      <c r="AS149" s="606"/>
      <c r="AT149" s="606"/>
      <c r="AU149" s="606"/>
      <c r="AV149" s="606"/>
      <c r="AW149" s="606"/>
      <c r="AX149" s="606"/>
      <c r="AY149" s="606"/>
      <c r="AZ149" s="606"/>
      <c r="BA149" s="606"/>
      <c r="BB149" s="606"/>
      <c r="BC149" s="606"/>
      <c r="BD149" s="606"/>
      <c r="BE149" s="606"/>
      <c r="BF149" s="606"/>
      <c r="BG149" s="606"/>
      <c r="BH149" s="606"/>
      <c r="BI149" s="606"/>
      <c r="BJ149" s="606"/>
      <c r="BK149" s="606"/>
      <c r="BL149" s="606"/>
      <c r="BM149" s="606"/>
      <c r="BN149" s="606"/>
      <c r="BO149" s="606"/>
      <c r="BP149" s="606"/>
      <c r="BQ149" s="606"/>
      <c r="BR149" s="606"/>
      <c r="BS149" s="606"/>
      <c r="BT149" s="606"/>
      <c r="BU149" s="606"/>
      <c r="BV149" s="597" t="s">
        <v>65</v>
      </c>
      <c r="BW149" s="598"/>
      <c r="BX149" s="598"/>
      <c r="BY149" s="598"/>
      <c r="BZ149" s="598"/>
      <c r="CA149" s="598"/>
      <c r="CB149" s="598"/>
      <c r="CC149" s="598"/>
      <c r="CD149" s="598"/>
      <c r="CE149" s="598"/>
      <c r="CF149" s="598"/>
      <c r="CG149" s="598"/>
      <c r="CH149" s="598"/>
      <c r="CI149" s="598"/>
      <c r="CJ149" s="598"/>
      <c r="CK149" s="599"/>
      <c r="CL149" s="597" t="s">
        <v>66</v>
      </c>
      <c r="CM149" s="598"/>
      <c r="CN149" s="598"/>
      <c r="CO149" s="598"/>
      <c r="CP149" s="598"/>
      <c r="CQ149" s="598"/>
      <c r="CR149" s="598"/>
      <c r="CS149" s="598"/>
      <c r="CT149" s="598"/>
      <c r="CU149" s="598"/>
      <c r="CV149" s="598"/>
      <c r="CW149" s="598"/>
      <c r="CX149" s="598"/>
      <c r="CY149" s="598"/>
      <c r="CZ149" s="598"/>
      <c r="DA149" s="235"/>
    </row>
    <row r="150" spans="1:105" s="17" customFormat="1" ht="13.5" hidden="1" customHeight="1" x14ac:dyDescent="0.25">
      <c r="A150" s="591">
        <v>1</v>
      </c>
      <c r="B150" s="591"/>
      <c r="C150" s="591"/>
      <c r="D150" s="591"/>
      <c r="E150" s="591"/>
      <c r="F150" s="591"/>
      <c r="G150" s="591">
        <v>2</v>
      </c>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1"/>
      <c r="AY150" s="591"/>
      <c r="AZ150" s="591"/>
      <c r="BA150" s="591"/>
      <c r="BB150" s="591"/>
      <c r="BC150" s="591"/>
      <c r="BD150" s="591"/>
      <c r="BE150" s="591"/>
      <c r="BF150" s="591"/>
      <c r="BG150" s="591"/>
      <c r="BH150" s="591"/>
      <c r="BI150" s="591"/>
      <c r="BJ150" s="591"/>
      <c r="BK150" s="591"/>
      <c r="BL150" s="591"/>
      <c r="BM150" s="591"/>
      <c r="BN150" s="591"/>
      <c r="BO150" s="591"/>
      <c r="BP150" s="591"/>
      <c r="BQ150" s="591"/>
      <c r="BR150" s="591"/>
      <c r="BS150" s="591"/>
      <c r="BT150" s="591"/>
      <c r="BU150" s="591"/>
      <c r="BV150" s="591">
        <v>3</v>
      </c>
      <c r="BW150" s="591"/>
      <c r="BX150" s="591"/>
      <c r="BY150" s="591"/>
      <c r="BZ150" s="591"/>
      <c r="CA150" s="591"/>
      <c r="CB150" s="591"/>
      <c r="CC150" s="591"/>
      <c r="CD150" s="591"/>
      <c r="CE150" s="591"/>
      <c r="CF150" s="591"/>
      <c r="CG150" s="591"/>
      <c r="CH150" s="591"/>
      <c r="CI150" s="591"/>
      <c r="CJ150" s="591"/>
      <c r="CK150" s="591"/>
      <c r="CL150" s="591">
        <v>4</v>
      </c>
      <c r="CM150" s="591"/>
      <c r="CN150" s="591"/>
      <c r="CO150" s="591"/>
      <c r="CP150" s="591"/>
      <c r="CQ150" s="591"/>
      <c r="CR150" s="591"/>
      <c r="CS150" s="591"/>
      <c r="CT150" s="591"/>
      <c r="CU150" s="591"/>
      <c r="CV150" s="591"/>
      <c r="CW150" s="591"/>
      <c r="CX150" s="591"/>
      <c r="CY150" s="591"/>
      <c r="CZ150" s="591"/>
      <c r="DA150" s="235"/>
    </row>
    <row r="151" spans="1:105" s="17" customFormat="1" ht="13.5" hidden="1" customHeight="1" x14ac:dyDescent="0.25">
      <c r="A151" s="648" t="s">
        <v>889</v>
      </c>
      <c r="B151" s="649"/>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9"/>
      <c r="AL151" s="649"/>
      <c r="AM151" s="649"/>
      <c r="AN151" s="649"/>
      <c r="AO151" s="649"/>
      <c r="AP151" s="649"/>
      <c r="AQ151" s="649"/>
      <c r="AR151" s="649"/>
      <c r="AS151" s="649"/>
      <c r="AT151" s="649"/>
      <c r="AU151" s="649"/>
      <c r="AV151" s="649"/>
      <c r="AW151" s="649"/>
      <c r="AX151" s="649"/>
      <c r="AY151" s="649"/>
      <c r="AZ151" s="649"/>
      <c r="BA151" s="649"/>
      <c r="BB151" s="649"/>
      <c r="BC151" s="649"/>
      <c r="BD151" s="649"/>
      <c r="BE151" s="649"/>
      <c r="BF151" s="649"/>
      <c r="BG151" s="649"/>
      <c r="BH151" s="649"/>
      <c r="BI151" s="649"/>
      <c r="BJ151" s="649"/>
      <c r="BK151" s="649"/>
      <c r="BL151" s="649"/>
      <c r="BM151" s="649"/>
      <c r="BN151" s="649"/>
      <c r="BO151" s="649"/>
      <c r="BP151" s="649"/>
      <c r="BQ151" s="649"/>
      <c r="BR151" s="649"/>
      <c r="BS151" s="649"/>
      <c r="BT151" s="649"/>
      <c r="BU151" s="649"/>
      <c r="BV151" s="649"/>
      <c r="BW151" s="649"/>
      <c r="BX151" s="649"/>
      <c r="BY151" s="649"/>
      <c r="BZ151" s="649"/>
      <c r="CA151" s="649"/>
      <c r="CB151" s="649"/>
      <c r="CC151" s="649"/>
      <c r="CD151" s="649"/>
      <c r="CE151" s="649"/>
      <c r="CF151" s="649"/>
      <c r="CG151" s="649"/>
      <c r="CH151" s="649"/>
      <c r="CI151" s="649"/>
      <c r="CJ151" s="649"/>
      <c r="CK151" s="649"/>
      <c r="CL151" s="649"/>
      <c r="CM151" s="649"/>
      <c r="CN151" s="649"/>
      <c r="CO151" s="649"/>
      <c r="CP151" s="649"/>
      <c r="CQ151" s="649"/>
      <c r="CR151" s="649"/>
      <c r="CS151" s="649"/>
      <c r="CT151" s="649"/>
      <c r="CU151" s="649"/>
      <c r="CV151" s="649"/>
      <c r="CW151" s="649"/>
      <c r="CX151" s="649"/>
      <c r="CY151" s="649"/>
      <c r="CZ151" s="649"/>
      <c r="DA151" s="235"/>
    </row>
    <row r="152" spans="1:105" s="17" customFormat="1" ht="13.5" hidden="1" customHeight="1" x14ac:dyDescent="0.25">
      <c r="A152" s="659" t="s">
        <v>67</v>
      </c>
      <c r="B152" s="659"/>
      <c r="C152" s="659"/>
      <c r="D152" s="659"/>
      <c r="E152" s="659"/>
      <c r="F152" s="659"/>
      <c r="G152" s="213"/>
      <c r="H152" s="585" t="s">
        <v>369</v>
      </c>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5"/>
      <c r="AL152" s="585"/>
      <c r="AM152" s="585"/>
      <c r="AN152" s="585"/>
      <c r="AO152" s="585"/>
      <c r="AP152" s="585"/>
      <c r="AQ152" s="585"/>
      <c r="AR152" s="585"/>
      <c r="AS152" s="585"/>
      <c r="AT152" s="585"/>
      <c r="AU152" s="585"/>
      <c r="AV152" s="585"/>
      <c r="AW152" s="585"/>
      <c r="AX152" s="585"/>
      <c r="AY152" s="585"/>
      <c r="AZ152" s="585"/>
      <c r="BA152" s="585"/>
      <c r="BB152" s="585"/>
      <c r="BC152" s="585"/>
      <c r="BD152" s="585"/>
      <c r="BE152" s="585"/>
      <c r="BF152" s="585"/>
      <c r="BG152" s="585"/>
      <c r="BH152" s="585"/>
      <c r="BI152" s="585"/>
      <c r="BJ152" s="585"/>
      <c r="BK152" s="585"/>
      <c r="BL152" s="585"/>
      <c r="BM152" s="585"/>
      <c r="BN152" s="585"/>
      <c r="BO152" s="585"/>
      <c r="BP152" s="585"/>
      <c r="BQ152" s="585"/>
      <c r="BR152" s="585"/>
      <c r="BS152" s="585"/>
      <c r="BT152" s="585"/>
      <c r="BU152" s="586"/>
      <c r="BV152" s="582" t="s">
        <v>4</v>
      </c>
      <c r="BW152" s="582"/>
      <c r="BX152" s="582"/>
      <c r="BY152" s="582"/>
      <c r="BZ152" s="582"/>
      <c r="CA152" s="582"/>
      <c r="CB152" s="582"/>
      <c r="CC152" s="582"/>
      <c r="CD152" s="582"/>
      <c r="CE152" s="582"/>
      <c r="CF152" s="582"/>
      <c r="CG152" s="582"/>
      <c r="CH152" s="582"/>
      <c r="CI152" s="582"/>
      <c r="CJ152" s="582"/>
      <c r="CK152" s="582"/>
      <c r="CL152" s="582"/>
      <c r="CM152" s="582"/>
      <c r="CN152" s="582"/>
      <c r="CO152" s="582"/>
      <c r="CP152" s="582"/>
      <c r="CQ152" s="582"/>
      <c r="CR152" s="582"/>
      <c r="CS152" s="582"/>
      <c r="CT152" s="582"/>
      <c r="CU152" s="582"/>
      <c r="CV152" s="582"/>
      <c r="CW152" s="582"/>
      <c r="CX152" s="582"/>
      <c r="CY152" s="582"/>
      <c r="CZ152" s="582"/>
      <c r="DA152" s="235"/>
    </row>
    <row r="153" spans="1:105" s="17" customFormat="1" ht="13.5" hidden="1" customHeight="1" x14ac:dyDescent="0.25">
      <c r="A153" s="709" t="s">
        <v>68</v>
      </c>
      <c r="B153" s="710"/>
      <c r="C153" s="710"/>
      <c r="D153" s="710"/>
      <c r="E153" s="710"/>
      <c r="F153" s="711"/>
      <c r="G153" s="233"/>
      <c r="H153" s="715" t="s">
        <v>3</v>
      </c>
      <c r="I153" s="715"/>
      <c r="J153" s="715"/>
      <c r="K153" s="715"/>
      <c r="L153" s="715"/>
      <c r="M153" s="715"/>
      <c r="N153" s="715"/>
      <c r="O153" s="715"/>
      <c r="P153" s="715"/>
      <c r="Q153" s="715"/>
      <c r="R153" s="715"/>
      <c r="S153" s="715"/>
      <c r="T153" s="715"/>
      <c r="U153" s="715"/>
      <c r="V153" s="715"/>
      <c r="W153" s="715"/>
      <c r="X153" s="715"/>
      <c r="Y153" s="715"/>
      <c r="Z153" s="715"/>
      <c r="AA153" s="715"/>
      <c r="AB153" s="715"/>
      <c r="AC153" s="715"/>
      <c r="AD153" s="715"/>
      <c r="AE153" s="715"/>
      <c r="AF153" s="715"/>
      <c r="AG153" s="715"/>
      <c r="AH153" s="715"/>
      <c r="AI153" s="715"/>
      <c r="AJ153" s="715"/>
      <c r="AK153" s="715"/>
      <c r="AL153" s="715"/>
      <c r="AM153" s="715"/>
      <c r="AN153" s="715"/>
      <c r="AO153" s="715"/>
      <c r="AP153" s="715"/>
      <c r="AQ153" s="715"/>
      <c r="AR153" s="715"/>
      <c r="AS153" s="715"/>
      <c r="AT153" s="715"/>
      <c r="AU153" s="715"/>
      <c r="AV153" s="715"/>
      <c r="AW153" s="715"/>
      <c r="AX153" s="715"/>
      <c r="AY153" s="715"/>
      <c r="AZ153" s="715"/>
      <c r="BA153" s="715"/>
      <c r="BB153" s="715"/>
      <c r="BC153" s="715"/>
      <c r="BD153" s="715"/>
      <c r="BE153" s="715"/>
      <c r="BF153" s="715"/>
      <c r="BG153" s="715"/>
      <c r="BH153" s="715"/>
      <c r="BI153" s="715"/>
      <c r="BJ153" s="715"/>
      <c r="BK153" s="715"/>
      <c r="BL153" s="715"/>
      <c r="BM153" s="715"/>
      <c r="BN153" s="715"/>
      <c r="BO153" s="715"/>
      <c r="BP153" s="715"/>
      <c r="BQ153" s="715"/>
      <c r="BR153" s="715"/>
      <c r="BS153" s="715"/>
      <c r="BT153" s="715"/>
      <c r="BU153" s="716"/>
      <c r="BV153" s="736"/>
      <c r="BW153" s="737"/>
      <c r="BX153" s="737"/>
      <c r="BY153" s="737"/>
      <c r="BZ153" s="737"/>
      <c r="CA153" s="737"/>
      <c r="CB153" s="737"/>
      <c r="CC153" s="737"/>
      <c r="CD153" s="737"/>
      <c r="CE153" s="737"/>
      <c r="CF153" s="737"/>
      <c r="CG153" s="737"/>
      <c r="CH153" s="737"/>
      <c r="CI153" s="737"/>
      <c r="CJ153" s="737"/>
      <c r="CK153" s="738"/>
      <c r="CL153" s="736"/>
      <c r="CM153" s="737"/>
      <c r="CN153" s="737"/>
      <c r="CO153" s="737"/>
      <c r="CP153" s="737"/>
      <c r="CQ153" s="737"/>
      <c r="CR153" s="737"/>
      <c r="CS153" s="737"/>
      <c r="CT153" s="737"/>
      <c r="CU153" s="737"/>
      <c r="CV153" s="737"/>
      <c r="CW153" s="737"/>
      <c r="CX153" s="737"/>
      <c r="CY153" s="737"/>
      <c r="CZ153" s="738"/>
      <c r="DA153" s="235"/>
    </row>
    <row r="154" spans="1:105" s="17" customFormat="1" ht="13.5" hidden="1" customHeight="1" x14ac:dyDescent="0.25">
      <c r="A154" s="712"/>
      <c r="B154" s="713"/>
      <c r="C154" s="713"/>
      <c r="D154" s="713"/>
      <c r="E154" s="713"/>
      <c r="F154" s="714"/>
      <c r="G154" s="234"/>
      <c r="H154" s="707" t="s">
        <v>370</v>
      </c>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7"/>
      <c r="BB154" s="707"/>
      <c r="BC154" s="707"/>
      <c r="BD154" s="707"/>
      <c r="BE154" s="707"/>
      <c r="BF154" s="707"/>
      <c r="BG154" s="707"/>
      <c r="BH154" s="707"/>
      <c r="BI154" s="707"/>
      <c r="BJ154" s="707"/>
      <c r="BK154" s="707"/>
      <c r="BL154" s="707"/>
      <c r="BM154" s="707"/>
      <c r="BN154" s="707"/>
      <c r="BO154" s="707"/>
      <c r="BP154" s="707"/>
      <c r="BQ154" s="707"/>
      <c r="BR154" s="707"/>
      <c r="BS154" s="707"/>
      <c r="BT154" s="707"/>
      <c r="BU154" s="708"/>
      <c r="BV154" s="739"/>
      <c r="BW154" s="740"/>
      <c r="BX154" s="740"/>
      <c r="BY154" s="740"/>
      <c r="BZ154" s="740"/>
      <c r="CA154" s="740"/>
      <c r="CB154" s="740"/>
      <c r="CC154" s="740"/>
      <c r="CD154" s="740"/>
      <c r="CE154" s="740"/>
      <c r="CF154" s="740"/>
      <c r="CG154" s="740"/>
      <c r="CH154" s="740"/>
      <c r="CI154" s="740"/>
      <c r="CJ154" s="740"/>
      <c r="CK154" s="741"/>
      <c r="CL154" s="739"/>
      <c r="CM154" s="740"/>
      <c r="CN154" s="740"/>
      <c r="CO154" s="740"/>
      <c r="CP154" s="740"/>
      <c r="CQ154" s="740"/>
      <c r="CR154" s="740"/>
      <c r="CS154" s="740"/>
      <c r="CT154" s="740"/>
      <c r="CU154" s="740"/>
      <c r="CV154" s="740"/>
      <c r="CW154" s="740"/>
      <c r="CX154" s="740"/>
      <c r="CY154" s="740"/>
      <c r="CZ154" s="741"/>
      <c r="DA154" s="235"/>
    </row>
    <row r="155" spans="1:105" s="17" customFormat="1" ht="13.5" hidden="1" customHeight="1" x14ac:dyDescent="0.25">
      <c r="A155" s="659" t="s">
        <v>69</v>
      </c>
      <c r="B155" s="659"/>
      <c r="C155" s="659"/>
      <c r="D155" s="659"/>
      <c r="E155" s="659"/>
      <c r="F155" s="659"/>
      <c r="G155" s="213"/>
      <c r="H155" s="707" t="s">
        <v>371</v>
      </c>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7"/>
      <c r="AY155" s="707"/>
      <c r="AZ155" s="707"/>
      <c r="BA155" s="707"/>
      <c r="BB155" s="707"/>
      <c r="BC155" s="707"/>
      <c r="BD155" s="707"/>
      <c r="BE155" s="707"/>
      <c r="BF155" s="707"/>
      <c r="BG155" s="707"/>
      <c r="BH155" s="707"/>
      <c r="BI155" s="707"/>
      <c r="BJ155" s="707"/>
      <c r="BK155" s="707"/>
      <c r="BL155" s="707"/>
      <c r="BM155" s="707"/>
      <c r="BN155" s="707"/>
      <c r="BO155" s="707"/>
      <c r="BP155" s="707"/>
      <c r="BQ155" s="707"/>
      <c r="BR155" s="707"/>
      <c r="BS155" s="707"/>
      <c r="BT155" s="707"/>
      <c r="BU155" s="708"/>
      <c r="BV155" s="582"/>
      <c r="BW155" s="582"/>
      <c r="BX155" s="582"/>
      <c r="BY155" s="582"/>
      <c r="BZ155" s="582"/>
      <c r="CA155" s="582"/>
      <c r="CB155" s="582"/>
      <c r="CC155" s="582"/>
      <c r="CD155" s="582"/>
      <c r="CE155" s="582"/>
      <c r="CF155" s="582"/>
      <c r="CG155" s="582"/>
      <c r="CH155" s="582"/>
      <c r="CI155" s="582"/>
      <c r="CJ155" s="582"/>
      <c r="CK155" s="582"/>
      <c r="CL155" s="582"/>
      <c r="CM155" s="582"/>
      <c r="CN155" s="582"/>
      <c r="CO155" s="582"/>
      <c r="CP155" s="582"/>
      <c r="CQ155" s="582"/>
      <c r="CR155" s="582"/>
      <c r="CS155" s="582"/>
      <c r="CT155" s="582"/>
      <c r="CU155" s="582"/>
      <c r="CV155" s="582"/>
      <c r="CW155" s="582"/>
      <c r="CX155" s="582"/>
      <c r="CY155" s="582"/>
      <c r="CZ155" s="582"/>
      <c r="DA155" s="235"/>
    </row>
    <row r="156" spans="1:105" s="17" customFormat="1" ht="13.5" hidden="1" customHeight="1" x14ac:dyDescent="0.25">
      <c r="A156" s="659" t="s">
        <v>70</v>
      </c>
      <c r="B156" s="659"/>
      <c r="C156" s="659"/>
      <c r="D156" s="659"/>
      <c r="E156" s="659"/>
      <c r="F156" s="659"/>
      <c r="G156" s="213"/>
      <c r="H156" s="707" t="s">
        <v>372</v>
      </c>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7"/>
      <c r="AY156" s="707"/>
      <c r="AZ156" s="707"/>
      <c r="BA156" s="707"/>
      <c r="BB156" s="707"/>
      <c r="BC156" s="707"/>
      <c r="BD156" s="707"/>
      <c r="BE156" s="707"/>
      <c r="BF156" s="707"/>
      <c r="BG156" s="707"/>
      <c r="BH156" s="707"/>
      <c r="BI156" s="707"/>
      <c r="BJ156" s="707"/>
      <c r="BK156" s="707"/>
      <c r="BL156" s="707"/>
      <c r="BM156" s="707"/>
      <c r="BN156" s="707"/>
      <c r="BO156" s="707"/>
      <c r="BP156" s="707"/>
      <c r="BQ156" s="707"/>
      <c r="BR156" s="707"/>
      <c r="BS156" s="707"/>
      <c r="BT156" s="707"/>
      <c r="BU156" s="708"/>
      <c r="BV156" s="582"/>
      <c r="BW156" s="582"/>
      <c r="BX156" s="582"/>
      <c r="BY156" s="582"/>
      <c r="BZ156" s="582"/>
      <c r="CA156" s="582"/>
      <c r="CB156" s="582"/>
      <c r="CC156" s="582"/>
      <c r="CD156" s="582"/>
      <c r="CE156" s="582"/>
      <c r="CF156" s="582"/>
      <c r="CG156" s="582"/>
      <c r="CH156" s="582"/>
      <c r="CI156" s="582"/>
      <c r="CJ156" s="582"/>
      <c r="CK156" s="582"/>
      <c r="CL156" s="582"/>
      <c r="CM156" s="582"/>
      <c r="CN156" s="582"/>
      <c r="CO156" s="582"/>
      <c r="CP156" s="582"/>
      <c r="CQ156" s="582"/>
      <c r="CR156" s="582"/>
      <c r="CS156" s="582"/>
      <c r="CT156" s="582"/>
      <c r="CU156" s="582"/>
      <c r="CV156" s="582"/>
      <c r="CW156" s="582"/>
      <c r="CX156" s="582"/>
      <c r="CY156" s="582"/>
      <c r="CZ156" s="582"/>
      <c r="DA156" s="235"/>
    </row>
    <row r="157" spans="1:105" s="17" customFormat="1" ht="13.5" hidden="1" customHeight="1" x14ac:dyDescent="0.25">
      <c r="A157" s="659" t="s">
        <v>71</v>
      </c>
      <c r="B157" s="659"/>
      <c r="C157" s="659"/>
      <c r="D157" s="659"/>
      <c r="E157" s="659"/>
      <c r="F157" s="659"/>
      <c r="G157" s="213"/>
      <c r="H157" s="585" t="s">
        <v>373</v>
      </c>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85"/>
      <c r="AP157" s="585"/>
      <c r="AQ157" s="585"/>
      <c r="AR157" s="585"/>
      <c r="AS157" s="585"/>
      <c r="AT157" s="585"/>
      <c r="AU157" s="585"/>
      <c r="AV157" s="585"/>
      <c r="AW157" s="585"/>
      <c r="AX157" s="585"/>
      <c r="AY157" s="585"/>
      <c r="AZ157" s="585"/>
      <c r="BA157" s="585"/>
      <c r="BB157" s="585"/>
      <c r="BC157" s="585"/>
      <c r="BD157" s="585"/>
      <c r="BE157" s="585"/>
      <c r="BF157" s="585"/>
      <c r="BG157" s="585"/>
      <c r="BH157" s="585"/>
      <c r="BI157" s="585"/>
      <c r="BJ157" s="585"/>
      <c r="BK157" s="585"/>
      <c r="BL157" s="585"/>
      <c r="BM157" s="585"/>
      <c r="BN157" s="585"/>
      <c r="BO157" s="585"/>
      <c r="BP157" s="585"/>
      <c r="BQ157" s="585"/>
      <c r="BR157" s="585"/>
      <c r="BS157" s="585"/>
      <c r="BT157" s="585"/>
      <c r="BU157" s="586"/>
      <c r="BV157" s="582" t="s">
        <v>4</v>
      </c>
      <c r="BW157" s="582"/>
      <c r="BX157" s="582"/>
      <c r="BY157" s="582"/>
      <c r="BZ157" s="582"/>
      <c r="CA157" s="582"/>
      <c r="CB157" s="582"/>
      <c r="CC157" s="582"/>
      <c r="CD157" s="582"/>
      <c r="CE157" s="582"/>
      <c r="CF157" s="582"/>
      <c r="CG157" s="582"/>
      <c r="CH157" s="582"/>
      <c r="CI157" s="582"/>
      <c r="CJ157" s="582"/>
      <c r="CK157" s="582"/>
      <c r="CL157" s="582"/>
      <c r="CM157" s="582"/>
      <c r="CN157" s="582"/>
      <c r="CO157" s="582"/>
      <c r="CP157" s="582"/>
      <c r="CQ157" s="582"/>
      <c r="CR157" s="582"/>
      <c r="CS157" s="582"/>
      <c r="CT157" s="582"/>
      <c r="CU157" s="582"/>
      <c r="CV157" s="582"/>
      <c r="CW157" s="582"/>
      <c r="CX157" s="582"/>
      <c r="CY157" s="582"/>
      <c r="CZ157" s="582"/>
      <c r="DA157" s="235"/>
    </row>
    <row r="158" spans="1:105" s="17" customFormat="1" ht="13.5" hidden="1" customHeight="1" x14ac:dyDescent="0.25">
      <c r="A158" s="709" t="s">
        <v>72</v>
      </c>
      <c r="B158" s="710"/>
      <c r="C158" s="710"/>
      <c r="D158" s="710"/>
      <c r="E158" s="710"/>
      <c r="F158" s="711"/>
      <c r="G158" s="233"/>
      <c r="H158" s="715" t="s">
        <v>3</v>
      </c>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5"/>
      <c r="AY158" s="715"/>
      <c r="AZ158" s="715"/>
      <c r="BA158" s="715"/>
      <c r="BB158" s="715"/>
      <c r="BC158" s="715"/>
      <c r="BD158" s="715"/>
      <c r="BE158" s="715"/>
      <c r="BF158" s="715"/>
      <c r="BG158" s="715"/>
      <c r="BH158" s="715"/>
      <c r="BI158" s="715"/>
      <c r="BJ158" s="715"/>
      <c r="BK158" s="715"/>
      <c r="BL158" s="715"/>
      <c r="BM158" s="715"/>
      <c r="BN158" s="715"/>
      <c r="BO158" s="715"/>
      <c r="BP158" s="715"/>
      <c r="BQ158" s="715"/>
      <c r="BR158" s="715"/>
      <c r="BS158" s="715"/>
      <c r="BT158" s="715"/>
      <c r="BU158" s="716"/>
      <c r="BV158" s="736"/>
      <c r="BW158" s="737"/>
      <c r="BX158" s="737"/>
      <c r="BY158" s="737"/>
      <c r="BZ158" s="737"/>
      <c r="CA158" s="737"/>
      <c r="CB158" s="737"/>
      <c r="CC158" s="737"/>
      <c r="CD158" s="737"/>
      <c r="CE158" s="737"/>
      <c r="CF158" s="737"/>
      <c r="CG158" s="737"/>
      <c r="CH158" s="737"/>
      <c r="CI158" s="737"/>
      <c r="CJ158" s="737"/>
      <c r="CK158" s="738"/>
      <c r="CL158" s="736"/>
      <c r="CM158" s="737"/>
      <c r="CN158" s="737"/>
      <c r="CO158" s="737"/>
      <c r="CP158" s="737"/>
      <c r="CQ158" s="737"/>
      <c r="CR158" s="737"/>
      <c r="CS158" s="737"/>
      <c r="CT158" s="737"/>
      <c r="CU158" s="737"/>
      <c r="CV158" s="737"/>
      <c r="CW158" s="737"/>
      <c r="CX158" s="737"/>
      <c r="CY158" s="737"/>
      <c r="CZ158" s="738"/>
      <c r="DA158" s="235"/>
    </row>
    <row r="159" spans="1:105" s="17" customFormat="1" ht="13.5" hidden="1" customHeight="1" x14ac:dyDescent="0.25">
      <c r="A159" s="712"/>
      <c r="B159" s="713"/>
      <c r="C159" s="713"/>
      <c r="D159" s="713"/>
      <c r="E159" s="713"/>
      <c r="F159" s="714"/>
      <c r="G159" s="234"/>
      <c r="H159" s="707" t="s">
        <v>374</v>
      </c>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c r="BA159" s="707"/>
      <c r="BB159" s="707"/>
      <c r="BC159" s="707"/>
      <c r="BD159" s="707"/>
      <c r="BE159" s="707"/>
      <c r="BF159" s="707"/>
      <c r="BG159" s="707"/>
      <c r="BH159" s="707"/>
      <c r="BI159" s="707"/>
      <c r="BJ159" s="707"/>
      <c r="BK159" s="707"/>
      <c r="BL159" s="707"/>
      <c r="BM159" s="707"/>
      <c r="BN159" s="707"/>
      <c r="BO159" s="707"/>
      <c r="BP159" s="707"/>
      <c r="BQ159" s="707"/>
      <c r="BR159" s="707"/>
      <c r="BS159" s="707"/>
      <c r="BT159" s="707"/>
      <c r="BU159" s="708"/>
      <c r="BV159" s="739"/>
      <c r="BW159" s="740"/>
      <c r="BX159" s="740"/>
      <c r="BY159" s="740"/>
      <c r="BZ159" s="740"/>
      <c r="CA159" s="740"/>
      <c r="CB159" s="740"/>
      <c r="CC159" s="740"/>
      <c r="CD159" s="740"/>
      <c r="CE159" s="740"/>
      <c r="CF159" s="740"/>
      <c r="CG159" s="740"/>
      <c r="CH159" s="740"/>
      <c r="CI159" s="740"/>
      <c r="CJ159" s="740"/>
      <c r="CK159" s="741"/>
      <c r="CL159" s="739"/>
      <c r="CM159" s="740"/>
      <c r="CN159" s="740"/>
      <c r="CO159" s="740"/>
      <c r="CP159" s="740"/>
      <c r="CQ159" s="740"/>
      <c r="CR159" s="740"/>
      <c r="CS159" s="740"/>
      <c r="CT159" s="740"/>
      <c r="CU159" s="740"/>
      <c r="CV159" s="740"/>
      <c r="CW159" s="740"/>
      <c r="CX159" s="740"/>
      <c r="CY159" s="740"/>
      <c r="CZ159" s="741"/>
      <c r="DA159" s="235"/>
    </row>
    <row r="160" spans="1:105" s="17" customFormat="1" ht="13.5" hidden="1" customHeight="1" x14ac:dyDescent="0.25">
      <c r="A160" s="659" t="s">
        <v>73</v>
      </c>
      <c r="B160" s="659"/>
      <c r="C160" s="659"/>
      <c r="D160" s="659"/>
      <c r="E160" s="659"/>
      <c r="F160" s="659"/>
      <c r="G160" s="213"/>
      <c r="H160" s="707" t="s">
        <v>375</v>
      </c>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7"/>
      <c r="AR160" s="707"/>
      <c r="AS160" s="707"/>
      <c r="AT160" s="707"/>
      <c r="AU160" s="707"/>
      <c r="AV160" s="707"/>
      <c r="AW160" s="707"/>
      <c r="AX160" s="707"/>
      <c r="AY160" s="707"/>
      <c r="AZ160" s="707"/>
      <c r="BA160" s="707"/>
      <c r="BB160" s="707"/>
      <c r="BC160" s="707"/>
      <c r="BD160" s="707"/>
      <c r="BE160" s="707"/>
      <c r="BF160" s="707"/>
      <c r="BG160" s="707"/>
      <c r="BH160" s="707"/>
      <c r="BI160" s="707"/>
      <c r="BJ160" s="707"/>
      <c r="BK160" s="707"/>
      <c r="BL160" s="707"/>
      <c r="BM160" s="707"/>
      <c r="BN160" s="707"/>
      <c r="BO160" s="707"/>
      <c r="BP160" s="707"/>
      <c r="BQ160" s="707"/>
      <c r="BR160" s="707"/>
      <c r="BS160" s="707"/>
      <c r="BT160" s="707"/>
      <c r="BU160" s="708"/>
      <c r="BV160" s="582"/>
      <c r="BW160" s="582"/>
      <c r="BX160" s="582"/>
      <c r="BY160" s="582"/>
      <c r="BZ160" s="582"/>
      <c r="CA160" s="582"/>
      <c r="CB160" s="582"/>
      <c r="CC160" s="582"/>
      <c r="CD160" s="582"/>
      <c r="CE160" s="582"/>
      <c r="CF160" s="582"/>
      <c r="CG160" s="582"/>
      <c r="CH160" s="582"/>
      <c r="CI160" s="582"/>
      <c r="CJ160" s="582"/>
      <c r="CK160" s="582"/>
      <c r="CL160" s="582"/>
      <c r="CM160" s="582"/>
      <c r="CN160" s="582"/>
      <c r="CO160" s="582"/>
      <c r="CP160" s="582"/>
      <c r="CQ160" s="582"/>
      <c r="CR160" s="582"/>
      <c r="CS160" s="582"/>
      <c r="CT160" s="582"/>
      <c r="CU160" s="582"/>
      <c r="CV160" s="582"/>
      <c r="CW160" s="582"/>
      <c r="CX160" s="582"/>
      <c r="CY160" s="582"/>
      <c r="CZ160" s="582"/>
      <c r="DA160" s="235"/>
    </row>
    <row r="161" spans="1:105" s="17" customFormat="1" ht="13.5" hidden="1" customHeight="1" x14ac:dyDescent="0.25">
      <c r="A161" s="659" t="s">
        <v>74</v>
      </c>
      <c r="B161" s="659"/>
      <c r="C161" s="659"/>
      <c r="D161" s="659"/>
      <c r="E161" s="659"/>
      <c r="F161" s="659"/>
      <c r="G161" s="213"/>
      <c r="H161" s="707" t="s">
        <v>375</v>
      </c>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c r="BA161" s="707"/>
      <c r="BB161" s="707"/>
      <c r="BC161" s="707"/>
      <c r="BD161" s="707"/>
      <c r="BE161" s="707"/>
      <c r="BF161" s="707"/>
      <c r="BG161" s="707"/>
      <c r="BH161" s="707"/>
      <c r="BI161" s="707"/>
      <c r="BJ161" s="707"/>
      <c r="BK161" s="707"/>
      <c r="BL161" s="707"/>
      <c r="BM161" s="707"/>
      <c r="BN161" s="707"/>
      <c r="BO161" s="707"/>
      <c r="BP161" s="707"/>
      <c r="BQ161" s="707"/>
      <c r="BR161" s="707"/>
      <c r="BS161" s="707"/>
      <c r="BT161" s="707"/>
      <c r="BU161" s="708"/>
      <c r="BV161" s="582"/>
      <c r="BW161" s="582"/>
      <c r="BX161" s="582"/>
      <c r="BY161" s="582"/>
      <c r="BZ161" s="582"/>
      <c r="CA161" s="582"/>
      <c r="CB161" s="582"/>
      <c r="CC161" s="582"/>
      <c r="CD161" s="582"/>
      <c r="CE161" s="582"/>
      <c r="CF161" s="582"/>
      <c r="CG161" s="582"/>
      <c r="CH161" s="582"/>
      <c r="CI161" s="582"/>
      <c r="CJ161" s="582"/>
      <c r="CK161" s="582"/>
      <c r="CL161" s="582"/>
      <c r="CM161" s="582"/>
      <c r="CN161" s="582"/>
      <c r="CO161" s="582"/>
      <c r="CP161" s="582"/>
      <c r="CQ161" s="582"/>
      <c r="CR161" s="582"/>
      <c r="CS161" s="582"/>
      <c r="CT161" s="582"/>
      <c r="CU161" s="582"/>
      <c r="CV161" s="582"/>
      <c r="CW161" s="582"/>
      <c r="CX161" s="582"/>
      <c r="CY161" s="582"/>
      <c r="CZ161" s="582"/>
      <c r="DA161" s="235"/>
    </row>
    <row r="162" spans="1:105" s="17" customFormat="1" ht="13.5" hidden="1" customHeight="1" x14ac:dyDescent="0.25">
      <c r="A162" s="659"/>
      <c r="B162" s="659"/>
      <c r="C162" s="659"/>
      <c r="D162" s="659"/>
      <c r="E162" s="659"/>
      <c r="F162" s="659"/>
      <c r="G162" s="607" t="s">
        <v>292</v>
      </c>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608"/>
      <c r="AY162" s="608"/>
      <c r="AZ162" s="608"/>
      <c r="BA162" s="608"/>
      <c r="BB162" s="608"/>
      <c r="BC162" s="608"/>
      <c r="BD162" s="608"/>
      <c r="BE162" s="608"/>
      <c r="BF162" s="608"/>
      <c r="BG162" s="608"/>
      <c r="BH162" s="608"/>
      <c r="BI162" s="608"/>
      <c r="BJ162" s="608"/>
      <c r="BK162" s="608"/>
      <c r="BL162" s="608"/>
      <c r="BM162" s="608"/>
      <c r="BN162" s="608"/>
      <c r="BO162" s="608"/>
      <c r="BP162" s="608"/>
      <c r="BQ162" s="608"/>
      <c r="BR162" s="608"/>
      <c r="BS162" s="608"/>
      <c r="BT162" s="608"/>
      <c r="BU162" s="609"/>
      <c r="BV162" s="560" t="s">
        <v>4</v>
      </c>
      <c r="BW162" s="560"/>
      <c r="BX162" s="560"/>
      <c r="BY162" s="560"/>
      <c r="BZ162" s="560"/>
      <c r="CA162" s="560"/>
      <c r="CB162" s="560"/>
      <c r="CC162" s="560"/>
      <c r="CD162" s="560"/>
      <c r="CE162" s="560"/>
      <c r="CF162" s="560"/>
      <c r="CG162" s="560"/>
      <c r="CH162" s="560"/>
      <c r="CI162" s="560"/>
      <c r="CJ162" s="560"/>
      <c r="CK162" s="560"/>
      <c r="CL162" s="560">
        <f>CL153+CL158</f>
        <v>0</v>
      </c>
      <c r="CM162" s="560"/>
      <c r="CN162" s="560"/>
      <c r="CO162" s="560"/>
      <c r="CP162" s="560"/>
      <c r="CQ162" s="560"/>
      <c r="CR162" s="560"/>
      <c r="CS162" s="560"/>
      <c r="CT162" s="560"/>
      <c r="CU162" s="560"/>
      <c r="CV162" s="560"/>
      <c r="CW162" s="560"/>
      <c r="CX162" s="560"/>
      <c r="CY162" s="560"/>
      <c r="CZ162" s="560"/>
      <c r="DA162" s="235"/>
    </row>
    <row r="163" spans="1:105" s="17" customFormat="1" ht="13.5" hidden="1" customHeight="1" x14ac:dyDescent="0.25">
      <c r="A163" s="648" t="s">
        <v>258</v>
      </c>
      <c r="B163" s="649"/>
      <c r="C163" s="649"/>
      <c r="D163" s="649"/>
      <c r="E163" s="649"/>
      <c r="F163" s="649"/>
      <c r="G163" s="649"/>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49"/>
      <c r="AY163" s="649"/>
      <c r="AZ163" s="649"/>
      <c r="BA163" s="649"/>
      <c r="BB163" s="649"/>
      <c r="BC163" s="649"/>
      <c r="BD163" s="649"/>
      <c r="BE163" s="649"/>
      <c r="BF163" s="649"/>
      <c r="BG163" s="649"/>
      <c r="BH163" s="649"/>
      <c r="BI163" s="649"/>
      <c r="BJ163" s="649"/>
      <c r="BK163" s="649"/>
      <c r="BL163" s="649"/>
      <c r="BM163" s="649"/>
      <c r="BN163" s="649"/>
      <c r="BO163" s="649"/>
      <c r="BP163" s="649"/>
      <c r="BQ163" s="649"/>
      <c r="BR163" s="649"/>
      <c r="BS163" s="649"/>
      <c r="BT163" s="649"/>
      <c r="BU163" s="649"/>
      <c r="BV163" s="649"/>
      <c r="BW163" s="649"/>
      <c r="BX163" s="649"/>
      <c r="BY163" s="649"/>
      <c r="BZ163" s="649"/>
      <c r="CA163" s="649"/>
      <c r="CB163" s="649"/>
      <c r="CC163" s="649"/>
      <c r="CD163" s="649"/>
      <c r="CE163" s="649"/>
      <c r="CF163" s="649"/>
      <c r="CG163" s="649"/>
      <c r="CH163" s="649"/>
      <c r="CI163" s="649"/>
      <c r="CJ163" s="649"/>
      <c r="CK163" s="649"/>
      <c r="CL163" s="649"/>
      <c r="CM163" s="649"/>
      <c r="CN163" s="649"/>
      <c r="CO163" s="649"/>
      <c r="CP163" s="649"/>
      <c r="CQ163" s="649"/>
      <c r="CR163" s="649"/>
      <c r="CS163" s="649"/>
      <c r="CT163" s="649"/>
      <c r="CU163" s="649"/>
      <c r="CV163" s="649"/>
      <c r="CW163" s="649"/>
      <c r="CX163" s="649"/>
      <c r="CY163" s="649"/>
      <c r="CZ163" s="649"/>
      <c r="DA163" s="235"/>
    </row>
    <row r="164" spans="1:105" s="17" customFormat="1" ht="13.5" hidden="1" customHeight="1" x14ac:dyDescent="0.25">
      <c r="A164" s="659" t="s">
        <v>67</v>
      </c>
      <c r="B164" s="659"/>
      <c r="C164" s="659"/>
      <c r="D164" s="659"/>
      <c r="E164" s="659"/>
      <c r="F164" s="659"/>
      <c r="G164" s="213"/>
      <c r="H164" s="585" t="s">
        <v>369</v>
      </c>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5"/>
      <c r="AL164" s="585"/>
      <c r="AM164" s="585"/>
      <c r="AN164" s="585"/>
      <c r="AO164" s="585"/>
      <c r="AP164" s="585"/>
      <c r="AQ164" s="585"/>
      <c r="AR164" s="585"/>
      <c r="AS164" s="585"/>
      <c r="AT164" s="585"/>
      <c r="AU164" s="585"/>
      <c r="AV164" s="585"/>
      <c r="AW164" s="585"/>
      <c r="AX164" s="585"/>
      <c r="AY164" s="585"/>
      <c r="AZ164" s="585"/>
      <c r="BA164" s="585"/>
      <c r="BB164" s="585"/>
      <c r="BC164" s="585"/>
      <c r="BD164" s="585"/>
      <c r="BE164" s="585"/>
      <c r="BF164" s="585"/>
      <c r="BG164" s="585"/>
      <c r="BH164" s="585"/>
      <c r="BI164" s="585"/>
      <c r="BJ164" s="585"/>
      <c r="BK164" s="585"/>
      <c r="BL164" s="585"/>
      <c r="BM164" s="585"/>
      <c r="BN164" s="585"/>
      <c r="BO164" s="585"/>
      <c r="BP164" s="585"/>
      <c r="BQ164" s="585"/>
      <c r="BR164" s="585"/>
      <c r="BS164" s="585"/>
      <c r="BT164" s="585"/>
      <c r="BU164" s="586"/>
      <c r="BV164" s="582" t="s">
        <v>4</v>
      </c>
      <c r="BW164" s="582"/>
      <c r="BX164" s="582"/>
      <c r="BY164" s="582"/>
      <c r="BZ164" s="582"/>
      <c r="CA164" s="582"/>
      <c r="CB164" s="582"/>
      <c r="CC164" s="582"/>
      <c r="CD164" s="582"/>
      <c r="CE164" s="582"/>
      <c r="CF164" s="582"/>
      <c r="CG164" s="582"/>
      <c r="CH164" s="582"/>
      <c r="CI164" s="582"/>
      <c r="CJ164" s="582"/>
      <c r="CK164" s="582"/>
      <c r="CL164" s="582"/>
      <c r="CM164" s="582"/>
      <c r="CN164" s="582"/>
      <c r="CO164" s="582"/>
      <c r="CP164" s="582"/>
      <c r="CQ164" s="582"/>
      <c r="CR164" s="582"/>
      <c r="CS164" s="582"/>
      <c r="CT164" s="582"/>
      <c r="CU164" s="582"/>
      <c r="CV164" s="582"/>
      <c r="CW164" s="582"/>
      <c r="CX164" s="582"/>
      <c r="CY164" s="582"/>
      <c r="CZ164" s="582"/>
      <c r="DA164" s="235"/>
    </row>
    <row r="165" spans="1:105" s="17" customFormat="1" ht="13.5" hidden="1" customHeight="1" x14ac:dyDescent="0.25">
      <c r="A165" s="709" t="s">
        <v>68</v>
      </c>
      <c r="B165" s="710"/>
      <c r="C165" s="710"/>
      <c r="D165" s="710"/>
      <c r="E165" s="710"/>
      <c r="F165" s="711"/>
      <c r="G165" s="233"/>
      <c r="H165" s="715" t="s">
        <v>3</v>
      </c>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5"/>
      <c r="AY165" s="715"/>
      <c r="AZ165" s="715"/>
      <c r="BA165" s="715"/>
      <c r="BB165" s="715"/>
      <c r="BC165" s="715"/>
      <c r="BD165" s="715"/>
      <c r="BE165" s="715"/>
      <c r="BF165" s="715"/>
      <c r="BG165" s="715"/>
      <c r="BH165" s="715"/>
      <c r="BI165" s="715"/>
      <c r="BJ165" s="715"/>
      <c r="BK165" s="715"/>
      <c r="BL165" s="715"/>
      <c r="BM165" s="715"/>
      <c r="BN165" s="715"/>
      <c r="BO165" s="715"/>
      <c r="BP165" s="715"/>
      <c r="BQ165" s="715"/>
      <c r="BR165" s="715"/>
      <c r="BS165" s="715"/>
      <c r="BT165" s="715"/>
      <c r="BU165" s="716"/>
      <c r="BV165" s="736"/>
      <c r="BW165" s="737"/>
      <c r="BX165" s="737"/>
      <c r="BY165" s="737"/>
      <c r="BZ165" s="737"/>
      <c r="CA165" s="737"/>
      <c r="CB165" s="737"/>
      <c r="CC165" s="737"/>
      <c r="CD165" s="737"/>
      <c r="CE165" s="737"/>
      <c r="CF165" s="737"/>
      <c r="CG165" s="737"/>
      <c r="CH165" s="737"/>
      <c r="CI165" s="737"/>
      <c r="CJ165" s="737"/>
      <c r="CK165" s="738"/>
      <c r="CL165" s="736"/>
      <c r="CM165" s="737"/>
      <c r="CN165" s="737"/>
      <c r="CO165" s="737"/>
      <c r="CP165" s="737"/>
      <c r="CQ165" s="737"/>
      <c r="CR165" s="737"/>
      <c r="CS165" s="737"/>
      <c r="CT165" s="737"/>
      <c r="CU165" s="737"/>
      <c r="CV165" s="737"/>
      <c r="CW165" s="737"/>
      <c r="CX165" s="737"/>
      <c r="CY165" s="737"/>
      <c r="CZ165" s="738"/>
      <c r="DA165" s="235"/>
    </row>
    <row r="166" spans="1:105" s="17" customFormat="1" ht="13.5" hidden="1" customHeight="1" x14ac:dyDescent="0.25">
      <c r="A166" s="712"/>
      <c r="B166" s="713"/>
      <c r="C166" s="713"/>
      <c r="D166" s="713"/>
      <c r="E166" s="713"/>
      <c r="F166" s="714"/>
      <c r="G166" s="234"/>
      <c r="H166" s="707" t="s">
        <v>370</v>
      </c>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c r="BA166" s="707"/>
      <c r="BB166" s="707"/>
      <c r="BC166" s="707"/>
      <c r="BD166" s="707"/>
      <c r="BE166" s="707"/>
      <c r="BF166" s="707"/>
      <c r="BG166" s="707"/>
      <c r="BH166" s="707"/>
      <c r="BI166" s="707"/>
      <c r="BJ166" s="707"/>
      <c r="BK166" s="707"/>
      <c r="BL166" s="707"/>
      <c r="BM166" s="707"/>
      <c r="BN166" s="707"/>
      <c r="BO166" s="707"/>
      <c r="BP166" s="707"/>
      <c r="BQ166" s="707"/>
      <c r="BR166" s="707"/>
      <c r="BS166" s="707"/>
      <c r="BT166" s="707"/>
      <c r="BU166" s="708"/>
      <c r="BV166" s="739"/>
      <c r="BW166" s="740"/>
      <c r="BX166" s="740"/>
      <c r="BY166" s="740"/>
      <c r="BZ166" s="740"/>
      <c r="CA166" s="740"/>
      <c r="CB166" s="740"/>
      <c r="CC166" s="740"/>
      <c r="CD166" s="740"/>
      <c r="CE166" s="740"/>
      <c r="CF166" s="740"/>
      <c r="CG166" s="740"/>
      <c r="CH166" s="740"/>
      <c r="CI166" s="740"/>
      <c r="CJ166" s="740"/>
      <c r="CK166" s="741"/>
      <c r="CL166" s="739"/>
      <c r="CM166" s="740"/>
      <c r="CN166" s="740"/>
      <c r="CO166" s="740"/>
      <c r="CP166" s="740"/>
      <c r="CQ166" s="740"/>
      <c r="CR166" s="740"/>
      <c r="CS166" s="740"/>
      <c r="CT166" s="740"/>
      <c r="CU166" s="740"/>
      <c r="CV166" s="740"/>
      <c r="CW166" s="740"/>
      <c r="CX166" s="740"/>
      <c r="CY166" s="740"/>
      <c r="CZ166" s="741"/>
      <c r="DA166" s="235"/>
    </row>
    <row r="167" spans="1:105" s="17" customFormat="1" ht="13.5" hidden="1" customHeight="1" x14ac:dyDescent="0.25">
      <c r="A167" s="659" t="s">
        <v>69</v>
      </c>
      <c r="B167" s="659"/>
      <c r="C167" s="659"/>
      <c r="D167" s="659"/>
      <c r="E167" s="659"/>
      <c r="F167" s="659"/>
      <c r="G167" s="213"/>
      <c r="H167" s="707" t="s">
        <v>371</v>
      </c>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c r="BA167" s="707"/>
      <c r="BB167" s="707"/>
      <c r="BC167" s="707"/>
      <c r="BD167" s="707"/>
      <c r="BE167" s="707"/>
      <c r="BF167" s="707"/>
      <c r="BG167" s="707"/>
      <c r="BH167" s="707"/>
      <c r="BI167" s="707"/>
      <c r="BJ167" s="707"/>
      <c r="BK167" s="707"/>
      <c r="BL167" s="707"/>
      <c r="BM167" s="707"/>
      <c r="BN167" s="707"/>
      <c r="BO167" s="707"/>
      <c r="BP167" s="707"/>
      <c r="BQ167" s="707"/>
      <c r="BR167" s="707"/>
      <c r="BS167" s="707"/>
      <c r="BT167" s="707"/>
      <c r="BU167" s="708"/>
      <c r="BV167" s="582"/>
      <c r="BW167" s="582"/>
      <c r="BX167" s="582"/>
      <c r="BY167" s="582"/>
      <c r="BZ167" s="582"/>
      <c r="CA167" s="582"/>
      <c r="CB167" s="582"/>
      <c r="CC167" s="582"/>
      <c r="CD167" s="582"/>
      <c r="CE167" s="582"/>
      <c r="CF167" s="582"/>
      <c r="CG167" s="582"/>
      <c r="CH167" s="582"/>
      <c r="CI167" s="582"/>
      <c r="CJ167" s="582"/>
      <c r="CK167" s="582"/>
      <c r="CL167" s="582"/>
      <c r="CM167" s="582"/>
      <c r="CN167" s="582"/>
      <c r="CO167" s="582"/>
      <c r="CP167" s="582"/>
      <c r="CQ167" s="582"/>
      <c r="CR167" s="582"/>
      <c r="CS167" s="582"/>
      <c r="CT167" s="582"/>
      <c r="CU167" s="582"/>
      <c r="CV167" s="582"/>
      <c r="CW167" s="582"/>
      <c r="CX167" s="582"/>
      <c r="CY167" s="582"/>
      <c r="CZ167" s="582"/>
      <c r="DA167" s="235"/>
    </row>
    <row r="168" spans="1:105" s="17" customFormat="1" ht="13.5" hidden="1" customHeight="1" x14ac:dyDescent="0.25">
      <c r="A168" s="659" t="s">
        <v>70</v>
      </c>
      <c r="B168" s="659"/>
      <c r="C168" s="659"/>
      <c r="D168" s="659"/>
      <c r="E168" s="659"/>
      <c r="F168" s="659"/>
      <c r="G168" s="213"/>
      <c r="H168" s="707" t="s">
        <v>372</v>
      </c>
      <c r="I168" s="707"/>
      <c r="J168" s="707"/>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c r="BA168" s="707"/>
      <c r="BB168" s="707"/>
      <c r="BC168" s="707"/>
      <c r="BD168" s="707"/>
      <c r="BE168" s="707"/>
      <c r="BF168" s="707"/>
      <c r="BG168" s="707"/>
      <c r="BH168" s="707"/>
      <c r="BI168" s="707"/>
      <c r="BJ168" s="707"/>
      <c r="BK168" s="707"/>
      <c r="BL168" s="707"/>
      <c r="BM168" s="707"/>
      <c r="BN168" s="707"/>
      <c r="BO168" s="707"/>
      <c r="BP168" s="707"/>
      <c r="BQ168" s="707"/>
      <c r="BR168" s="707"/>
      <c r="BS168" s="707"/>
      <c r="BT168" s="707"/>
      <c r="BU168" s="708"/>
      <c r="BV168" s="582"/>
      <c r="BW168" s="582"/>
      <c r="BX168" s="582"/>
      <c r="BY168" s="582"/>
      <c r="BZ168" s="582"/>
      <c r="CA168" s="582"/>
      <c r="CB168" s="582"/>
      <c r="CC168" s="582"/>
      <c r="CD168" s="582"/>
      <c r="CE168" s="582"/>
      <c r="CF168" s="582"/>
      <c r="CG168" s="582"/>
      <c r="CH168" s="582"/>
      <c r="CI168" s="582"/>
      <c r="CJ168" s="582"/>
      <c r="CK168" s="582"/>
      <c r="CL168" s="582"/>
      <c r="CM168" s="582"/>
      <c r="CN168" s="582"/>
      <c r="CO168" s="582"/>
      <c r="CP168" s="582"/>
      <c r="CQ168" s="582"/>
      <c r="CR168" s="582"/>
      <c r="CS168" s="582"/>
      <c r="CT168" s="582"/>
      <c r="CU168" s="582"/>
      <c r="CV168" s="582"/>
      <c r="CW168" s="582"/>
      <c r="CX168" s="582"/>
      <c r="CY168" s="582"/>
      <c r="CZ168" s="582"/>
      <c r="DA168" s="235"/>
    </row>
    <row r="169" spans="1:105" s="17" customFormat="1" ht="13.5" hidden="1" customHeight="1" x14ac:dyDescent="0.25">
      <c r="A169" s="659" t="s">
        <v>71</v>
      </c>
      <c r="B169" s="659"/>
      <c r="C169" s="659"/>
      <c r="D169" s="659"/>
      <c r="E169" s="659"/>
      <c r="F169" s="659"/>
      <c r="G169" s="213"/>
      <c r="H169" s="585" t="s">
        <v>373</v>
      </c>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c r="AV169" s="585"/>
      <c r="AW169" s="585"/>
      <c r="AX169" s="585"/>
      <c r="AY169" s="585"/>
      <c r="AZ169" s="585"/>
      <c r="BA169" s="585"/>
      <c r="BB169" s="585"/>
      <c r="BC169" s="585"/>
      <c r="BD169" s="585"/>
      <c r="BE169" s="585"/>
      <c r="BF169" s="585"/>
      <c r="BG169" s="585"/>
      <c r="BH169" s="585"/>
      <c r="BI169" s="585"/>
      <c r="BJ169" s="585"/>
      <c r="BK169" s="585"/>
      <c r="BL169" s="585"/>
      <c r="BM169" s="585"/>
      <c r="BN169" s="585"/>
      <c r="BO169" s="585"/>
      <c r="BP169" s="585"/>
      <c r="BQ169" s="585"/>
      <c r="BR169" s="585"/>
      <c r="BS169" s="585"/>
      <c r="BT169" s="585"/>
      <c r="BU169" s="586"/>
      <c r="BV169" s="582" t="s">
        <v>4</v>
      </c>
      <c r="BW169" s="582"/>
      <c r="BX169" s="582"/>
      <c r="BY169" s="582"/>
      <c r="BZ169" s="582"/>
      <c r="CA169" s="582"/>
      <c r="CB169" s="582"/>
      <c r="CC169" s="582"/>
      <c r="CD169" s="582"/>
      <c r="CE169" s="582"/>
      <c r="CF169" s="582"/>
      <c r="CG169" s="582"/>
      <c r="CH169" s="582"/>
      <c r="CI169" s="582"/>
      <c r="CJ169" s="582"/>
      <c r="CK169" s="582"/>
      <c r="CL169" s="582"/>
      <c r="CM169" s="582"/>
      <c r="CN169" s="582"/>
      <c r="CO169" s="582"/>
      <c r="CP169" s="582"/>
      <c r="CQ169" s="582"/>
      <c r="CR169" s="582"/>
      <c r="CS169" s="582"/>
      <c r="CT169" s="582"/>
      <c r="CU169" s="582"/>
      <c r="CV169" s="582"/>
      <c r="CW169" s="582"/>
      <c r="CX169" s="582"/>
      <c r="CY169" s="582"/>
      <c r="CZ169" s="582"/>
      <c r="DA169" s="235"/>
    </row>
    <row r="170" spans="1:105" s="17" customFormat="1" ht="13.5" hidden="1" customHeight="1" x14ac:dyDescent="0.25">
      <c r="A170" s="709" t="s">
        <v>72</v>
      </c>
      <c r="B170" s="710"/>
      <c r="C170" s="710"/>
      <c r="D170" s="710"/>
      <c r="E170" s="710"/>
      <c r="F170" s="711"/>
      <c r="G170" s="233"/>
      <c r="H170" s="715" t="s">
        <v>3</v>
      </c>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5"/>
      <c r="AK170" s="715"/>
      <c r="AL170" s="715"/>
      <c r="AM170" s="715"/>
      <c r="AN170" s="715"/>
      <c r="AO170" s="715"/>
      <c r="AP170" s="715"/>
      <c r="AQ170" s="715"/>
      <c r="AR170" s="715"/>
      <c r="AS170" s="715"/>
      <c r="AT170" s="715"/>
      <c r="AU170" s="715"/>
      <c r="AV170" s="715"/>
      <c r="AW170" s="715"/>
      <c r="AX170" s="715"/>
      <c r="AY170" s="715"/>
      <c r="AZ170" s="715"/>
      <c r="BA170" s="715"/>
      <c r="BB170" s="715"/>
      <c r="BC170" s="715"/>
      <c r="BD170" s="715"/>
      <c r="BE170" s="715"/>
      <c r="BF170" s="715"/>
      <c r="BG170" s="715"/>
      <c r="BH170" s="715"/>
      <c r="BI170" s="715"/>
      <c r="BJ170" s="715"/>
      <c r="BK170" s="715"/>
      <c r="BL170" s="715"/>
      <c r="BM170" s="715"/>
      <c r="BN170" s="715"/>
      <c r="BO170" s="715"/>
      <c r="BP170" s="715"/>
      <c r="BQ170" s="715"/>
      <c r="BR170" s="715"/>
      <c r="BS170" s="715"/>
      <c r="BT170" s="715"/>
      <c r="BU170" s="716"/>
      <c r="BV170" s="736"/>
      <c r="BW170" s="737"/>
      <c r="BX170" s="737"/>
      <c r="BY170" s="737"/>
      <c r="BZ170" s="737"/>
      <c r="CA170" s="737"/>
      <c r="CB170" s="737"/>
      <c r="CC170" s="737"/>
      <c r="CD170" s="737"/>
      <c r="CE170" s="737"/>
      <c r="CF170" s="737"/>
      <c r="CG170" s="737"/>
      <c r="CH170" s="737"/>
      <c r="CI170" s="737"/>
      <c r="CJ170" s="737"/>
      <c r="CK170" s="738"/>
      <c r="CL170" s="736"/>
      <c r="CM170" s="737"/>
      <c r="CN170" s="737"/>
      <c r="CO170" s="737"/>
      <c r="CP170" s="737"/>
      <c r="CQ170" s="737"/>
      <c r="CR170" s="737"/>
      <c r="CS170" s="737"/>
      <c r="CT170" s="737"/>
      <c r="CU170" s="737"/>
      <c r="CV170" s="737"/>
      <c r="CW170" s="737"/>
      <c r="CX170" s="737"/>
      <c r="CY170" s="737"/>
      <c r="CZ170" s="738"/>
      <c r="DA170" s="235"/>
    </row>
    <row r="171" spans="1:105" s="17" customFormat="1" ht="13.5" hidden="1" customHeight="1" x14ac:dyDescent="0.25">
      <c r="A171" s="712"/>
      <c r="B171" s="713"/>
      <c r="C171" s="713"/>
      <c r="D171" s="713"/>
      <c r="E171" s="713"/>
      <c r="F171" s="714"/>
      <c r="G171" s="234"/>
      <c r="H171" s="707" t="s">
        <v>374</v>
      </c>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c r="BA171" s="707"/>
      <c r="BB171" s="707"/>
      <c r="BC171" s="707"/>
      <c r="BD171" s="707"/>
      <c r="BE171" s="707"/>
      <c r="BF171" s="707"/>
      <c r="BG171" s="707"/>
      <c r="BH171" s="707"/>
      <c r="BI171" s="707"/>
      <c r="BJ171" s="707"/>
      <c r="BK171" s="707"/>
      <c r="BL171" s="707"/>
      <c r="BM171" s="707"/>
      <c r="BN171" s="707"/>
      <c r="BO171" s="707"/>
      <c r="BP171" s="707"/>
      <c r="BQ171" s="707"/>
      <c r="BR171" s="707"/>
      <c r="BS171" s="707"/>
      <c r="BT171" s="707"/>
      <c r="BU171" s="708"/>
      <c r="BV171" s="739"/>
      <c r="BW171" s="740"/>
      <c r="BX171" s="740"/>
      <c r="BY171" s="740"/>
      <c r="BZ171" s="740"/>
      <c r="CA171" s="740"/>
      <c r="CB171" s="740"/>
      <c r="CC171" s="740"/>
      <c r="CD171" s="740"/>
      <c r="CE171" s="740"/>
      <c r="CF171" s="740"/>
      <c r="CG171" s="740"/>
      <c r="CH171" s="740"/>
      <c r="CI171" s="740"/>
      <c r="CJ171" s="740"/>
      <c r="CK171" s="741"/>
      <c r="CL171" s="739"/>
      <c r="CM171" s="740"/>
      <c r="CN171" s="740"/>
      <c r="CO171" s="740"/>
      <c r="CP171" s="740"/>
      <c r="CQ171" s="740"/>
      <c r="CR171" s="740"/>
      <c r="CS171" s="740"/>
      <c r="CT171" s="740"/>
      <c r="CU171" s="740"/>
      <c r="CV171" s="740"/>
      <c r="CW171" s="740"/>
      <c r="CX171" s="740"/>
      <c r="CY171" s="740"/>
      <c r="CZ171" s="741"/>
      <c r="DA171" s="235"/>
    </row>
    <row r="172" spans="1:105" s="17" customFormat="1" ht="13.5" hidden="1" customHeight="1" x14ac:dyDescent="0.25">
      <c r="A172" s="659" t="s">
        <v>73</v>
      </c>
      <c r="B172" s="659"/>
      <c r="C172" s="659"/>
      <c r="D172" s="659"/>
      <c r="E172" s="659"/>
      <c r="F172" s="659"/>
      <c r="G172" s="213"/>
      <c r="H172" s="707" t="s">
        <v>375</v>
      </c>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c r="BA172" s="707"/>
      <c r="BB172" s="707"/>
      <c r="BC172" s="707"/>
      <c r="BD172" s="707"/>
      <c r="BE172" s="707"/>
      <c r="BF172" s="707"/>
      <c r="BG172" s="707"/>
      <c r="BH172" s="707"/>
      <c r="BI172" s="707"/>
      <c r="BJ172" s="707"/>
      <c r="BK172" s="707"/>
      <c r="BL172" s="707"/>
      <c r="BM172" s="707"/>
      <c r="BN172" s="707"/>
      <c r="BO172" s="707"/>
      <c r="BP172" s="707"/>
      <c r="BQ172" s="707"/>
      <c r="BR172" s="707"/>
      <c r="BS172" s="707"/>
      <c r="BT172" s="707"/>
      <c r="BU172" s="708"/>
      <c r="BV172" s="582"/>
      <c r="BW172" s="582"/>
      <c r="BX172" s="582"/>
      <c r="BY172" s="582"/>
      <c r="BZ172" s="582"/>
      <c r="CA172" s="582"/>
      <c r="CB172" s="582"/>
      <c r="CC172" s="582"/>
      <c r="CD172" s="582"/>
      <c r="CE172" s="582"/>
      <c r="CF172" s="582"/>
      <c r="CG172" s="582"/>
      <c r="CH172" s="582"/>
      <c r="CI172" s="582"/>
      <c r="CJ172" s="582"/>
      <c r="CK172" s="582"/>
      <c r="CL172" s="582"/>
      <c r="CM172" s="582"/>
      <c r="CN172" s="582"/>
      <c r="CO172" s="582"/>
      <c r="CP172" s="582"/>
      <c r="CQ172" s="582"/>
      <c r="CR172" s="582"/>
      <c r="CS172" s="582"/>
      <c r="CT172" s="582"/>
      <c r="CU172" s="582"/>
      <c r="CV172" s="582"/>
      <c r="CW172" s="582"/>
      <c r="CX172" s="582"/>
      <c r="CY172" s="582"/>
      <c r="CZ172" s="582"/>
      <c r="DA172" s="235"/>
    </row>
    <row r="173" spans="1:105" s="17" customFormat="1" ht="13.5" hidden="1" customHeight="1" x14ac:dyDescent="0.25">
      <c r="A173" s="659" t="s">
        <v>74</v>
      </c>
      <c r="B173" s="659"/>
      <c r="C173" s="659"/>
      <c r="D173" s="659"/>
      <c r="E173" s="659"/>
      <c r="F173" s="659"/>
      <c r="G173" s="213"/>
      <c r="H173" s="707" t="s">
        <v>375</v>
      </c>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c r="BA173" s="707"/>
      <c r="BB173" s="707"/>
      <c r="BC173" s="707"/>
      <c r="BD173" s="707"/>
      <c r="BE173" s="707"/>
      <c r="BF173" s="707"/>
      <c r="BG173" s="707"/>
      <c r="BH173" s="707"/>
      <c r="BI173" s="707"/>
      <c r="BJ173" s="707"/>
      <c r="BK173" s="707"/>
      <c r="BL173" s="707"/>
      <c r="BM173" s="707"/>
      <c r="BN173" s="707"/>
      <c r="BO173" s="707"/>
      <c r="BP173" s="707"/>
      <c r="BQ173" s="707"/>
      <c r="BR173" s="707"/>
      <c r="BS173" s="707"/>
      <c r="BT173" s="707"/>
      <c r="BU173" s="708"/>
      <c r="BV173" s="582"/>
      <c r="BW173" s="582"/>
      <c r="BX173" s="582"/>
      <c r="BY173" s="582"/>
      <c r="BZ173" s="582"/>
      <c r="CA173" s="582"/>
      <c r="CB173" s="582"/>
      <c r="CC173" s="582"/>
      <c r="CD173" s="582"/>
      <c r="CE173" s="582"/>
      <c r="CF173" s="582"/>
      <c r="CG173" s="582"/>
      <c r="CH173" s="582"/>
      <c r="CI173" s="582"/>
      <c r="CJ173" s="582"/>
      <c r="CK173" s="582"/>
      <c r="CL173" s="582"/>
      <c r="CM173" s="582"/>
      <c r="CN173" s="582"/>
      <c r="CO173" s="582"/>
      <c r="CP173" s="582"/>
      <c r="CQ173" s="582"/>
      <c r="CR173" s="582"/>
      <c r="CS173" s="582"/>
      <c r="CT173" s="582"/>
      <c r="CU173" s="582"/>
      <c r="CV173" s="582"/>
      <c r="CW173" s="582"/>
      <c r="CX173" s="582"/>
      <c r="CY173" s="582"/>
      <c r="CZ173" s="582"/>
      <c r="DA173" s="235"/>
    </row>
    <row r="174" spans="1:105" s="17" customFormat="1" ht="13.5" hidden="1" customHeight="1" x14ac:dyDescent="0.25">
      <c r="A174" s="659"/>
      <c r="B174" s="659"/>
      <c r="C174" s="659"/>
      <c r="D174" s="659"/>
      <c r="E174" s="659"/>
      <c r="F174" s="659"/>
      <c r="G174" s="607" t="s">
        <v>292</v>
      </c>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08"/>
      <c r="AY174" s="608"/>
      <c r="AZ174" s="608"/>
      <c r="BA174" s="608"/>
      <c r="BB174" s="608"/>
      <c r="BC174" s="608"/>
      <c r="BD174" s="608"/>
      <c r="BE174" s="608"/>
      <c r="BF174" s="608"/>
      <c r="BG174" s="608"/>
      <c r="BH174" s="608"/>
      <c r="BI174" s="608"/>
      <c r="BJ174" s="608"/>
      <c r="BK174" s="608"/>
      <c r="BL174" s="608"/>
      <c r="BM174" s="608"/>
      <c r="BN174" s="608"/>
      <c r="BO174" s="608"/>
      <c r="BP174" s="608"/>
      <c r="BQ174" s="608"/>
      <c r="BR174" s="608"/>
      <c r="BS174" s="608"/>
      <c r="BT174" s="608"/>
      <c r="BU174" s="609"/>
      <c r="BV174" s="560" t="s">
        <v>4</v>
      </c>
      <c r="BW174" s="560"/>
      <c r="BX174" s="560"/>
      <c r="BY174" s="560"/>
      <c r="BZ174" s="560"/>
      <c r="CA174" s="560"/>
      <c r="CB174" s="560"/>
      <c r="CC174" s="560"/>
      <c r="CD174" s="560"/>
      <c r="CE174" s="560"/>
      <c r="CF174" s="560"/>
      <c r="CG174" s="560"/>
      <c r="CH174" s="560"/>
      <c r="CI174" s="560"/>
      <c r="CJ174" s="560"/>
      <c r="CK174" s="560"/>
      <c r="CL174" s="560"/>
      <c r="CM174" s="560"/>
      <c r="CN174" s="560"/>
      <c r="CO174" s="560"/>
      <c r="CP174" s="560"/>
      <c r="CQ174" s="560"/>
      <c r="CR174" s="560"/>
      <c r="CS174" s="560"/>
      <c r="CT174" s="560"/>
      <c r="CU174" s="560"/>
      <c r="CV174" s="560"/>
      <c r="CW174" s="560"/>
      <c r="CX174" s="560"/>
      <c r="CY174" s="560"/>
      <c r="CZ174" s="560"/>
      <c r="DA174" s="235"/>
    </row>
    <row r="175" spans="1:105" s="17" customFormat="1" ht="13.5" hidden="1" customHeight="1" x14ac:dyDescent="0.25">
      <c r="A175" s="659"/>
      <c r="B175" s="659"/>
      <c r="C175" s="659"/>
      <c r="D175" s="659"/>
      <c r="E175" s="659"/>
      <c r="F175" s="659"/>
      <c r="G175" s="607" t="s">
        <v>56</v>
      </c>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c r="AN175" s="608"/>
      <c r="AO175" s="608"/>
      <c r="AP175" s="608"/>
      <c r="AQ175" s="608"/>
      <c r="AR175" s="608"/>
      <c r="AS175" s="608"/>
      <c r="AT175" s="608"/>
      <c r="AU175" s="608"/>
      <c r="AV175" s="608"/>
      <c r="AW175" s="608"/>
      <c r="AX175" s="608"/>
      <c r="AY175" s="608"/>
      <c r="AZ175" s="608"/>
      <c r="BA175" s="608"/>
      <c r="BB175" s="608"/>
      <c r="BC175" s="608"/>
      <c r="BD175" s="608"/>
      <c r="BE175" s="608"/>
      <c r="BF175" s="608"/>
      <c r="BG175" s="608"/>
      <c r="BH175" s="608"/>
      <c r="BI175" s="608"/>
      <c r="BJ175" s="608"/>
      <c r="BK175" s="608"/>
      <c r="BL175" s="608"/>
      <c r="BM175" s="608"/>
      <c r="BN175" s="608"/>
      <c r="BO175" s="608"/>
      <c r="BP175" s="608"/>
      <c r="BQ175" s="608"/>
      <c r="BR175" s="608"/>
      <c r="BS175" s="608"/>
      <c r="BT175" s="608"/>
      <c r="BU175" s="609"/>
      <c r="BV175" s="560" t="s">
        <v>4</v>
      </c>
      <c r="BW175" s="560"/>
      <c r="BX175" s="560"/>
      <c r="BY175" s="560"/>
      <c r="BZ175" s="560"/>
      <c r="CA175" s="560"/>
      <c r="CB175" s="560"/>
      <c r="CC175" s="560"/>
      <c r="CD175" s="560"/>
      <c r="CE175" s="560"/>
      <c r="CF175" s="560"/>
      <c r="CG175" s="560"/>
      <c r="CH175" s="560"/>
      <c r="CI175" s="560"/>
      <c r="CJ175" s="560"/>
      <c r="CK175" s="560"/>
      <c r="CL175" s="560"/>
      <c r="CM175" s="560"/>
      <c r="CN175" s="560"/>
      <c r="CO175" s="560"/>
      <c r="CP175" s="560"/>
      <c r="CQ175" s="560"/>
      <c r="CR175" s="560"/>
      <c r="CS175" s="560"/>
      <c r="CT175" s="560"/>
      <c r="CU175" s="560"/>
      <c r="CV175" s="560"/>
      <c r="CW175" s="560"/>
      <c r="CX175" s="560"/>
      <c r="CY175" s="560"/>
      <c r="CZ175" s="560"/>
      <c r="DA175" s="235"/>
    </row>
    <row r="176" spans="1:105" s="17" customFormat="1" ht="13.5" hidden="1" customHeight="1" x14ac:dyDescent="0.25">
      <c r="A176" s="221"/>
      <c r="B176" s="221"/>
      <c r="C176" s="221"/>
      <c r="D176" s="221"/>
      <c r="E176" s="221"/>
      <c r="F176" s="22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9"/>
      <c r="CM176" s="45"/>
      <c r="CN176" s="45"/>
      <c r="CO176" s="45"/>
      <c r="CP176" s="45"/>
      <c r="CQ176" s="45"/>
      <c r="CR176" s="45"/>
      <c r="CS176" s="45"/>
      <c r="CT176" s="45"/>
      <c r="CU176" s="45"/>
      <c r="CV176" s="45"/>
      <c r="CW176" s="45"/>
      <c r="CX176" s="45"/>
      <c r="CY176" s="45"/>
      <c r="CZ176" s="45"/>
      <c r="DA176" s="235"/>
    </row>
    <row r="177" spans="1:105" s="20" customFormat="1" ht="33.75" hidden="1" customHeight="1" x14ac:dyDescent="0.25">
      <c r="A177" s="742" t="s">
        <v>568</v>
      </c>
      <c r="B177" s="742"/>
      <c r="C177" s="742"/>
      <c r="D177" s="742"/>
      <c r="E177" s="742"/>
      <c r="F177" s="742"/>
      <c r="G177" s="742"/>
      <c r="H177" s="742"/>
      <c r="I177" s="742"/>
      <c r="J177" s="742"/>
      <c r="K177" s="742"/>
      <c r="L177" s="742"/>
      <c r="M177" s="742"/>
      <c r="N177" s="742"/>
      <c r="O177" s="742"/>
      <c r="P177" s="742"/>
      <c r="Q177" s="742"/>
      <c r="R177" s="742"/>
      <c r="S177" s="742"/>
      <c r="T177" s="742"/>
      <c r="U177" s="742"/>
      <c r="V177" s="742"/>
      <c r="W177" s="742"/>
      <c r="X177" s="742"/>
      <c r="Y177" s="742"/>
      <c r="Z177" s="742"/>
      <c r="AA177" s="742"/>
      <c r="AB177" s="742"/>
      <c r="AC177" s="742"/>
      <c r="AD177" s="742"/>
      <c r="AE177" s="742"/>
      <c r="AF177" s="742"/>
      <c r="AG177" s="742"/>
      <c r="AH177" s="742"/>
      <c r="AI177" s="742"/>
      <c r="AJ177" s="742"/>
      <c r="AK177" s="742"/>
      <c r="AL177" s="742"/>
      <c r="AM177" s="742"/>
      <c r="AN177" s="742"/>
      <c r="AO177" s="742"/>
      <c r="AP177" s="742"/>
      <c r="AQ177" s="742"/>
      <c r="AR177" s="742"/>
      <c r="AS177" s="742"/>
      <c r="AT177" s="742"/>
      <c r="AU177" s="742"/>
      <c r="AV177" s="742"/>
      <c r="AW177" s="742"/>
      <c r="AX177" s="742"/>
      <c r="AY177" s="742"/>
      <c r="AZ177" s="742"/>
      <c r="BA177" s="742"/>
      <c r="BB177" s="742"/>
      <c r="BC177" s="742"/>
      <c r="BD177" s="742"/>
      <c r="BE177" s="742"/>
      <c r="BF177" s="742"/>
      <c r="BG177" s="742"/>
      <c r="BH177" s="742"/>
      <c r="BI177" s="742"/>
      <c r="BJ177" s="742"/>
      <c r="BK177" s="742"/>
      <c r="BL177" s="742"/>
      <c r="BM177" s="742"/>
      <c r="BN177" s="742"/>
      <c r="BO177" s="742"/>
      <c r="BP177" s="742"/>
      <c r="BQ177" s="742"/>
      <c r="BR177" s="742"/>
      <c r="BS177" s="742"/>
      <c r="BT177" s="742"/>
      <c r="BU177" s="742"/>
      <c r="BV177" s="742"/>
      <c r="BW177" s="742"/>
      <c r="BX177" s="742"/>
      <c r="BY177" s="742"/>
      <c r="BZ177" s="742"/>
      <c r="CA177" s="742"/>
      <c r="CB177" s="742"/>
      <c r="CC177" s="742"/>
      <c r="CD177" s="742"/>
      <c r="CE177" s="742"/>
      <c r="CF177" s="742"/>
      <c r="CG177" s="742"/>
      <c r="CH177" s="742"/>
      <c r="CI177" s="742"/>
      <c r="CJ177" s="742"/>
      <c r="CK177" s="742"/>
      <c r="CL177" s="742"/>
      <c r="CM177" s="742"/>
      <c r="CN177" s="742"/>
      <c r="CO177" s="742"/>
      <c r="CP177" s="742"/>
      <c r="CQ177" s="742"/>
      <c r="CR177" s="742"/>
      <c r="CS177" s="742"/>
      <c r="CT177" s="742"/>
      <c r="CU177" s="742"/>
      <c r="CV177" s="742"/>
      <c r="CW177" s="742"/>
      <c r="CX177" s="742"/>
      <c r="CY177" s="742"/>
      <c r="CZ177" s="742"/>
    </row>
    <row r="178" spans="1:105" ht="11.25" hidden="1" customHeight="1" x14ac:dyDescent="0.25"/>
    <row r="179" spans="1:105" s="20" customFormat="1" hidden="1" x14ac:dyDescent="0.25">
      <c r="A179" s="20" t="s">
        <v>47</v>
      </c>
      <c r="W179" s="595" t="s">
        <v>466</v>
      </c>
      <c r="X179" s="595"/>
      <c r="Y179" s="595"/>
      <c r="Z179" s="595"/>
      <c r="AA179" s="595"/>
      <c r="AB179" s="595"/>
      <c r="AC179" s="595"/>
      <c r="AD179" s="595"/>
      <c r="AE179" s="595"/>
      <c r="AF179" s="595"/>
      <c r="AG179" s="595"/>
      <c r="AH179" s="595"/>
      <c r="AI179" s="595"/>
      <c r="AJ179" s="595"/>
      <c r="AK179" s="595"/>
      <c r="AL179" s="595"/>
      <c r="AM179" s="595"/>
      <c r="AN179" s="595"/>
      <c r="AO179" s="595"/>
      <c r="AP179" s="595"/>
      <c r="AQ179" s="595"/>
      <c r="AR179" s="595"/>
      <c r="AS179" s="595"/>
      <c r="AT179" s="595"/>
      <c r="AU179" s="595"/>
      <c r="AV179" s="595"/>
      <c r="AW179" s="595"/>
      <c r="AX179" s="595"/>
      <c r="AY179" s="595"/>
      <c r="AZ179" s="595"/>
      <c r="BA179" s="595"/>
      <c r="BB179" s="595"/>
      <c r="BC179" s="595"/>
      <c r="BD179" s="595"/>
      <c r="BE179" s="595"/>
      <c r="BF179" s="595"/>
      <c r="BG179" s="595"/>
      <c r="BH179" s="595"/>
      <c r="BI179" s="595"/>
      <c r="BJ179" s="595"/>
      <c r="BK179" s="595"/>
      <c r="BL179" s="595"/>
      <c r="BM179" s="595"/>
      <c r="BN179" s="595"/>
      <c r="BO179" s="595"/>
      <c r="BP179" s="595"/>
      <c r="BQ179" s="595"/>
      <c r="BR179" s="595"/>
      <c r="BS179" s="595"/>
      <c r="BT179" s="595"/>
      <c r="BU179" s="595"/>
      <c r="BV179" s="595"/>
      <c r="BW179" s="595"/>
      <c r="BX179" s="595"/>
      <c r="BY179" s="595"/>
      <c r="BZ179" s="595"/>
      <c r="CA179" s="595"/>
      <c r="CB179" s="595"/>
      <c r="CC179" s="595"/>
      <c r="CD179" s="595"/>
      <c r="CE179" s="595"/>
      <c r="CF179" s="595"/>
      <c r="CG179" s="595"/>
      <c r="CH179" s="595"/>
      <c r="CI179" s="595"/>
      <c r="CJ179" s="595"/>
      <c r="CK179" s="595"/>
      <c r="CL179" s="595"/>
      <c r="CM179" s="595"/>
      <c r="CN179" s="595"/>
      <c r="CO179" s="595"/>
      <c r="CP179" s="595"/>
      <c r="CQ179" s="595"/>
      <c r="CR179" s="595"/>
      <c r="CS179" s="595"/>
      <c r="CT179" s="595"/>
      <c r="CU179" s="595"/>
      <c r="CV179" s="595"/>
      <c r="CW179" s="595"/>
      <c r="CX179" s="595"/>
      <c r="CY179" s="595"/>
      <c r="CZ179" s="595"/>
    </row>
    <row r="180" spans="1:105" ht="10.5" hidden="1" customHeight="1" x14ac:dyDescent="0.25"/>
    <row r="181" spans="1:105" s="18" customFormat="1" ht="45" hidden="1" customHeight="1" x14ac:dyDescent="0.3">
      <c r="A181" s="475" t="s">
        <v>49</v>
      </c>
      <c r="B181" s="476"/>
      <c r="C181" s="476"/>
      <c r="D181" s="476"/>
      <c r="E181" s="476"/>
      <c r="F181" s="476"/>
      <c r="G181" s="477"/>
      <c r="H181" s="475" t="s">
        <v>0</v>
      </c>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76"/>
      <c r="AP181" s="476"/>
      <c r="AQ181" s="476"/>
      <c r="AR181" s="476"/>
      <c r="AS181" s="476"/>
      <c r="AT181" s="476"/>
      <c r="AU181" s="476"/>
      <c r="AV181" s="476"/>
      <c r="AW181" s="476"/>
      <c r="AX181" s="476"/>
      <c r="AY181" s="476"/>
      <c r="AZ181" s="476"/>
      <c r="BA181" s="476"/>
      <c r="BB181" s="477"/>
      <c r="BC181" s="606" t="s">
        <v>75</v>
      </c>
      <c r="BD181" s="606"/>
      <c r="BE181" s="606"/>
      <c r="BF181" s="606"/>
      <c r="BG181" s="606"/>
      <c r="BH181" s="606"/>
      <c r="BI181" s="606"/>
      <c r="BJ181" s="606"/>
      <c r="BK181" s="606"/>
      <c r="BL181" s="606"/>
      <c r="BM181" s="606"/>
      <c r="BN181" s="606"/>
      <c r="BO181" s="606"/>
      <c r="BP181" s="606"/>
      <c r="BQ181" s="606"/>
      <c r="BR181" s="606"/>
      <c r="BS181" s="606" t="s">
        <v>76</v>
      </c>
      <c r="BT181" s="606"/>
      <c r="BU181" s="606"/>
      <c r="BV181" s="606"/>
      <c r="BW181" s="606"/>
      <c r="BX181" s="606"/>
      <c r="BY181" s="606"/>
      <c r="BZ181" s="606"/>
      <c r="CA181" s="606"/>
      <c r="CB181" s="606"/>
      <c r="CC181" s="606"/>
      <c r="CD181" s="606"/>
      <c r="CE181" s="606"/>
      <c r="CF181" s="606"/>
      <c r="CG181" s="606"/>
      <c r="CH181" s="606"/>
      <c r="CI181" s="606" t="s">
        <v>77</v>
      </c>
      <c r="CJ181" s="606"/>
      <c r="CK181" s="606"/>
      <c r="CL181" s="606"/>
      <c r="CM181" s="606"/>
      <c r="CN181" s="606"/>
      <c r="CO181" s="606"/>
      <c r="CP181" s="606"/>
      <c r="CQ181" s="606"/>
      <c r="CR181" s="606"/>
      <c r="CS181" s="606"/>
      <c r="CT181" s="606"/>
      <c r="CU181" s="606"/>
      <c r="CV181" s="606"/>
      <c r="CW181" s="606"/>
      <c r="CX181" s="606"/>
      <c r="CY181" s="606"/>
      <c r="CZ181" s="606"/>
      <c r="DA181" s="218"/>
    </row>
    <row r="182" spans="1:105" s="15" customFormat="1" ht="13.2" hidden="1" x14ac:dyDescent="0.3">
      <c r="A182" s="591">
        <v>1</v>
      </c>
      <c r="B182" s="591"/>
      <c r="C182" s="591"/>
      <c r="D182" s="591"/>
      <c r="E182" s="591"/>
      <c r="F182" s="591"/>
      <c r="G182" s="591"/>
      <c r="H182" s="591">
        <v>2</v>
      </c>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1"/>
      <c r="AL182" s="591"/>
      <c r="AM182" s="591"/>
      <c r="AN182" s="591"/>
      <c r="AO182" s="591"/>
      <c r="AP182" s="591"/>
      <c r="AQ182" s="591"/>
      <c r="AR182" s="591"/>
      <c r="AS182" s="591"/>
      <c r="AT182" s="591"/>
      <c r="AU182" s="591"/>
      <c r="AV182" s="591"/>
      <c r="AW182" s="591"/>
      <c r="AX182" s="591"/>
      <c r="AY182" s="591"/>
      <c r="AZ182" s="591"/>
      <c r="BA182" s="591"/>
      <c r="BB182" s="591"/>
      <c r="BC182" s="591">
        <v>3</v>
      </c>
      <c r="BD182" s="591"/>
      <c r="BE182" s="591"/>
      <c r="BF182" s="591"/>
      <c r="BG182" s="591"/>
      <c r="BH182" s="591"/>
      <c r="BI182" s="591"/>
      <c r="BJ182" s="591"/>
      <c r="BK182" s="591"/>
      <c r="BL182" s="591"/>
      <c r="BM182" s="591"/>
      <c r="BN182" s="591"/>
      <c r="BO182" s="591"/>
      <c r="BP182" s="591"/>
      <c r="BQ182" s="591"/>
      <c r="BR182" s="591"/>
      <c r="BS182" s="591">
        <v>4</v>
      </c>
      <c r="BT182" s="591"/>
      <c r="BU182" s="591"/>
      <c r="BV182" s="591"/>
      <c r="BW182" s="591"/>
      <c r="BX182" s="591"/>
      <c r="BY182" s="591"/>
      <c r="BZ182" s="591"/>
      <c r="CA182" s="591"/>
      <c r="CB182" s="591"/>
      <c r="CC182" s="591"/>
      <c r="CD182" s="591"/>
      <c r="CE182" s="591"/>
      <c r="CF182" s="591"/>
      <c r="CG182" s="591"/>
      <c r="CH182" s="591"/>
      <c r="CI182" s="591">
        <v>5</v>
      </c>
      <c r="CJ182" s="591"/>
      <c r="CK182" s="591"/>
      <c r="CL182" s="591"/>
      <c r="CM182" s="591"/>
      <c r="CN182" s="591"/>
      <c r="CO182" s="591"/>
      <c r="CP182" s="591"/>
      <c r="CQ182" s="591"/>
      <c r="CR182" s="591"/>
      <c r="CS182" s="591"/>
      <c r="CT182" s="591"/>
      <c r="CU182" s="591"/>
      <c r="CV182" s="591"/>
      <c r="CW182" s="591"/>
      <c r="CX182" s="591"/>
      <c r="CY182" s="591"/>
      <c r="CZ182" s="591"/>
      <c r="DA182" s="219"/>
    </row>
    <row r="183" spans="1:105" s="16" customFormat="1" ht="15" hidden="1" customHeight="1" x14ac:dyDescent="0.3">
      <c r="A183" s="648" t="s">
        <v>569</v>
      </c>
      <c r="B183" s="649"/>
      <c r="C183" s="649"/>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9"/>
      <c r="AL183" s="649"/>
      <c r="AM183" s="649"/>
      <c r="AN183" s="649"/>
      <c r="AO183" s="649"/>
      <c r="AP183" s="649"/>
      <c r="AQ183" s="649"/>
      <c r="AR183" s="649"/>
      <c r="AS183" s="649"/>
      <c r="AT183" s="649"/>
      <c r="AU183" s="649"/>
      <c r="AV183" s="649"/>
      <c r="AW183" s="649"/>
      <c r="AX183" s="649"/>
      <c r="AY183" s="649"/>
      <c r="AZ183" s="649"/>
      <c r="BA183" s="649"/>
      <c r="BB183" s="649"/>
      <c r="BC183" s="649"/>
      <c r="BD183" s="649"/>
      <c r="BE183" s="649"/>
      <c r="BF183" s="649"/>
      <c r="BG183" s="649"/>
      <c r="BH183" s="649"/>
      <c r="BI183" s="649"/>
      <c r="BJ183" s="649"/>
      <c r="BK183" s="649"/>
      <c r="BL183" s="649"/>
      <c r="BM183" s="649"/>
      <c r="BN183" s="649"/>
      <c r="BO183" s="649"/>
      <c r="BP183" s="649"/>
      <c r="BQ183" s="649"/>
      <c r="BR183" s="649"/>
      <c r="BS183" s="649"/>
      <c r="BT183" s="649"/>
      <c r="BU183" s="649"/>
      <c r="BV183" s="649"/>
      <c r="BW183" s="649"/>
      <c r="BX183" s="649"/>
      <c r="BY183" s="649"/>
      <c r="BZ183" s="649"/>
      <c r="CA183" s="649"/>
      <c r="CB183" s="649"/>
      <c r="CC183" s="649"/>
      <c r="CD183" s="649"/>
      <c r="CE183" s="649"/>
      <c r="CF183" s="649"/>
      <c r="CG183" s="649"/>
      <c r="CH183" s="649"/>
      <c r="CI183" s="649"/>
      <c r="CJ183" s="649"/>
      <c r="CK183" s="649"/>
      <c r="CL183" s="649"/>
      <c r="CM183" s="649"/>
      <c r="CN183" s="649"/>
      <c r="CO183" s="649"/>
      <c r="CP183" s="649"/>
      <c r="CQ183" s="649"/>
      <c r="CR183" s="649"/>
      <c r="CS183" s="649"/>
      <c r="CT183" s="649"/>
      <c r="CU183" s="649"/>
      <c r="CV183" s="649"/>
      <c r="CW183" s="649"/>
      <c r="CX183" s="649"/>
      <c r="CY183" s="649"/>
      <c r="CZ183" s="649"/>
      <c r="DA183" s="214"/>
    </row>
    <row r="184" spans="1:105" s="16" customFormat="1" ht="22.5" hidden="1" customHeight="1" x14ac:dyDescent="0.3">
      <c r="A184" s="630" t="s">
        <v>441</v>
      </c>
      <c r="B184" s="631"/>
      <c r="C184" s="631"/>
      <c r="D184" s="631"/>
      <c r="E184" s="631"/>
      <c r="F184" s="631"/>
      <c r="G184" s="632"/>
      <c r="H184" s="584" t="s">
        <v>570</v>
      </c>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585"/>
      <c r="BB184" s="586"/>
      <c r="BC184" s="627">
        <f>CI184/BS184</f>
        <v>0</v>
      </c>
      <c r="BD184" s="628"/>
      <c r="BE184" s="628"/>
      <c r="BF184" s="628"/>
      <c r="BG184" s="628"/>
      <c r="BH184" s="628"/>
      <c r="BI184" s="628"/>
      <c r="BJ184" s="628"/>
      <c r="BK184" s="628"/>
      <c r="BL184" s="628"/>
      <c r="BM184" s="628"/>
      <c r="BN184" s="628"/>
      <c r="BO184" s="628"/>
      <c r="BP184" s="628"/>
      <c r="BQ184" s="628"/>
      <c r="BR184" s="629"/>
      <c r="BS184" s="544">
        <v>50</v>
      </c>
      <c r="BT184" s="545"/>
      <c r="BU184" s="545"/>
      <c r="BV184" s="545"/>
      <c r="BW184" s="545"/>
      <c r="BX184" s="545"/>
      <c r="BY184" s="545"/>
      <c r="BZ184" s="545"/>
      <c r="CA184" s="545"/>
      <c r="CB184" s="545"/>
      <c r="CC184" s="545"/>
      <c r="CD184" s="545"/>
      <c r="CE184" s="545"/>
      <c r="CF184" s="545"/>
      <c r="CG184" s="545"/>
      <c r="CH184" s="546"/>
      <c r="CI184" s="627"/>
      <c r="CJ184" s="628"/>
      <c r="CK184" s="628"/>
      <c r="CL184" s="628"/>
      <c r="CM184" s="628"/>
      <c r="CN184" s="628"/>
      <c r="CO184" s="628"/>
      <c r="CP184" s="628"/>
      <c r="CQ184" s="628"/>
      <c r="CR184" s="628"/>
      <c r="CS184" s="628"/>
      <c r="CT184" s="628"/>
      <c r="CU184" s="628"/>
      <c r="CV184" s="628"/>
      <c r="CW184" s="628"/>
      <c r="CX184" s="628"/>
      <c r="CY184" s="628"/>
      <c r="CZ184" s="629"/>
      <c r="DA184" s="214"/>
    </row>
    <row r="185" spans="1:105" s="16" customFormat="1" ht="24" hidden="1" customHeight="1" x14ac:dyDescent="0.3">
      <c r="A185" s="630" t="s">
        <v>444</v>
      </c>
      <c r="B185" s="631"/>
      <c r="C185" s="631"/>
      <c r="D185" s="631"/>
      <c r="E185" s="631"/>
      <c r="F185" s="631"/>
      <c r="G185" s="632"/>
      <c r="H185" s="584" t="s">
        <v>571</v>
      </c>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585"/>
      <c r="BB185" s="586"/>
      <c r="BC185" s="627"/>
      <c r="BD185" s="628"/>
      <c r="BE185" s="628"/>
      <c r="BF185" s="628"/>
      <c r="BG185" s="628"/>
      <c r="BH185" s="628"/>
      <c r="BI185" s="628"/>
      <c r="BJ185" s="628"/>
      <c r="BK185" s="628"/>
      <c r="BL185" s="628"/>
      <c r="BM185" s="628"/>
      <c r="BN185" s="628"/>
      <c r="BO185" s="628"/>
      <c r="BP185" s="628"/>
      <c r="BQ185" s="628"/>
      <c r="BR185" s="629"/>
      <c r="BS185" s="544"/>
      <c r="BT185" s="545"/>
      <c r="BU185" s="545"/>
      <c r="BV185" s="545"/>
      <c r="BW185" s="545"/>
      <c r="BX185" s="545"/>
      <c r="BY185" s="545"/>
      <c r="BZ185" s="545"/>
      <c r="CA185" s="545"/>
      <c r="CB185" s="545"/>
      <c r="CC185" s="545"/>
      <c r="CD185" s="545"/>
      <c r="CE185" s="545"/>
      <c r="CF185" s="545"/>
      <c r="CG185" s="545"/>
      <c r="CH185" s="546"/>
      <c r="CI185" s="627"/>
      <c r="CJ185" s="628"/>
      <c r="CK185" s="628"/>
      <c r="CL185" s="628"/>
      <c r="CM185" s="628"/>
      <c r="CN185" s="628"/>
      <c r="CO185" s="628"/>
      <c r="CP185" s="628"/>
      <c r="CQ185" s="628"/>
      <c r="CR185" s="628"/>
      <c r="CS185" s="628"/>
      <c r="CT185" s="628"/>
      <c r="CU185" s="628"/>
      <c r="CV185" s="628"/>
      <c r="CW185" s="628"/>
      <c r="CX185" s="628"/>
      <c r="CY185" s="628"/>
      <c r="CZ185" s="629"/>
      <c r="DA185" s="237">
        <f>180000-CI185</f>
        <v>180000</v>
      </c>
    </row>
    <row r="186" spans="1:105" s="16" customFormat="1" ht="15" hidden="1" customHeight="1" x14ac:dyDescent="0.3">
      <c r="A186" s="633" t="s">
        <v>292</v>
      </c>
      <c r="B186" s="634"/>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c r="AA186" s="634"/>
      <c r="AB186" s="634"/>
      <c r="AC186" s="634"/>
      <c r="AD186" s="634"/>
      <c r="AE186" s="634"/>
      <c r="AF186" s="634"/>
      <c r="AG186" s="634"/>
      <c r="AH186" s="634"/>
      <c r="AI186" s="634"/>
      <c r="AJ186" s="634"/>
      <c r="AK186" s="634"/>
      <c r="AL186" s="634"/>
      <c r="AM186" s="634"/>
      <c r="AN186" s="634"/>
      <c r="AO186" s="634"/>
      <c r="AP186" s="634"/>
      <c r="AQ186" s="634"/>
      <c r="AR186" s="634"/>
      <c r="AS186" s="634"/>
      <c r="AT186" s="634"/>
      <c r="AU186" s="634"/>
      <c r="AV186" s="634"/>
      <c r="AW186" s="634"/>
      <c r="AX186" s="634"/>
      <c r="AY186" s="634"/>
      <c r="AZ186" s="634"/>
      <c r="BA186" s="634"/>
      <c r="BB186" s="635"/>
      <c r="BC186" s="544" t="s">
        <v>4</v>
      </c>
      <c r="BD186" s="545"/>
      <c r="BE186" s="545"/>
      <c r="BF186" s="545"/>
      <c r="BG186" s="545"/>
      <c r="BH186" s="545"/>
      <c r="BI186" s="545"/>
      <c r="BJ186" s="545"/>
      <c r="BK186" s="545"/>
      <c r="BL186" s="545"/>
      <c r="BM186" s="545"/>
      <c r="BN186" s="545"/>
      <c r="BO186" s="545"/>
      <c r="BP186" s="545"/>
      <c r="BQ186" s="545"/>
      <c r="BR186" s="546"/>
      <c r="BS186" s="544" t="s">
        <v>4</v>
      </c>
      <c r="BT186" s="545"/>
      <c r="BU186" s="545"/>
      <c r="BV186" s="545"/>
      <c r="BW186" s="545"/>
      <c r="BX186" s="545"/>
      <c r="BY186" s="545"/>
      <c r="BZ186" s="545"/>
      <c r="CA186" s="545"/>
      <c r="CB186" s="545"/>
      <c r="CC186" s="545"/>
      <c r="CD186" s="545"/>
      <c r="CE186" s="545"/>
      <c r="CF186" s="545"/>
      <c r="CG186" s="545"/>
      <c r="CH186" s="546"/>
      <c r="CI186" s="636">
        <f>CI184+CI185</f>
        <v>0</v>
      </c>
      <c r="CJ186" s="654"/>
      <c r="CK186" s="654"/>
      <c r="CL186" s="654"/>
      <c r="CM186" s="654"/>
      <c r="CN186" s="654"/>
      <c r="CO186" s="654"/>
      <c r="CP186" s="654"/>
      <c r="CQ186" s="654"/>
      <c r="CR186" s="654"/>
      <c r="CS186" s="654"/>
      <c r="CT186" s="654"/>
      <c r="CU186" s="654"/>
      <c r="CV186" s="654"/>
      <c r="CW186" s="654"/>
      <c r="CX186" s="654"/>
      <c r="CY186" s="654"/>
      <c r="CZ186" s="655"/>
      <c r="DA186" s="214"/>
    </row>
    <row r="187" spans="1:105" s="16" customFormat="1" ht="33.75" hidden="1" customHeight="1" x14ac:dyDescent="0.3">
      <c r="A187" s="648" t="s">
        <v>258</v>
      </c>
      <c r="B187" s="649"/>
      <c r="C187" s="649"/>
      <c r="D187" s="649"/>
      <c r="E187" s="649"/>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49"/>
      <c r="AY187" s="649"/>
      <c r="AZ187" s="649"/>
      <c r="BA187" s="649"/>
      <c r="BB187" s="649"/>
      <c r="BC187" s="649"/>
      <c r="BD187" s="649"/>
      <c r="BE187" s="649"/>
      <c r="BF187" s="649"/>
      <c r="BG187" s="649"/>
      <c r="BH187" s="649"/>
      <c r="BI187" s="649"/>
      <c r="BJ187" s="649"/>
      <c r="BK187" s="649"/>
      <c r="BL187" s="649"/>
      <c r="BM187" s="649"/>
      <c r="BN187" s="649"/>
      <c r="BO187" s="649"/>
      <c r="BP187" s="649"/>
      <c r="BQ187" s="649"/>
      <c r="BR187" s="649"/>
      <c r="BS187" s="649"/>
      <c r="BT187" s="649"/>
      <c r="BU187" s="649"/>
      <c r="BV187" s="649"/>
      <c r="BW187" s="649"/>
      <c r="BX187" s="649"/>
      <c r="BY187" s="649"/>
      <c r="BZ187" s="649"/>
      <c r="CA187" s="649"/>
      <c r="CB187" s="649"/>
      <c r="CC187" s="649"/>
      <c r="CD187" s="649"/>
      <c r="CE187" s="649"/>
      <c r="CF187" s="649"/>
      <c r="CG187" s="649"/>
      <c r="CH187" s="649"/>
      <c r="CI187" s="649"/>
      <c r="CJ187" s="649"/>
      <c r="CK187" s="649"/>
      <c r="CL187" s="649"/>
      <c r="CM187" s="649"/>
      <c r="CN187" s="649"/>
      <c r="CO187" s="649"/>
      <c r="CP187" s="649"/>
      <c r="CQ187" s="649"/>
      <c r="CR187" s="649"/>
      <c r="CS187" s="649"/>
      <c r="CT187" s="649"/>
      <c r="CU187" s="649"/>
      <c r="CV187" s="649"/>
      <c r="CW187" s="649"/>
      <c r="CX187" s="649"/>
      <c r="CY187" s="649"/>
      <c r="CZ187" s="649"/>
      <c r="DA187" s="214"/>
    </row>
    <row r="188" spans="1:105" s="16" customFormat="1" ht="33" hidden="1" customHeight="1" x14ac:dyDescent="0.3">
      <c r="A188" s="630"/>
      <c r="B188" s="631"/>
      <c r="C188" s="631"/>
      <c r="D188" s="631"/>
      <c r="E188" s="631"/>
      <c r="F188" s="631"/>
      <c r="G188" s="632"/>
      <c r="H188" s="584"/>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c r="AV188" s="585"/>
      <c r="AW188" s="585"/>
      <c r="AX188" s="585"/>
      <c r="AY188" s="585"/>
      <c r="AZ188" s="585"/>
      <c r="BA188" s="585"/>
      <c r="BB188" s="586"/>
      <c r="BC188" s="544"/>
      <c r="BD188" s="545"/>
      <c r="BE188" s="545"/>
      <c r="BF188" s="545"/>
      <c r="BG188" s="545"/>
      <c r="BH188" s="545"/>
      <c r="BI188" s="545"/>
      <c r="BJ188" s="545"/>
      <c r="BK188" s="545"/>
      <c r="BL188" s="545"/>
      <c r="BM188" s="545"/>
      <c r="BN188" s="545"/>
      <c r="BO188" s="545"/>
      <c r="BP188" s="545"/>
      <c r="BQ188" s="545"/>
      <c r="BR188" s="546"/>
      <c r="BS188" s="544"/>
      <c r="BT188" s="545"/>
      <c r="BU188" s="545"/>
      <c r="BV188" s="545"/>
      <c r="BW188" s="545"/>
      <c r="BX188" s="545"/>
      <c r="BY188" s="545"/>
      <c r="BZ188" s="545"/>
      <c r="CA188" s="545"/>
      <c r="CB188" s="545"/>
      <c r="CC188" s="545"/>
      <c r="CD188" s="545"/>
      <c r="CE188" s="545"/>
      <c r="CF188" s="545"/>
      <c r="CG188" s="545"/>
      <c r="CH188" s="546"/>
      <c r="CI188" s="544"/>
      <c r="CJ188" s="545"/>
      <c r="CK188" s="545"/>
      <c r="CL188" s="545"/>
      <c r="CM188" s="545"/>
      <c r="CN188" s="545"/>
      <c r="CO188" s="545"/>
      <c r="CP188" s="545"/>
      <c r="CQ188" s="545"/>
      <c r="CR188" s="545"/>
      <c r="CS188" s="545"/>
      <c r="CT188" s="545"/>
      <c r="CU188" s="545"/>
      <c r="CV188" s="545"/>
      <c r="CW188" s="545"/>
      <c r="CX188" s="545"/>
      <c r="CY188" s="545"/>
      <c r="CZ188" s="546"/>
      <c r="DA188" s="214"/>
    </row>
    <row r="189" spans="1:105" s="16" customFormat="1" ht="24" hidden="1" customHeight="1" x14ac:dyDescent="0.3">
      <c r="A189" s="633" t="s">
        <v>292</v>
      </c>
      <c r="B189" s="634"/>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34"/>
      <c r="AL189" s="634"/>
      <c r="AM189" s="634"/>
      <c r="AN189" s="634"/>
      <c r="AO189" s="634"/>
      <c r="AP189" s="634"/>
      <c r="AQ189" s="634"/>
      <c r="AR189" s="634"/>
      <c r="AS189" s="634"/>
      <c r="AT189" s="634"/>
      <c r="AU189" s="634"/>
      <c r="AV189" s="634"/>
      <c r="AW189" s="634"/>
      <c r="AX189" s="634"/>
      <c r="AY189" s="634"/>
      <c r="AZ189" s="634"/>
      <c r="BA189" s="634"/>
      <c r="BB189" s="635"/>
      <c r="BC189" s="544" t="s">
        <v>4</v>
      </c>
      <c r="BD189" s="545"/>
      <c r="BE189" s="545"/>
      <c r="BF189" s="545"/>
      <c r="BG189" s="545"/>
      <c r="BH189" s="545"/>
      <c r="BI189" s="545"/>
      <c r="BJ189" s="545"/>
      <c r="BK189" s="545"/>
      <c r="BL189" s="545"/>
      <c r="BM189" s="545"/>
      <c r="BN189" s="545"/>
      <c r="BO189" s="545"/>
      <c r="BP189" s="545"/>
      <c r="BQ189" s="545"/>
      <c r="BR189" s="546"/>
      <c r="BS189" s="544" t="s">
        <v>4</v>
      </c>
      <c r="BT189" s="545"/>
      <c r="BU189" s="545"/>
      <c r="BV189" s="545"/>
      <c r="BW189" s="545"/>
      <c r="BX189" s="545"/>
      <c r="BY189" s="545"/>
      <c r="BZ189" s="545"/>
      <c r="CA189" s="545"/>
      <c r="CB189" s="545"/>
      <c r="CC189" s="545"/>
      <c r="CD189" s="545"/>
      <c r="CE189" s="545"/>
      <c r="CF189" s="545"/>
      <c r="CG189" s="545"/>
      <c r="CH189" s="546"/>
      <c r="CI189" s="544"/>
      <c r="CJ189" s="545"/>
      <c r="CK189" s="545"/>
      <c r="CL189" s="545"/>
      <c r="CM189" s="545"/>
      <c r="CN189" s="545"/>
      <c r="CO189" s="545"/>
      <c r="CP189" s="545"/>
      <c r="CQ189" s="545"/>
      <c r="CR189" s="545"/>
      <c r="CS189" s="545"/>
      <c r="CT189" s="545"/>
      <c r="CU189" s="545"/>
      <c r="CV189" s="545"/>
      <c r="CW189" s="545"/>
      <c r="CX189" s="545"/>
      <c r="CY189" s="545"/>
      <c r="CZ189" s="546"/>
      <c r="DA189" s="214"/>
    </row>
    <row r="190" spans="1:105" s="16" customFormat="1" ht="15" hidden="1" customHeight="1" x14ac:dyDescent="0.3">
      <c r="A190" s="633" t="s">
        <v>56</v>
      </c>
      <c r="B190" s="634"/>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4"/>
      <c r="AY190" s="634"/>
      <c r="AZ190" s="634"/>
      <c r="BA190" s="634"/>
      <c r="BB190" s="635"/>
      <c r="BC190" s="544" t="s">
        <v>4</v>
      </c>
      <c r="BD190" s="545"/>
      <c r="BE190" s="545"/>
      <c r="BF190" s="545"/>
      <c r="BG190" s="545"/>
      <c r="BH190" s="545"/>
      <c r="BI190" s="545"/>
      <c r="BJ190" s="545"/>
      <c r="BK190" s="545"/>
      <c r="BL190" s="545"/>
      <c r="BM190" s="545"/>
      <c r="BN190" s="545"/>
      <c r="BO190" s="545"/>
      <c r="BP190" s="545"/>
      <c r="BQ190" s="545"/>
      <c r="BR190" s="546"/>
      <c r="BS190" s="544" t="s">
        <v>4</v>
      </c>
      <c r="BT190" s="545"/>
      <c r="BU190" s="545"/>
      <c r="BV190" s="545"/>
      <c r="BW190" s="545"/>
      <c r="BX190" s="545"/>
      <c r="BY190" s="545"/>
      <c r="BZ190" s="545"/>
      <c r="CA190" s="545"/>
      <c r="CB190" s="545"/>
      <c r="CC190" s="545"/>
      <c r="CD190" s="545"/>
      <c r="CE190" s="545"/>
      <c r="CF190" s="545"/>
      <c r="CG190" s="545"/>
      <c r="CH190" s="546"/>
      <c r="CI190" s="636">
        <f>CI186</f>
        <v>0</v>
      </c>
      <c r="CJ190" s="637"/>
      <c r="CK190" s="637"/>
      <c r="CL190" s="637"/>
      <c r="CM190" s="637"/>
      <c r="CN190" s="637"/>
      <c r="CO190" s="637"/>
      <c r="CP190" s="637"/>
      <c r="CQ190" s="637"/>
      <c r="CR190" s="637"/>
      <c r="CS190" s="637"/>
      <c r="CT190" s="637"/>
      <c r="CU190" s="637"/>
      <c r="CV190" s="637"/>
      <c r="CW190" s="637"/>
      <c r="CX190" s="637"/>
      <c r="CY190" s="637"/>
      <c r="CZ190" s="638"/>
      <c r="DA190" s="238"/>
    </row>
    <row r="191" spans="1:105" s="17" customFormat="1" ht="13.5" hidden="1" customHeight="1" x14ac:dyDescent="0.25">
      <c r="A191" s="221"/>
      <c r="B191" s="221"/>
      <c r="C191" s="221"/>
      <c r="D191" s="221"/>
      <c r="E191" s="221"/>
      <c r="F191" s="22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9"/>
      <c r="CM191" s="45"/>
      <c r="CN191" s="45"/>
      <c r="CO191" s="45"/>
      <c r="CP191" s="45"/>
      <c r="CQ191" s="45"/>
      <c r="CR191" s="45"/>
      <c r="CS191" s="45"/>
      <c r="CT191" s="45"/>
      <c r="CU191" s="45"/>
      <c r="CV191" s="45"/>
      <c r="CW191" s="45"/>
      <c r="CX191" s="45"/>
      <c r="CY191" s="45"/>
      <c r="CZ191" s="45"/>
      <c r="DA191" s="232"/>
    </row>
    <row r="192" spans="1:105" s="17" customFormat="1" ht="13.5" customHeight="1" x14ac:dyDescent="0.25">
      <c r="A192" s="594" t="s">
        <v>277</v>
      </c>
      <c r="B192" s="594"/>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4"/>
      <c r="AP192" s="594"/>
      <c r="AQ192" s="594"/>
      <c r="AR192" s="594"/>
      <c r="AS192" s="594"/>
      <c r="AT192" s="594"/>
      <c r="AU192" s="594"/>
      <c r="AV192" s="594"/>
      <c r="AW192" s="594"/>
      <c r="AX192" s="594"/>
      <c r="AY192" s="594"/>
      <c r="AZ192" s="594"/>
      <c r="BA192" s="594"/>
      <c r="BB192" s="594"/>
      <c r="BC192" s="594"/>
      <c r="BD192" s="594"/>
      <c r="BE192" s="59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232"/>
    </row>
    <row r="193" spans="1:105" s="17" customFormat="1" ht="13.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32"/>
    </row>
    <row r="194" spans="1:105" s="17" customFormat="1" ht="27" customHeight="1" x14ac:dyDescent="0.25">
      <c r="A194" s="524" t="s">
        <v>288</v>
      </c>
      <c r="B194" s="524"/>
      <c r="C194" s="524"/>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4"/>
      <c r="AL194" s="524"/>
      <c r="AM194" s="524"/>
      <c r="AN194" s="524"/>
      <c r="AO194" s="524"/>
      <c r="AP194" s="524"/>
      <c r="AQ194" s="524"/>
      <c r="AR194" s="524"/>
      <c r="AS194" s="524"/>
      <c r="AT194" s="524"/>
      <c r="AU194" s="524"/>
      <c r="AV194" s="524"/>
      <c r="AW194" s="524"/>
      <c r="AX194" s="524"/>
      <c r="AY194" s="524"/>
      <c r="AZ194" s="524"/>
      <c r="BA194" s="524"/>
      <c r="BB194" s="524"/>
      <c r="BC194" s="524"/>
      <c r="BD194" s="524"/>
      <c r="BE194" s="524"/>
      <c r="BF194" s="524"/>
      <c r="BG194" s="524"/>
      <c r="BH194" s="524"/>
      <c r="BI194" s="524"/>
      <c r="BJ194" s="524"/>
      <c r="BK194" s="524"/>
      <c r="BL194" s="524"/>
      <c r="BM194" s="524"/>
      <c r="BN194" s="524"/>
      <c r="BO194" s="524"/>
      <c r="BP194" s="524"/>
      <c r="BQ194" s="524"/>
      <c r="BR194" s="524"/>
      <c r="BS194" s="524"/>
      <c r="BT194" s="524"/>
      <c r="BU194" s="524"/>
      <c r="BV194" s="524"/>
      <c r="BW194" s="524"/>
      <c r="BX194" s="524"/>
      <c r="BY194" s="524"/>
      <c r="BZ194" s="524"/>
      <c r="CA194" s="524"/>
      <c r="CB194" s="524"/>
      <c r="CC194" s="524"/>
      <c r="CD194" s="524"/>
      <c r="CE194" s="524"/>
      <c r="CF194" s="524"/>
      <c r="CG194" s="524"/>
      <c r="CH194" s="524"/>
      <c r="CI194" s="524"/>
      <c r="CJ194" s="524"/>
      <c r="CK194" s="524"/>
      <c r="CL194" s="524"/>
      <c r="CM194" s="524"/>
      <c r="CN194" s="524"/>
      <c r="CO194" s="524"/>
      <c r="CP194" s="524"/>
      <c r="CQ194" s="524"/>
      <c r="CR194" s="524"/>
      <c r="CS194" s="524"/>
      <c r="CT194" s="524"/>
      <c r="CU194" s="524"/>
      <c r="CV194" s="524"/>
      <c r="CW194" s="524"/>
      <c r="CX194" s="524"/>
      <c r="CY194" s="524"/>
      <c r="CZ194" s="524"/>
      <c r="DA194" s="235"/>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32"/>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95" t="s">
        <v>466</v>
      </c>
      <c r="X196" s="595"/>
      <c r="Y196" s="595"/>
      <c r="Z196" s="595"/>
      <c r="AA196" s="595"/>
      <c r="AB196" s="595"/>
      <c r="AC196" s="595"/>
      <c r="AD196" s="595"/>
      <c r="AE196" s="595"/>
      <c r="AF196" s="595"/>
      <c r="AG196" s="595"/>
      <c r="AH196" s="595"/>
      <c r="AI196" s="595"/>
      <c r="AJ196" s="595"/>
      <c r="AK196" s="595"/>
      <c r="AL196" s="595"/>
      <c r="AM196" s="595"/>
      <c r="AN196" s="595"/>
      <c r="AO196" s="595"/>
      <c r="AP196" s="595"/>
      <c r="AQ196" s="595"/>
      <c r="AR196" s="595"/>
      <c r="AS196" s="595"/>
      <c r="AT196" s="595"/>
      <c r="AU196" s="595"/>
      <c r="AV196" s="595"/>
      <c r="AW196" s="595"/>
      <c r="AX196" s="595"/>
      <c r="AY196" s="595"/>
      <c r="AZ196" s="595"/>
      <c r="BA196" s="595"/>
      <c r="BB196" s="595"/>
      <c r="BC196" s="595"/>
      <c r="BD196" s="595"/>
      <c r="BE196" s="595"/>
      <c r="BF196" s="595"/>
      <c r="BG196" s="595"/>
      <c r="BH196" s="595"/>
      <c r="BI196" s="595"/>
      <c r="BJ196" s="595"/>
      <c r="BK196" s="595"/>
      <c r="BL196" s="595"/>
      <c r="BM196" s="595"/>
      <c r="BN196" s="595"/>
      <c r="BO196" s="595"/>
      <c r="BP196" s="595"/>
      <c r="BQ196" s="595"/>
      <c r="BR196" s="595"/>
      <c r="BS196" s="595"/>
      <c r="BT196" s="595"/>
      <c r="BU196" s="595"/>
      <c r="BV196" s="595"/>
      <c r="BW196" s="595"/>
      <c r="BX196" s="595"/>
      <c r="BY196" s="595"/>
      <c r="BZ196" s="595"/>
      <c r="CA196" s="595"/>
      <c r="CB196" s="595"/>
      <c r="CC196" s="595"/>
      <c r="CD196" s="595"/>
      <c r="CE196" s="595"/>
      <c r="CF196" s="595"/>
      <c r="CG196" s="595"/>
      <c r="CH196" s="595"/>
      <c r="CI196" s="595"/>
      <c r="CJ196" s="595"/>
      <c r="CK196" s="595"/>
      <c r="CL196" s="595"/>
      <c r="CM196" s="595"/>
      <c r="CN196" s="595"/>
      <c r="CO196" s="595"/>
      <c r="CP196" s="595"/>
      <c r="CQ196" s="595"/>
      <c r="CR196" s="595"/>
      <c r="CS196" s="595"/>
      <c r="CT196" s="595"/>
      <c r="CU196" s="595"/>
      <c r="CV196" s="595"/>
      <c r="CW196" s="595"/>
      <c r="CX196" s="595"/>
      <c r="CY196" s="595"/>
      <c r="CZ196" s="595"/>
      <c r="DA196" s="239">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32"/>
    </row>
    <row r="198" spans="1:105" s="17" customFormat="1" ht="13.5" customHeight="1" x14ac:dyDescent="0.25">
      <c r="A198" s="475" t="s">
        <v>49</v>
      </c>
      <c r="B198" s="476"/>
      <c r="C198" s="476"/>
      <c r="D198" s="476"/>
      <c r="E198" s="476"/>
      <c r="F198" s="476"/>
      <c r="G198" s="477"/>
      <c r="H198" s="475" t="s">
        <v>0</v>
      </c>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6"/>
      <c r="AY198" s="476"/>
      <c r="AZ198" s="476"/>
      <c r="BA198" s="476"/>
      <c r="BB198" s="477"/>
      <c r="BC198" s="606" t="s">
        <v>75</v>
      </c>
      <c r="BD198" s="606"/>
      <c r="BE198" s="606"/>
      <c r="BF198" s="606"/>
      <c r="BG198" s="606"/>
      <c r="BH198" s="606"/>
      <c r="BI198" s="606"/>
      <c r="BJ198" s="606"/>
      <c r="BK198" s="606"/>
      <c r="BL198" s="606"/>
      <c r="BM198" s="606"/>
      <c r="BN198" s="606"/>
      <c r="BO198" s="606"/>
      <c r="BP198" s="606"/>
      <c r="BQ198" s="606"/>
      <c r="BR198" s="606"/>
      <c r="BS198" s="606" t="s">
        <v>76</v>
      </c>
      <c r="BT198" s="606"/>
      <c r="BU198" s="606"/>
      <c r="BV198" s="606"/>
      <c r="BW198" s="606"/>
      <c r="BX198" s="606"/>
      <c r="BY198" s="606"/>
      <c r="BZ198" s="606"/>
      <c r="CA198" s="606"/>
      <c r="CB198" s="606"/>
      <c r="CC198" s="606"/>
      <c r="CD198" s="606"/>
      <c r="CE198" s="606"/>
      <c r="CF198" s="606"/>
      <c r="CG198" s="606"/>
      <c r="CH198" s="606"/>
      <c r="CI198" s="606" t="s">
        <v>77</v>
      </c>
      <c r="CJ198" s="606"/>
      <c r="CK198" s="606"/>
      <c r="CL198" s="606"/>
      <c r="CM198" s="606"/>
      <c r="CN198" s="606"/>
      <c r="CO198" s="606"/>
      <c r="CP198" s="606"/>
      <c r="CQ198" s="606"/>
      <c r="CR198" s="606"/>
      <c r="CS198" s="606"/>
      <c r="CT198" s="606"/>
      <c r="CU198" s="606"/>
      <c r="CV198" s="606"/>
      <c r="CW198" s="606"/>
      <c r="CX198" s="606"/>
      <c r="CY198" s="606"/>
      <c r="CZ198" s="606"/>
      <c r="DA198" s="232"/>
    </row>
    <row r="199" spans="1:105" s="17" customFormat="1" ht="13.5" customHeight="1" x14ac:dyDescent="0.25">
      <c r="A199" s="591">
        <v>1</v>
      </c>
      <c r="B199" s="591"/>
      <c r="C199" s="591"/>
      <c r="D199" s="591"/>
      <c r="E199" s="591"/>
      <c r="F199" s="591"/>
      <c r="G199" s="591"/>
      <c r="H199" s="591">
        <v>2</v>
      </c>
      <c r="I199" s="591"/>
      <c r="J199" s="591"/>
      <c r="K199" s="591"/>
      <c r="L199" s="591"/>
      <c r="M199" s="591"/>
      <c r="N199" s="591"/>
      <c r="O199" s="591"/>
      <c r="P199" s="591"/>
      <c r="Q199" s="591"/>
      <c r="R199" s="591"/>
      <c r="S199" s="591"/>
      <c r="T199" s="591"/>
      <c r="U199" s="591"/>
      <c r="V199" s="591"/>
      <c r="W199" s="591"/>
      <c r="X199" s="591"/>
      <c r="Y199" s="591"/>
      <c r="Z199" s="591"/>
      <c r="AA199" s="591"/>
      <c r="AB199" s="591"/>
      <c r="AC199" s="591"/>
      <c r="AD199" s="591"/>
      <c r="AE199" s="591"/>
      <c r="AF199" s="591"/>
      <c r="AG199" s="591"/>
      <c r="AH199" s="591"/>
      <c r="AI199" s="591"/>
      <c r="AJ199" s="591"/>
      <c r="AK199" s="591"/>
      <c r="AL199" s="591"/>
      <c r="AM199" s="591"/>
      <c r="AN199" s="591"/>
      <c r="AO199" s="591"/>
      <c r="AP199" s="591"/>
      <c r="AQ199" s="591"/>
      <c r="AR199" s="591"/>
      <c r="AS199" s="591"/>
      <c r="AT199" s="591"/>
      <c r="AU199" s="591"/>
      <c r="AV199" s="591"/>
      <c r="AW199" s="591"/>
      <c r="AX199" s="591"/>
      <c r="AY199" s="591"/>
      <c r="AZ199" s="591"/>
      <c r="BA199" s="591"/>
      <c r="BB199" s="591"/>
      <c r="BC199" s="591">
        <v>3</v>
      </c>
      <c r="BD199" s="591"/>
      <c r="BE199" s="591"/>
      <c r="BF199" s="591"/>
      <c r="BG199" s="591"/>
      <c r="BH199" s="591"/>
      <c r="BI199" s="591"/>
      <c r="BJ199" s="591"/>
      <c r="BK199" s="591"/>
      <c r="BL199" s="591"/>
      <c r="BM199" s="591"/>
      <c r="BN199" s="591"/>
      <c r="BO199" s="591"/>
      <c r="BP199" s="591"/>
      <c r="BQ199" s="591"/>
      <c r="BR199" s="591"/>
      <c r="BS199" s="591">
        <v>4</v>
      </c>
      <c r="BT199" s="591"/>
      <c r="BU199" s="591"/>
      <c r="BV199" s="591"/>
      <c r="BW199" s="591"/>
      <c r="BX199" s="591"/>
      <c r="BY199" s="591"/>
      <c r="BZ199" s="591"/>
      <c r="CA199" s="591"/>
      <c r="CB199" s="591"/>
      <c r="CC199" s="591"/>
      <c r="CD199" s="591"/>
      <c r="CE199" s="591"/>
      <c r="CF199" s="591"/>
      <c r="CG199" s="591"/>
      <c r="CH199" s="591"/>
      <c r="CI199" s="591">
        <v>5</v>
      </c>
      <c r="CJ199" s="591"/>
      <c r="CK199" s="591"/>
      <c r="CL199" s="591"/>
      <c r="CM199" s="591"/>
      <c r="CN199" s="591"/>
      <c r="CO199" s="591"/>
      <c r="CP199" s="591"/>
      <c r="CQ199" s="591"/>
      <c r="CR199" s="591"/>
      <c r="CS199" s="591"/>
      <c r="CT199" s="591"/>
      <c r="CU199" s="591"/>
      <c r="CV199" s="591"/>
      <c r="CW199" s="591"/>
      <c r="CX199" s="591"/>
      <c r="CY199" s="591"/>
      <c r="CZ199" s="591"/>
      <c r="DA199" s="232"/>
    </row>
    <row r="200" spans="1:105" s="17" customFormat="1" ht="13.5" customHeight="1" x14ac:dyDescent="0.25">
      <c r="A200" s="648" t="s">
        <v>569</v>
      </c>
      <c r="B200" s="649"/>
      <c r="C200" s="649"/>
      <c r="D200" s="649"/>
      <c r="E200" s="649"/>
      <c r="F200" s="649"/>
      <c r="G200" s="649"/>
      <c r="H200" s="649"/>
      <c r="I200" s="649"/>
      <c r="J200" s="649"/>
      <c r="K200" s="649"/>
      <c r="L200" s="649"/>
      <c r="M200" s="649"/>
      <c r="N200" s="649"/>
      <c r="O200" s="649"/>
      <c r="P200" s="649"/>
      <c r="Q200" s="649"/>
      <c r="R200" s="649"/>
      <c r="S200" s="649"/>
      <c r="T200" s="649"/>
      <c r="U200" s="649"/>
      <c r="V200" s="649"/>
      <c r="W200" s="649"/>
      <c r="X200" s="649"/>
      <c r="Y200" s="649"/>
      <c r="Z200" s="649"/>
      <c r="AA200" s="649"/>
      <c r="AB200" s="649"/>
      <c r="AC200" s="649"/>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649"/>
      <c r="AY200" s="649"/>
      <c r="AZ200" s="649"/>
      <c r="BA200" s="649"/>
      <c r="BB200" s="649"/>
      <c r="BC200" s="649"/>
      <c r="BD200" s="649"/>
      <c r="BE200" s="649"/>
      <c r="BF200" s="649"/>
      <c r="BG200" s="649"/>
      <c r="BH200" s="649"/>
      <c r="BI200" s="649"/>
      <c r="BJ200" s="649"/>
      <c r="BK200" s="649"/>
      <c r="BL200" s="649"/>
      <c r="BM200" s="649"/>
      <c r="BN200" s="649"/>
      <c r="BO200" s="649"/>
      <c r="BP200" s="649"/>
      <c r="BQ200" s="649"/>
      <c r="BR200" s="649"/>
      <c r="BS200" s="649"/>
      <c r="BT200" s="649"/>
      <c r="BU200" s="649"/>
      <c r="BV200" s="649"/>
      <c r="BW200" s="649"/>
      <c r="BX200" s="649"/>
      <c r="BY200" s="649"/>
      <c r="BZ200" s="649"/>
      <c r="CA200" s="649"/>
      <c r="CB200" s="649"/>
      <c r="CC200" s="649"/>
      <c r="CD200" s="649"/>
      <c r="CE200" s="649"/>
      <c r="CF200" s="649"/>
      <c r="CG200" s="649"/>
      <c r="CH200" s="649"/>
      <c r="CI200" s="649"/>
      <c r="CJ200" s="649"/>
      <c r="CK200" s="649"/>
      <c r="CL200" s="649"/>
      <c r="CM200" s="649"/>
      <c r="CN200" s="649"/>
      <c r="CO200" s="649"/>
      <c r="CP200" s="649"/>
      <c r="CQ200" s="649"/>
      <c r="CR200" s="649"/>
      <c r="CS200" s="649"/>
      <c r="CT200" s="649"/>
      <c r="CU200" s="649"/>
      <c r="CV200" s="649"/>
      <c r="CW200" s="649"/>
      <c r="CX200" s="649"/>
      <c r="CY200" s="649"/>
      <c r="CZ200" s="649"/>
      <c r="DA200" s="232"/>
    </row>
    <row r="201" spans="1:105" s="17" customFormat="1" ht="13.5" customHeight="1" x14ac:dyDescent="0.25">
      <c r="A201" s="630" t="s">
        <v>441</v>
      </c>
      <c r="B201" s="631"/>
      <c r="C201" s="631"/>
      <c r="D201" s="631"/>
      <c r="E201" s="631"/>
      <c r="F201" s="631"/>
      <c r="G201" s="632"/>
      <c r="H201" s="584" t="s">
        <v>570</v>
      </c>
      <c r="I201" s="585"/>
      <c r="J201" s="585"/>
      <c r="K201" s="585"/>
      <c r="L201" s="585"/>
      <c r="M201" s="585"/>
      <c r="N201" s="585"/>
      <c r="O201" s="585"/>
      <c r="P201" s="585"/>
      <c r="Q201" s="585"/>
      <c r="R201" s="585"/>
      <c r="S201" s="585"/>
      <c r="T201" s="585"/>
      <c r="U201" s="585"/>
      <c r="V201" s="585"/>
      <c r="W201" s="585"/>
      <c r="X201" s="585"/>
      <c r="Y201" s="585"/>
      <c r="Z201" s="585"/>
      <c r="AA201" s="585"/>
      <c r="AB201" s="585"/>
      <c r="AC201" s="585"/>
      <c r="AD201" s="585"/>
      <c r="AE201" s="585"/>
      <c r="AF201" s="585"/>
      <c r="AG201" s="585"/>
      <c r="AH201" s="585"/>
      <c r="AI201" s="585"/>
      <c r="AJ201" s="585"/>
      <c r="AK201" s="585"/>
      <c r="AL201" s="585"/>
      <c r="AM201" s="585"/>
      <c r="AN201" s="585"/>
      <c r="AO201" s="585"/>
      <c r="AP201" s="585"/>
      <c r="AQ201" s="585"/>
      <c r="AR201" s="585"/>
      <c r="AS201" s="585"/>
      <c r="AT201" s="585"/>
      <c r="AU201" s="585"/>
      <c r="AV201" s="585"/>
      <c r="AW201" s="585"/>
      <c r="AX201" s="585"/>
      <c r="AY201" s="585"/>
      <c r="AZ201" s="585"/>
      <c r="BA201" s="585"/>
      <c r="BB201" s="586"/>
      <c r="BC201" s="627">
        <v>4000</v>
      </c>
      <c r="BD201" s="628"/>
      <c r="BE201" s="628"/>
      <c r="BF201" s="628"/>
      <c r="BG201" s="628"/>
      <c r="BH201" s="628"/>
      <c r="BI201" s="628"/>
      <c r="BJ201" s="628"/>
      <c r="BK201" s="628"/>
      <c r="BL201" s="628"/>
      <c r="BM201" s="628"/>
      <c r="BN201" s="628"/>
      <c r="BO201" s="628"/>
      <c r="BP201" s="628"/>
      <c r="BQ201" s="628"/>
      <c r="BR201" s="629"/>
      <c r="BS201" s="544">
        <v>100</v>
      </c>
      <c r="BT201" s="545"/>
      <c r="BU201" s="545"/>
      <c r="BV201" s="545"/>
      <c r="BW201" s="545"/>
      <c r="BX201" s="545"/>
      <c r="BY201" s="545"/>
      <c r="BZ201" s="545"/>
      <c r="CA201" s="545"/>
      <c r="CB201" s="545"/>
      <c r="CC201" s="545"/>
      <c r="CD201" s="545"/>
      <c r="CE201" s="545"/>
      <c r="CF201" s="545"/>
      <c r="CG201" s="545"/>
      <c r="CH201" s="546"/>
      <c r="CI201" s="627">
        <f>BC201*BS201</f>
        <v>400000</v>
      </c>
      <c r="CJ201" s="628"/>
      <c r="CK201" s="628"/>
      <c r="CL201" s="628"/>
      <c r="CM201" s="628"/>
      <c r="CN201" s="628"/>
      <c r="CO201" s="628"/>
      <c r="CP201" s="628"/>
      <c r="CQ201" s="628"/>
      <c r="CR201" s="628"/>
      <c r="CS201" s="628"/>
      <c r="CT201" s="628"/>
      <c r="CU201" s="628"/>
      <c r="CV201" s="628"/>
      <c r="CW201" s="628"/>
      <c r="CX201" s="628"/>
      <c r="CY201" s="628"/>
      <c r="CZ201" s="629"/>
      <c r="DA201" s="232"/>
    </row>
    <row r="202" spans="1:105" s="17" customFormat="1" ht="13.5" customHeight="1" x14ac:dyDescent="0.25">
      <c r="A202" s="633" t="s">
        <v>292</v>
      </c>
      <c r="B202" s="634"/>
      <c r="C202" s="634"/>
      <c r="D202" s="63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34"/>
      <c r="AL202" s="634"/>
      <c r="AM202" s="634"/>
      <c r="AN202" s="634"/>
      <c r="AO202" s="634"/>
      <c r="AP202" s="634"/>
      <c r="AQ202" s="634"/>
      <c r="AR202" s="634"/>
      <c r="AS202" s="634"/>
      <c r="AT202" s="634"/>
      <c r="AU202" s="634"/>
      <c r="AV202" s="634"/>
      <c r="AW202" s="634"/>
      <c r="AX202" s="634"/>
      <c r="AY202" s="634"/>
      <c r="AZ202" s="634"/>
      <c r="BA202" s="634"/>
      <c r="BB202" s="635"/>
      <c r="BC202" s="544" t="s">
        <v>4</v>
      </c>
      <c r="BD202" s="545"/>
      <c r="BE202" s="545"/>
      <c r="BF202" s="545"/>
      <c r="BG202" s="545"/>
      <c r="BH202" s="545"/>
      <c r="BI202" s="545"/>
      <c r="BJ202" s="545"/>
      <c r="BK202" s="545"/>
      <c r="BL202" s="545"/>
      <c r="BM202" s="545"/>
      <c r="BN202" s="545"/>
      <c r="BO202" s="545"/>
      <c r="BP202" s="545"/>
      <c r="BQ202" s="545"/>
      <c r="BR202" s="546"/>
      <c r="BS202" s="544" t="s">
        <v>4</v>
      </c>
      <c r="BT202" s="545"/>
      <c r="BU202" s="545"/>
      <c r="BV202" s="545"/>
      <c r="BW202" s="545"/>
      <c r="BX202" s="545"/>
      <c r="BY202" s="545"/>
      <c r="BZ202" s="545"/>
      <c r="CA202" s="545"/>
      <c r="CB202" s="545"/>
      <c r="CC202" s="545"/>
      <c r="CD202" s="545"/>
      <c r="CE202" s="545"/>
      <c r="CF202" s="545"/>
      <c r="CG202" s="545"/>
      <c r="CH202" s="546"/>
      <c r="CI202" s="636">
        <f>CI201</f>
        <v>400000</v>
      </c>
      <c r="CJ202" s="654"/>
      <c r="CK202" s="654"/>
      <c r="CL202" s="654"/>
      <c r="CM202" s="654"/>
      <c r="CN202" s="654"/>
      <c r="CO202" s="654"/>
      <c r="CP202" s="654"/>
      <c r="CQ202" s="654"/>
      <c r="CR202" s="654"/>
      <c r="CS202" s="654"/>
      <c r="CT202" s="654"/>
      <c r="CU202" s="654"/>
      <c r="CV202" s="654"/>
      <c r="CW202" s="654"/>
      <c r="CX202" s="654"/>
      <c r="CY202" s="654"/>
      <c r="CZ202" s="655"/>
      <c r="DA202" s="232"/>
    </row>
    <row r="203" spans="1:105" s="17" customFormat="1" ht="13.5" customHeight="1" x14ac:dyDescent="0.25">
      <c r="A203" s="633" t="s">
        <v>56</v>
      </c>
      <c r="B203" s="634"/>
      <c r="C203" s="634"/>
      <c r="D203" s="63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4"/>
      <c r="AY203" s="634"/>
      <c r="AZ203" s="634"/>
      <c r="BA203" s="634"/>
      <c r="BB203" s="635"/>
      <c r="BC203" s="544" t="s">
        <v>4</v>
      </c>
      <c r="BD203" s="545"/>
      <c r="BE203" s="545"/>
      <c r="BF203" s="545"/>
      <c r="BG203" s="545"/>
      <c r="BH203" s="545"/>
      <c r="BI203" s="545"/>
      <c r="BJ203" s="545"/>
      <c r="BK203" s="545"/>
      <c r="BL203" s="545"/>
      <c r="BM203" s="545"/>
      <c r="BN203" s="545"/>
      <c r="BO203" s="545"/>
      <c r="BP203" s="545"/>
      <c r="BQ203" s="545"/>
      <c r="BR203" s="546"/>
      <c r="BS203" s="544" t="s">
        <v>4</v>
      </c>
      <c r="BT203" s="545"/>
      <c r="BU203" s="545"/>
      <c r="BV203" s="545"/>
      <c r="BW203" s="545"/>
      <c r="BX203" s="545"/>
      <c r="BY203" s="545"/>
      <c r="BZ203" s="545"/>
      <c r="CA203" s="545"/>
      <c r="CB203" s="545"/>
      <c r="CC203" s="545"/>
      <c r="CD203" s="545"/>
      <c r="CE203" s="545"/>
      <c r="CF203" s="545"/>
      <c r="CG203" s="545"/>
      <c r="CH203" s="546"/>
      <c r="CI203" s="636">
        <f>CI202</f>
        <v>400000</v>
      </c>
      <c r="CJ203" s="637"/>
      <c r="CK203" s="637"/>
      <c r="CL203" s="637"/>
      <c r="CM203" s="637"/>
      <c r="CN203" s="637"/>
      <c r="CO203" s="637"/>
      <c r="CP203" s="637"/>
      <c r="CQ203" s="637"/>
      <c r="CR203" s="637"/>
      <c r="CS203" s="637"/>
      <c r="CT203" s="637"/>
      <c r="CU203" s="637"/>
      <c r="CV203" s="637"/>
      <c r="CW203" s="637"/>
      <c r="CX203" s="637"/>
      <c r="CY203" s="637"/>
      <c r="CZ203" s="638"/>
      <c r="DA203" s="232"/>
    </row>
    <row r="204" spans="1:105" s="17" customFormat="1" ht="13.5" customHeight="1" x14ac:dyDescent="0.25">
      <c r="A204" s="221"/>
      <c r="B204" s="221"/>
      <c r="C204" s="221"/>
      <c r="D204" s="221"/>
      <c r="E204" s="221"/>
      <c r="F204" s="221"/>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9"/>
      <c r="CM204" s="45"/>
      <c r="CN204" s="45"/>
      <c r="CO204" s="45"/>
      <c r="CP204" s="45"/>
      <c r="CQ204" s="45"/>
      <c r="CR204" s="45"/>
      <c r="CS204" s="45"/>
      <c r="CT204" s="45"/>
      <c r="CU204" s="45"/>
      <c r="CV204" s="45"/>
      <c r="CW204" s="45"/>
      <c r="CX204" s="45"/>
      <c r="CY204" s="45"/>
      <c r="CZ204" s="45"/>
      <c r="DA204" s="232"/>
    </row>
    <row r="205" spans="1:105" s="20" customFormat="1" ht="29.25" hidden="1" customHeight="1" x14ac:dyDescent="0.25">
      <c r="A205" s="524" t="s">
        <v>289</v>
      </c>
      <c r="B205" s="524"/>
      <c r="C205" s="524"/>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c r="AP205" s="524"/>
      <c r="AQ205" s="524"/>
      <c r="AR205" s="524"/>
      <c r="AS205" s="524"/>
      <c r="AT205" s="524"/>
      <c r="AU205" s="524"/>
      <c r="AV205" s="524"/>
      <c r="AW205" s="524"/>
      <c r="AX205" s="524"/>
      <c r="AY205" s="524"/>
      <c r="AZ205" s="524"/>
      <c r="BA205" s="524"/>
      <c r="BB205" s="524"/>
      <c r="BC205" s="524"/>
      <c r="BD205" s="524"/>
      <c r="BE205" s="524"/>
      <c r="BF205" s="524"/>
      <c r="BG205" s="524"/>
      <c r="BH205" s="524"/>
      <c r="BI205" s="524"/>
      <c r="BJ205" s="524"/>
      <c r="BK205" s="524"/>
      <c r="BL205" s="524"/>
      <c r="BM205" s="524"/>
      <c r="BN205" s="524"/>
      <c r="BO205" s="524"/>
      <c r="BP205" s="524"/>
      <c r="BQ205" s="524"/>
      <c r="BR205" s="524"/>
      <c r="BS205" s="524"/>
      <c r="BT205" s="524"/>
      <c r="BU205" s="524"/>
      <c r="BV205" s="524"/>
      <c r="BW205" s="524"/>
      <c r="BX205" s="524"/>
      <c r="BY205" s="524"/>
      <c r="BZ205" s="524"/>
      <c r="CA205" s="524"/>
      <c r="CB205" s="524"/>
      <c r="CC205" s="524"/>
      <c r="CD205" s="524"/>
      <c r="CE205" s="524"/>
      <c r="CF205" s="524"/>
      <c r="CG205" s="524"/>
      <c r="CH205" s="524"/>
      <c r="CI205" s="524"/>
      <c r="CJ205" s="524"/>
      <c r="CK205" s="524"/>
      <c r="CL205" s="524"/>
      <c r="CM205" s="524"/>
      <c r="CN205" s="524"/>
      <c r="CO205" s="524"/>
      <c r="CP205" s="524"/>
      <c r="CQ205" s="524"/>
      <c r="CR205" s="524"/>
      <c r="CS205" s="524"/>
      <c r="CT205" s="524"/>
      <c r="CU205" s="524"/>
      <c r="CV205" s="524"/>
      <c r="CW205" s="524"/>
      <c r="CX205" s="524"/>
      <c r="CY205" s="524"/>
      <c r="CZ205" s="524"/>
    </row>
    <row r="206" spans="1:105" ht="11.25" hidden="1" customHeight="1" x14ac:dyDescent="0.25"/>
    <row r="207" spans="1:105" s="20" customFormat="1" hidden="1" x14ac:dyDescent="0.25">
      <c r="A207" s="20" t="s">
        <v>47</v>
      </c>
      <c r="W207" s="595" t="s">
        <v>572</v>
      </c>
      <c r="X207" s="595"/>
      <c r="Y207" s="595"/>
      <c r="Z207" s="595"/>
      <c r="AA207" s="595"/>
      <c r="AB207" s="595"/>
      <c r="AC207" s="595"/>
      <c r="AD207" s="595"/>
      <c r="AE207" s="595"/>
      <c r="AF207" s="595"/>
      <c r="AG207" s="595"/>
      <c r="AH207" s="595"/>
      <c r="AI207" s="595"/>
      <c r="AJ207" s="595"/>
      <c r="AK207" s="595"/>
      <c r="AL207" s="595"/>
      <c r="AM207" s="595"/>
      <c r="AN207" s="595"/>
      <c r="AO207" s="595"/>
      <c r="AP207" s="595"/>
      <c r="AQ207" s="595"/>
      <c r="AR207" s="595"/>
      <c r="AS207" s="595"/>
      <c r="AT207" s="595"/>
      <c r="AU207" s="595"/>
      <c r="AV207" s="595"/>
      <c r="AW207" s="595"/>
      <c r="AX207" s="595"/>
      <c r="AY207" s="595"/>
      <c r="AZ207" s="595"/>
      <c r="BA207" s="595"/>
      <c r="BB207" s="595"/>
      <c r="BC207" s="595"/>
      <c r="BD207" s="595"/>
      <c r="BE207" s="595"/>
      <c r="BF207" s="595"/>
      <c r="BG207" s="595"/>
      <c r="BH207" s="595"/>
      <c r="BI207" s="595"/>
      <c r="BJ207" s="595"/>
      <c r="BK207" s="595"/>
      <c r="BL207" s="595"/>
      <c r="BM207" s="595"/>
      <c r="BN207" s="595"/>
      <c r="BO207" s="595"/>
      <c r="BP207" s="595"/>
      <c r="BQ207" s="595"/>
      <c r="BR207" s="595"/>
      <c r="BS207" s="595"/>
      <c r="BT207" s="595"/>
      <c r="BU207" s="595"/>
      <c r="BV207" s="595"/>
      <c r="BW207" s="595"/>
      <c r="BX207" s="595"/>
      <c r="BY207" s="595"/>
      <c r="BZ207" s="595"/>
      <c r="CA207" s="595"/>
      <c r="CB207" s="595"/>
      <c r="CC207" s="595"/>
      <c r="CD207" s="595"/>
      <c r="CE207" s="595"/>
      <c r="CF207" s="595"/>
      <c r="CG207" s="595"/>
      <c r="CH207" s="595"/>
      <c r="CI207" s="595"/>
      <c r="CJ207" s="595"/>
      <c r="CK207" s="595"/>
      <c r="CL207" s="595"/>
      <c r="CM207" s="595"/>
      <c r="CN207" s="595"/>
      <c r="CO207" s="595"/>
      <c r="CP207" s="595"/>
      <c r="CQ207" s="595"/>
      <c r="CR207" s="595"/>
      <c r="CS207" s="595"/>
      <c r="CT207" s="595"/>
      <c r="CU207" s="595"/>
      <c r="CV207" s="595"/>
      <c r="CW207" s="595"/>
      <c r="CX207" s="595"/>
      <c r="CY207" s="595"/>
      <c r="CZ207" s="595"/>
    </row>
    <row r="208" spans="1:105" ht="10.5" hidden="1" customHeight="1" x14ac:dyDescent="0.25"/>
    <row r="209" spans="1:105" s="18" customFormat="1" ht="45" hidden="1" customHeight="1" x14ac:dyDescent="0.3">
      <c r="A209" s="475" t="s">
        <v>49</v>
      </c>
      <c r="B209" s="476"/>
      <c r="C209" s="476"/>
      <c r="D209" s="476"/>
      <c r="E209" s="476"/>
      <c r="F209" s="476"/>
      <c r="G209" s="477"/>
      <c r="H209" s="475" t="s">
        <v>0</v>
      </c>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7"/>
      <c r="BC209" s="606" t="s">
        <v>290</v>
      </c>
      <c r="BD209" s="606"/>
      <c r="BE209" s="606"/>
      <c r="BF209" s="606"/>
      <c r="BG209" s="606"/>
      <c r="BH209" s="606"/>
      <c r="BI209" s="606"/>
      <c r="BJ209" s="606"/>
      <c r="BK209" s="606"/>
      <c r="BL209" s="606"/>
      <c r="BM209" s="606"/>
      <c r="BN209" s="606"/>
      <c r="BO209" s="606"/>
      <c r="BP209" s="606"/>
      <c r="BQ209" s="606"/>
      <c r="BR209" s="606"/>
      <c r="BS209" s="606" t="s">
        <v>96</v>
      </c>
      <c r="BT209" s="606"/>
      <c r="BU209" s="606"/>
      <c r="BV209" s="606"/>
      <c r="BW209" s="606"/>
      <c r="BX209" s="606"/>
      <c r="BY209" s="606"/>
      <c r="BZ209" s="606"/>
      <c r="CA209" s="606"/>
      <c r="CB209" s="606"/>
      <c r="CC209" s="606"/>
      <c r="CD209" s="606"/>
      <c r="CE209" s="606"/>
      <c r="CF209" s="606"/>
      <c r="CG209" s="606"/>
      <c r="CH209" s="606"/>
      <c r="CI209" s="606" t="s">
        <v>77</v>
      </c>
      <c r="CJ209" s="606"/>
      <c r="CK209" s="606"/>
      <c r="CL209" s="606"/>
      <c r="CM209" s="606"/>
      <c r="CN209" s="606"/>
      <c r="CO209" s="606"/>
      <c r="CP209" s="606"/>
      <c r="CQ209" s="606"/>
      <c r="CR209" s="606"/>
      <c r="CS209" s="606"/>
      <c r="CT209" s="606"/>
      <c r="CU209" s="606"/>
      <c r="CV209" s="606"/>
      <c r="CW209" s="606"/>
      <c r="CX209" s="606"/>
      <c r="CY209" s="606"/>
      <c r="CZ209" s="606"/>
      <c r="DA209" s="218"/>
    </row>
    <row r="210" spans="1:105" s="15" customFormat="1" ht="13.2" hidden="1" x14ac:dyDescent="0.3">
      <c r="A210" s="591">
        <v>1</v>
      </c>
      <c r="B210" s="591"/>
      <c r="C210" s="591"/>
      <c r="D210" s="591"/>
      <c r="E210" s="591"/>
      <c r="F210" s="591"/>
      <c r="G210" s="591"/>
      <c r="H210" s="591">
        <v>2</v>
      </c>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1"/>
      <c r="AL210" s="591"/>
      <c r="AM210" s="591"/>
      <c r="AN210" s="591"/>
      <c r="AO210" s="591"/>
      <c r="AP210" s="591"/>
      <c r="AQ210" s="591"/>
      <c r="AR210" s="591"/>
      <c r="AS210" s="591"/>
      <c r="AT210" s="591"/>
      <c r="AU210" s="591"/>
      <c r="AV210" s="591"/>
      <c r="AW210" s="591"/>
      <c r="AX210" s="591"/>
      <c r="AY210" s="591"/>
      <c r="AZ210" s="591"/>
      <c r="BA210" s="591"/>
      <c r="BB210" s="591"/>
      <c r="BC210" s="591">
        <v>3</v>
      </c>
      <c r="BD210" s="591"/>
      <c r="BE210" s="591"/>
      <c r="BF210" s="591"/>
      <c r="BG210" s="591"/>
      <c r="BH210" s="591"/>
      <c r="BI210" s="591"/>
      <c r="BJ210" s="591"/>
      <c r="BK210" s="591"/>
      <c r="BL210" s="591"/>
      <c r="BM210" s="591"/>
      <c r="BN210" s="591"/>
      <c r="BO210" s="591"/>
      <c r="BP210" s="591"/>
      <c r="BQ210" s="591"/>
      <c r="BR210" s="591"/>
      <c r="BS210" s="591">
        <v>4</v>
      </c>
      <c r="BT210" s="591"/>
      <c r="BU210" s="591"/>
      <c r="BV210" s="591"/>
      <c r="BW210" s="591"/>
      <c r="BX210" s="591"/>
      <c r="BY210" s="591"/>
      <c r="BZ210" s="591"/>
      <c r="CA210" s="591"/>
      <c r="CB210" s="591"/>
      <c r="CC210" s="591"/>
      <c r="CD210" s="591"/>
      <c r="CE210" s="591"/>
      <c r="CF210" s="591"/>
      <c r="CG210" s="591"/>
      <c r="CH210" s="591"/>
      <c r="CI210" s="591">
        <v>5</v>
      </c>
      <c r="CJ210" s="591"/>
      <c r="CK210" s="591"/>
      <c r="CL210" s="591"/>
      <c r="CM210" s="591"/>
      <c r="CN210" s="591"/>
      <c r="CO210" s="591"/>
      <c r="CP210" s="591"/>
      <c r="CQ210" s="591"/>
      <c r="CR210" s="591"/>
      <c r="CS210" s="591"/>
      <c r="CT210" s="591"/>
      <c r="CU210" s="591"/>
      <c r="CV210" s="591"/>
      <c r="CW210" s="591"/>
      <c r="CX210" s="591"/>
      <c r="CY210" s="591"/>
      <c r="CZ210" s="591"/>
      <c r="DA210" s="219"/>
    </row>
    <row r="211" spans="1:105" s="16" customFormat="1" ht="15" hidden="1" customHeight="1" x14ac:dyDescent="0.3">
      <c r="A211" s="648" t="s">
        <v>573</v>
      </c>
      <c r="B211" s="649"/>
      <c r="C211" s="649"/>
      <c r="D211" s="649"/>
      <c r="E211" s="649"/>
      <c r="F211" s="649"/>
      <c r="G211" s="649"/>
      <c r="H211" s="649"/>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49"/>
      <c r="AT211" s="649"/>
      <c r="AU211" s="649"/>
      <c r="AV211" s="649"/>
      <c r="AW211" s="649"/>
      <c r="AX211" s="649"/>
      <c r="AY211" s="649"/>
      <c r="AZ211" s="649"/>
      <c r="BA211" s="649"/>
      <c r="BB211" s="649"/>
      <c r="BC211" s="649"/>
      <c r="BD211" s="649"/>
      <c r="BE211" s="649"/>
      <c r="BF211" s="649"/>
      <c r="BG211" s="649"/>
      <c r="BH211" s="649"/>
      <c r="BI211" s="649"/>
      <c r="BJ211" s="649"/>
      <c r="BK211" s="649"/>
      <c r="BL211" s="649"/>
      <c r="BM211" s="649"/>
      <c r="BN211" s="649"/>
      <c r="BO211" s="649"/>
      <c r="BP211" s="649"/>
      <c r="BQ211" s="649"/>
      <c r="BR211" s="649"/>
      <c r="BS211" s="649"/>
      <c r="BT211" s="649"/>
      <c r="BU211" s="649"/>
      <c r="BV211" s="649"/>
      <c r="BW211" s="649"/>
      <c r="BX211" s="649"/>
      <c r="BY211" s="649"/>
      <c r="BZ211" s="649"/>
      <c r="CA211" s="649"/>
      <c r="CB211" s="649"/>
      <c r="CC211" s="649"/>
      <c r="CD211" s="649"/>
      <c r="CE211" s="649"/>
      <c r="CF211" s="649"/>
      <c r="CG211" s="649"/>
      <c r="CH211" s="649"/>
      <c r="CI211" s="649"/>
      <c r="CJ211" s="649"/>
      <c r="CK211" s="649"/>
      <c r="CL211" s="649"/>
      <c r="CM211" s="649"/>
      <c r="CN211" s="649"/>
      <c r="CO211" s="649"/>
      <c r="CP211" s="649"/>
      <c r="CQ211" s="649"/>
      <c r="CR211" s="649"/>
      <c r="CS211" s="649"/>
      <c r="CT211" s="649"/>
      <c r="CU211" s="649"/>
      <c r="CV211" s="649"/>
      <c r="CW211" s="649"/>
      <c r="CX211" s="649"/>
      <c r="CY211" s="649"/>
      <c r="CZ211" s="649"/>
      <c r="DA211" s="214"/>
    </row>
    <row r="212" spans="1:105" s="16" customFormat="1" ht="56.4" hidden="1" customHeight="1" x14ac:dyDescent="0.3">
      <c r="A212" s="630" t="s">
        <v>441</v>
      </c>
      <c r="B212" s="631"/>
      <c r="C212" s="631"/>
      <c r="D212" s="631"/>
      <c r="E212" s="631"/>
      <c r="F212" s="631"/>
      <c r="G212" s="632"/>
      <c r="H212" s="584" t="s">
        <v>820</v>
      </c>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5"/>
      <c r="AL212" s="585"/>
      <c r="AM212" s="585"/>
      <c r="AN212" s="585"/>
      <c r="AO212" s="585"/>
      <c r="AP212" s="585"/>
      <c r="AQ212" s="585"/>
      <c r="AR212" s="585"/>
      <c r="AS212" s="585"/>
      <c r="AT212" s="585"/>
      <c r="AU212" s="585"/>
      <c r="AV212" s="585"/>
      <c r="AW212" s="585"/>
      <c r="AX212" s="585"/>
      <c r="AY212" s="585"/>
      <c r="AZ212" s="585"/>
      <c r="BA212" s="585"/>
      <c r="BB212" s="586"/>
      <c r="BC212" s="544"/>
      <c r="BD212" s="545"/>
      <c r="BE212" s="545"/>
      <c r="BF212" s="545"/>
      <c r="BG212" s="545"/>
      <c r="BH212" s="545"/>
      <c r="BI212" s="545"/>
      <c r="BJ212" s="545"/>
      <c r="BK212" s="545"/>
      <c r="BL212" s="545"/>
      <c r="BM212" s="545"/>
      <c r="BN212" s="545"/>
      <c r="BO212" s="545"/>
      <c r="BP212" s="545"/>
      <c r="BQ212" s="545"/>
      <c r="BR212" s="546"/>
      <c r="BS212" s="627"/>
      <c r="BT212" s="628"/>
      <c r="BU212" s="628"/>
      <c r="BV212" s="628"/>
      <c r="BW212" s="628"/>
      <c r="BX212" s="628"/>
      <c r="BY212" s="628"/>
      <c r="BZ212" s="628"/>
      <c r="CA212" s="628"/>
      <c r="CB212" s="628"/>
      <c r="CC212" s="628"/>
      <c r="CD212" s="628"/>
      <c r="CE212" s="628"/>
      <c r="CF212" s="628"/>
      <c r="CG212" s="628"/>
      <c r="CH212" s="629"/>
      <c r="CI212" s="627">
        <f>BC212*BS212</f>
        <v>0</v>
      </c>
      <c r="CJ212" s="628"/>
      <c r="CK212" s="628"/>
      <c r="CL212" s="628"/>
      <c r="CM212" s="628"/>
      <c r="CN212" s="628"/>
      <c r="CO212" s="628"/>
      <c r="CP212" s="628"/>
      <c r="CQ212" s="628"/>
      <c r="CR212" s="628"/>
      <c r="CS212" s="628"/>
      <c r="CT212" s="628"/>
      <c r="CU212" s="628"/>
      <c r="CV212" s="628"/>
      <c r="CW212" s="628"/>
      <c r="CX212" s="628"/>
      <c r="CY212" s="628"/>
      <c r="CZ212" s="629"/>
      <c r="DA212" s="214"/>
    </row>
    <row r="213" spans="1:105" s="16" customFormat="1" ht="15" hidden="1" customHeight="1" x14ac:dyDescent="0.3">
      <c r="A213" s="633" t="s">
        <v>292</v>
      </c>
      <c r="B213" s="634"/>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4"/>
      <c r="AY213" s="634"/>
      <c r="AZ213" s="634"/>
      <c r="BA213" s="634"/>
      <c r="BB213" s="635"/>
      <c r="BC213" s="544" t="s">
        <v>4</v>
      </c>
      <c r="BD213" s="545"/>
      <c r="BE213" s="545"/>
      <c r="BF213" s="545"/>
      <c r="BG213" s="545"/>
      <c r="BH213" s="545"/>
      <c r="BI213" s="545"/>
      <c r="BJ213" s="545"/>
      <c r="BK213" s="545"/>
      <c r="BL213" s="545"/>
      <c r="BM213" s="545"/>
      <c r="BN213" s="545"/>
      <c r="BO213" s="545"/>
      <c r="BP213" s="545"/>
      <c r="BQ213" s="545"/>
      <c r="BR213" s="546"/>
      <c r="BS213" s="544" t="s">
        <v>4</v>
      </c>
      <c r="BT213" s="545"/>
      <c r="BU213" s="545"/>
      <c r="BV213" s="545"/>
      <c r="BW213" s="545"/>
      <c r="BX213" s="545"/>
      <c r="BY213" s="545"/>
      <c r="BZ213" s="545"/>
      <c r="CA213" s="545"/>
      <c r="CB213" s="545"/>
      <c r="CC213" s="545"/>
      <c r="CD213" s="545"/>
      <c r="CE213" s="545"/>
      <c r="CF213" s="545"/>
      <c r="CG213" s="545"/>
      <c r="CH213" s="546"/>
      <c r="CI213" s="636">
        <f>CI212</f>
        <v>0</v>
      </c>
      <c r="CJ213" s="637"/>
      <c r="CK213" s="637"/>
      <c r="CL213" s="637"/>
      <c r="CM213" s="637"/>
      <c r="CN213" s="637"/>
      <c r="CO213" s="637"/>
      <c r="CP213" s="637"/>
      <c r="CQ213" s="637"/>
      <c r="CR213" s="637"/>
      <c r="CS213" s="637"/>
      <c r="CT213" s="637"/>
      <c r="CU213" s="637"/>
      <c r="CV213" s="637"/>
      <c r="CW213" s="637"/>
      <c r="CX213" s="637"/>
      <c r="CY213" s="637"/>
      <c r="CZ213" s="638"/>
      <c r="DA213" s="214"/>
    </row>
    <row r="214" spans="1:105" s="16" customFormat="1" ht="15" hidden="1" customHeight="1" x14ac:dyDescent="0.3">
      <c r="A214" s="648" t="s">
        <v>258</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649"/>
      <c r="AY214" s="649"/>
      <c r="AZ214" s="649"/>
      <c r="BA214" s="649"/>
      <c r="BB214" s="649"/>
      <c r="BC214" s="649"/>
      <c r="BD214" s="649"/>
      <c r="BE214" s="649"/>
      <c r="BF214" s="649"/>
      <c r="BG214" s="649"/>
      <c r="BH214" s="649"/>
      <c r="BI214" s="649"/>
      <c r="BJ214" s="649"/>
      <c r="BK214" s="649"/>
      <c r="BL214" s="649"/>
      <c r="BM214" s="649"/>
      <c r="BN214" s="649"/>
      <c r="BO214" s="649"/>
      <c r="BP214" s="649"/>
      <c r="BQ214" s="649"/>
      <c r="BR214" s="649"/>
      <c r="BS214" s="649"/>
      <c r="BT214" s="649"/>
      <c r="BU214" s="649"/>
      <c r="BV214" s="649"/>
      <c r="BW214" s="649"/>
      <c r="BX214" s="649"/>
      <c r="BY214" s="649"/>
      <c r="BZ214" s="649"/>
      <c r="CA214" s="649"/>
      <c r="CB214" s="649"/>
      <c r="CC214" s="649"/>
      <c r="CD214" s="649"/>
      <c r="CE214" s="649"/>
      <c r="CF214" s="649"/>
      <c r="CG214" s="649"/>
      <c r="CH214" s="649"/>
      <c r="CI214" s="649"/>
      <c r="CJ214" s="649"/>
      <c r="CK214" s="649"/>
      <c r="CL214" s="649"/>
      <c r="CM214" s="649"/>
      <c r="CN214" s="649"/>
      <c r="CO214" s="649"/>
      <c r="CP214" s="649"/>
      <c r="CQ214" s="649"/>
      <c r="CR214" s="649"/>
      <c r="CS214" s="649"/>
      <c r="CT214" s="649"/>
      <c r="CU214" s="649"/>
      <c r="CV214" s="649"/>
      <c r="CW214" s="649"/>
      <c r="CX214" s="649"/>
      <c r="CY214" s="649"/>
      <c r="CZ214" s="649"/>
      <c r="DA214" s="214"/>
    </row>
    <row r="215" spans="1:105" s="16" customFormat="1" ht="15" hidden="1" customHeight="1" x14ac:dyDescent="0.3">
      <c r="A215" s="630"/>
      <c r="B215" s="631"/>
      <c r="C215" s="631"/>
      <c r="D215" s="631"/>
      <c r="E215" s="631"/>
      <c r="F215" s="631"/>
      <c r="G215" s="632"/>
      <c r="H215" s="584"/>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5"/>
      <c r="AP215" s="585"/>
      <c r="AQ215" s="585"/>
      <c r="AR215" s="585"/>
      <c r="AS215" s="585"/>
      <c r="AT215" s="585"/>
      <c r="AU215" s="585"/>
      <c r="AV215" s="585"/>
      <c r="AW215" s="585"/>
      <c r="AX215" s="585"/>
      <c r="AY215" s="585"/>
      <c r="AZ215" s="585"/>
      <c r="BA215" s="585"/>
      <c r="BB215" s="586"/>
      <c r="BC215" s="544"/>
      <c r="BD215" s="545"/>
      <c r="BE215" s="545"/>
      <c r="BF215" s="545"/>
      <c r="BG215" s="545"/>
      <c r="BH215" s="545"/>
      <c r="BI215" s="545"/>
      <c r="BJ215" s="545"/>
      <c r="BK215" s="545"/>
      <c r="BL215" s="545"/>
      <c r="BM215" s="545"/>
      <c r="BN215" s="545"/>
      <c r="BO215" s="545"/>
      <c r="BP215" s="545"/>
      <c r="BQ215" s="545"/>
      <c r="BR215" s="546"/>
      <c r="BS215" s="544"/>
      <c r="BT215" s="545"/>
      <c r="BU215" s="545"/>
      <c r="BV215" s="545"/>
      <c r="BW215" s="545"/>
      <c r="BX215" s="545"/>
      <c r="BY215" s="545"/>
      <c r="BZ215" s="545"/>
      <c r="CA215" s="545"/>
      <c r="CB215" s="545"/>
      <c r="CC215" s="545"/>
      <c r="CD215" s="545"/>
      <c r="CE215" s="545"/>
      <c r="CF215" s="545"/>
      <c r="CG215" s="545"/>
      <c r="CH215" s="546"/>
      <c r="CI215" s="544"/>
      <c r="CJ215" s="545"/>
      <c r="CK215" s="545"/>
      <c r="CL215" s="545"/>
      <c r="CM215" s="545"/>
      <c r="CN215" s="545"/>
      <c r="CO215" s="545"/>
      <c r="CP215" s="545"/>
      <c r="CQ215" s="545"/>
      <c r="CR215" s="545"/>
      <c r="CS215" s="545"/>
      <c r="CT215" s="545"/>
      <c r="CU215" s="545"/>
      <c r="CV215" s="545"/>
      <c r="CW215" s="545"/>
      <c r="CX215" s="545"/>
      <c r="CY215" s="545"/>
      <c r="CZ215" s="546"/>
      <c r="DA215" s="214"/>
    </row>
    <row r="216" spans="1:105" s="16" customFormat="1" ht="15" hidden="1" customHeight="1" x14ac:dyDescent="0.3">
      <c r="A216" s="633" t="s">
        <v>292</v>
      </c>
      <c r="B216" s="634"/>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4"/>
      <c r="AY216" s="634"/>
      <c r="AZ216" s="634"/>
      <c r="BA216" s="634"/>
      <c r="BB216" s="635"/>
      <c r="BC216" s="544" t="s">
        <v>4</v>
      </c>
      <c r="BD216" s="545"/>
      <c r="BE216" s="545"/>
      <c r="BF216" s="545"/>
      <c r="BG216" s="545"/>
      <c r="BH216" s="545"/>
      <c r="BI216" s="545"/>
      <c r="BJ216" s="545"/>
      <c r="BK216" s="545"/>
      <c r="BL216" s="545"/>
      <c r="BM216" s="545"/>
      <c r="BN216" s="545"/>
      <c r="BO216" s="545"/>
      <c r="BP216" s="545"/>
      <c r="BQ216" s="545"/>
      <c r="BR216" s="546"/>
      <c r="BS216" s="544" t="s">
        <v>4</v>
      </c>
      <c r="BT216" s="545"/>
      <c r="BU216" s="545"/>
      <c r="BV216" s="545"/>
      <c r="BW216" s="545"/>
      <c r="BX216" s="545"/>
      <c r="BY216" s="545"/>
      <c r="BZ216" s="545"/>
      <c r="CA216" s="545"/>
      <c r="CB216" s="545"/>
      <c r="CC216" s="545"/>
      <c r="CD216" s="545"/>
      <c r="CE216" s="545"/>
      <c r="CF216" s="545"/>
      <c r="CG216" s="545"/>
      <c r="CH216" s="546"/>
      <c r="CI216" s="544"/>
      <c r="CJ216" s="545"/>
      <c r="CK216" s="545"/>
      <c r="CL216" s="545"/>
      <c r="CM216" s="545"/>
      <c r="CN216" s="545"/>
      <c r="CO216" s="545"/>
      <c r="CP216" s="545"/>
      <c r="CQ216" s="545"/>
      <c r="CR216" s="545"/>
      <c r="CS216" s="545"/>
      <c r="CT216" s="545"/>
      <c r="CU216" s="545"/>
      <c r="CV216" s="545"/>
      <c r="CW216" s="545"/>
      <c r="CX216" s="545"/>
      <c r="CY216" s="545"/>
      <c r="CZ216" s="546"/>
      <c r="DA216" s="214"/>
    </row>
    <row r="217" spans="1:105" s="16" customFormat="1" ht="15" hidden="1" customHeight="1" x14ac:dyDescent="0.3">
      <c r="A217" s="633" t="s">
        <v>56</v>
      </c>
      <c r="B217" s="634"/>
      <c r="C217" s="634"/>
      <c r="D217" s="63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4"/>
      <c r="AY217" s="634"/>
      <c r="AZ217" s="634"/>
      <c r="BA217" s="634"/>
      <c r="BB217" s="635"/>
      <c r="BC217" s="544" t="s">
        <v>4</v>
      </c>
      <c r="BD217" s="545"/>
      <c r="BE217" s="545"/>
      <c r="BF217" s="545"/>
      <c r="BG217" s="545"/>
      <c r="BH217" s="545"/>
      <c r="BI217" s="545"/>
      <c r="BJ217" s="545"/>
      <c r="BK217" s="545"/>
      <c r="BL217" s="545"/>
      <c r="BM217" s="545"/>
      <c r="BN217" s="545"/>
      <c r="BO217" s="545"/>
      <c r="BP217" s="545"/>
      <c r="BQ217" s="545"/>
      <c r="BR217" s="546"/>
      <c r="BS217" s="544" t="s">
        <v>4</v>
      </c>
      <c r="BT217" s="545"/>
      <c r="BU217" s="545"/>
      <c r="BV217" s="545"/>
      <c r="BW217" s="545"/>
      <c r="BX217" s="545"/>
      <c r="BY217" s="545"/>
      <c r="BZ217" s="545"/>
      <c r="CA217" s="545"/>
      <c r="CB217" s="545"/>
      <c r="CC217" s="545"/>
      <c r="CD217" s="545"/>
      <c r="CE217" s="545"/>
      <c r="CF217" s="545"/>
      <c r="CG217" s="545"/>
      <c r="CH217" s="546"/>
      <c r="CI217" s="636">
        <f>CI213</f>
        <v>0</v>
      </c>
      <c r="CJ217" s="637"/>
      <c r="CK217" s="637"/>
      <c r="CL217" s="637"/>
      <c r="CM217" s="637"/>
      <c r="CN217" s="637"/>
      <c r="CO217" s="637"/>
      <c r="CP217" s="637"/>
      <c r="CQ217" s="637"/>
      <c r="CR217" s="637"/>
      <c r="CS217" s="637"/>
      <c r="CT217" s="637"/>
      <c r="CU217" s="637"/>
      <c r="CV217" s="637"/>
      <c r="CW217" s="637"/>
      <c r="CX217" s="637"/>
      <c r="CY217" s="637"/>
      <c r="CZ217" s="638"/>
      <c r="DA217" s="214"/>
    </row>
    <row r="218" spans="1:105" s="16" customFormat="1" ht="15" hidden="1" customHeight="1" x14ac:dyDescent="0.3">
      <c r="A218" s="221"/>
      <c r="B218" s="221"/>
      <c r="C218" s="221"/>
      <c r="D218" s="221"/>
      <c r="E218" s="221"/>
      <c r="F218" s="221"/>
      <c r="G218" s="221"/>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14"/>
    </row>
    <row r="219" spans="1:105" s="20" customFormat="1" x14ac:dyDescent="0.25">
      <c r="A219" s="594" t="s">
        <v>278</v>
      </c>
      <c r="B219" s="594"/>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594"/>
      <c r="AY219" s="594"/>
      <c r="AZ219" s="594"/>
      <c r="BA219" s="594"/>
      <c r="BB219" s="594"/>
      <c r="BC219" s="594"/>
      <c r="BD219" s="594"/>
      <c r="BE219" s="594"/>
      <c r="BF219" s="594"/>
      <c r="BG219" s="594"/>
      <c r="BH219" s="594"/>
      <c r="BI219" s="594"/>
      <c r="BJ219" s="594"/>
      <c r="BK219" s="594"/>
      <c r="BL219" s="594"/>
      <c r="BM219" s="594"/>
      <c r="BN219" s="594"/>
      <c r="BO219" s="594"/>
      <c r="BP219" s="594"/>
      <c r="BQ219" s="594"/>
      <c r="BR219" s="594"/>
      <c r="BS219" s="594"/>
      <c r="BT219" s="594"/>
      <c r="BU219" s="594"/>
      <c r="BV219" s="594"/>
      <c r="BW219" s="594"/>
      <c r="BX219" s="594"/>
      <c r="BY219" s="594"/>
      <c r="BZ219" s="594"/>
      <c r="CA219" s="594"/>
      <c r="CB219" s="594"/>
      <c r="CC219" s="594"/>
      <c r="CD219" s="594"/>
      <c r="CE219" s="594"/>
      <c r="CF219" s="594"/>
      <c r="CG219" s="594"/>
      <c r="CH219" s="594"/>
      <c r="CI219" s="594"/>
      <c r="CJ219" s="594"/>
      <c r="CK219" s="594"/>
      <c r="CL219" s="594"/>
      <c r="CM219" s="594"/>
      <c r="CN219" s="594"/>
      <c r="CO219" s="594"/>
      <c r="CP219" s="594"/>
      <c r="CQ219" s="594"/>
      <c r="CR219" s="594"/>
      <c r="CS219" s="594"/>
      <c r="CT219" s="594"/>
      <c r="CU219" s="594"/>
      <c r="CV219" s="594"/>
      <c r="CW219" s="594"/>
      <c r="CX219" s="594"/>
      <c r="CY219" s="594"/>
      <c r="CZ219" s="594"/>
    </row>
    <row r="220" spans="1:105" ht="12" customHeight="1" x14ac:dyDescent="0.25"/>
    <row r="221" spans="1:105" s="20" customFormat="1" ht="12.75" customHeight="1" x14ac:dyDescent="0.25">
      <c r="A221" s="594" t="s">
        <v>279</v>
      </c>
      <c r="B221" s="594"/>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594"/>
      <c r="CB221" s="594"/>
      <c r="CC221" s="594"/>
      <c r="CD221" s="594"/>
      <c r="CE221" s="594"/>
      <c r="CF221" s="594"/>
      <c r="CG221" s="594"/>
      <c r="CH221" s="594"/>
      <c r="CI221" s="594"/>
      <c r="CJ221" s="594"/>
      <c r="CK221" s="594"/>
      <c r="CL221" s="594"/>
      <c r="CM221" s="594"/>
      <c r="CN221" s="594"/>
      <c r="CO221" s="594"/>
      <c r="CP221" s="594"/>
      <c r="CQ221" s="594"/>
      <c r="CR221" s="594"/>
      <c r="CS221" s="594"/>
      <c r="CT221" s="594"/>
      <c r="CU221" s="594"/>
      <c r="CV221" s="594"/>
      <c r="CW221" s="594"/>
      <c r="CX221" s="594"/>
      <c r="CY221" s="594"/>
      <c r="CZ221" s="594"/>
    </row>
    <row r="222" spans="1:105" ht="9" customHeight="1" x14ac:dyDescent="0.25"/>
    <row r="223" spans="1:105" s="20" customFormat="1" x14ac:dyDescent="0.25">
      <c r="A223" s="20" t="s">
        <v>47</v>
      </c>
      <c r="W223" s="595" t="s">
        <v>574</v>
      </c>
      <c r="X223" s="595"/>
      <c r="Y223" s="595"/>
      <c r="Z223" s="595"/>
      <c r="AA223" s="595"/>
      <c r="AB223" s="595"/>
      <c r="AC223" s="595"/>
      <c r="AD223" s="595"/>
      <c r="AE223" s="595"/>
      <c r="AF223" s="595"/>
      <c r="AG223" s="595"/>
      <c r="AH223" s="595"/>
      <c r="AI223" s="595"/>
      <c r="AJ223" s="595"/>
      <c r="AK223" s="595"/>
      <c r="AL223" s="595"/>
      <c r="AM223" s="595"/>
      <c r="AN223" s="595"/>
      <c r="AO223" s="595"/>
      <c r="AP223" s="595"/>
      <c r="AQ223" s="595"/>
      <c r="AR223" s="595"/>
      <c r="AS223" s="595"/>
      <c r="AT223" s="595"/>
      <c r="AU223" s="595"/>
      <c r="AV223" s="595"/>
      <c r="AW223" s="595"/>
      <c r="AX223" s="595"/>
      <c r="AY223" s="595"/>
      <c r="AZ223" s="595"/>
      <c r="BA223" s="595"/>
      <c r="BB223" s="595"/>
      <c r="BC223" s="595"/>
      <c r="BD223" s="595"/>
      <c r="BE223" s="595"/>
      <c r="BF223" s="595"/>
      <c r="BG223" s="595"/>
      <c r="BH223" s="595"/>
      <c r="BI223" s="595"/>
      <c r="BJ223" s="595"/>
      <c r="BK223" s="595"/>
      <c r="BL223" s="595"/>
      <c r="BM223" s="595"/>
      <c r="BN223" s="595"/>
      <c r="BO223" s="595"/>
      <c r="BP223" s="595"/>
      <c r="BQ223" s="595"/>
      <c r="BR223" s="595"/>
      <c r="BS223" s="595"/>
      <c r="BT223" s="595"/>
      <c r="BU223" s="595"/>
      <c r="BV223" s="595"/>
      <c r="BW223" s="595"/>
      <c r="BX223" s="595"/>
      <c r="BY223" s="595"/>
      <c r="BZ223" s="595"/>
      <c r="CA223" s="595"/>
      <c r="CB223" s="595"/>
      <c r="CC223" s="595"/>
      <c r="CD223" s="595"/>
      <c r="CE223" s="595"/>
      <c r="CF223" s="595"/>
      <c r="CG223" s="595"/>
      <c r="CH223" s="595"/>
      <c r="CI223" s="595"/>
      <c r="CJ223" s="595"/>
      <c r="CK223" s="595"/>
      <c r="CL223" s="595"/>
      <c r="CM223" s="595"/>
      <c r="CN223" s="595"/>
      <c r="CO223" s="595"/>
      <c r="CP223" s="595"/>
      <c r="CQ223" s="595"/>
      <c r="CR223" s="595"/>
      <c r="CS223" s="595"/>
      <c r="CT223" s="595"/>
      <c r="CU223" s="595"/>
      <c r="CV223" s="595"/>
      <c r="CW223" s="595"/>
      <c r="CX223" s="595"/>
      <c r="CY223" s="595"/>
      <c r="CZ223" s="595"/>
      <c r="DA223" s="230">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75" t="s">
        <v>49</v>
      </c>
      <c r="B225" s="476"/>
      <c r="C225" s="476"/>
      <c r="D225" s="476"/>
      <c r="E225" s="476"/>
      <c r="F225" s="476"/>
      <c r="G225" s="477"/>
      <c r="H225" s="475" t="s">
        <v>0</v>
      </c>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c r="AK225" s="476"/>
      <c r="AL225" s="476"/>
      <c r="AM225" s="476"/>
      <c r="AN225" s="476"/>
      <c r="AO225" s="476"/>
      <c r="AP225" s="476"/>
      <c r="AQ225" s="476"/>
      <c r="AR225" s="476"/>
      <c r="AS225" s="476"/>
      <c r="AT225" s="476"/>
      <c r="AU225" s="476"/>
      <c r="AV225" s="476"/>
      <c r="AW225" s="476"/>
      <c r="AX225" s="476"/>
      <c r="AY225" s="476"/>
      <c r="AZ225" s="476"/>
      <c r="BA225" s="476"/>
      <c r="BB225" s="477"/>
      <c r="BC225" s="597" t="s">
        <v>79</v>
      </c>
      <c r="BD225" s="598"/>
      <c r="BE225" s="598"/>
      <c r="BF225" s="598"/>
      <c r="BG225" s="598"/>
      <c r="BH225" s="598"/>
      <c r="BI225" s="598"/>
      <c r="BJ225" s="598"/>
      <c r="BK225" s="598"/>
      <c r="BL225" s="598"/>
      <c r="BM225" s="598"/>
      <c r="BN225" s="598"/>
      <c r="BO225" s="598"/>
      <c r="BP225" s="598"/>
      <c r="BQ225" s="598"/>
      <c r="BR225" s="599"/>
      <c r="BS225" s="606" t="s">
        <v>80</v>
      </c>
      <c r="BT225" s="606"/>
      <c r="BU225" s="606"/>
      <c r="BV225" s="606"/>
      <c r="BW225" s="606"/>
      <c r="BX225" s="606"/>
      <c r="BY225" s="606"/>
      <c r="BZ225" s="606"/>
      <c r="CA225" s="606"/>
      <c r="CB225" s="606"/>
      <c r="CC225" s="606"/>
      <c r="CD225" s="606"/>
      <c r="CE225" s="606"/>
      <c r="CF225" s="606"/>
      <c r="CG225" s="606"/>
      <c r="CH225" s="606"/>
      <c r="CI225" s="606" t="s">
        <v>81</v>
      </c>
      <c r="CJ225" s="606"/>
      <c r="CK225" s="606"/>
      <c r="CL225" s="606"/>
      <c r="CM225" s="606"/>
      <c r="CN225" s="606"/>
      <c r="CO225" s="606"/>
      <c r="CP225" s="606"/>
      <c r="CQ225" s="606"/>
      <c r="CR225" s="606"/>
      <c r="CS225" s="606"/>
      <c r="CT225" s="606"/>
      <c r="CU225" s="606"/>
      <c r="CV225" s="606"/>
      <c r="CW225" s="606"/>
      <c r="CX225" s="606"/>
      <c r="CY225" s="606"/>
      <c r="CZ225" s="606"/>
      <c r="DA225" s="218"/>
    </row>
    <row r="226" spans="1:105" s="15" customFormat="1" ht="13.2" x14ac:dyDescent="0.3">
      <c r="A226" s="591">
        <v>1</v>
      </c>
      <c r="B226" s="591"/>
      <c r="C226" s="591"/>
      <c r="D226" s="591"/>
      <c r="E226" s="591"/>
      <c r="F226" s="591"/>
      <c r="G226" s="591"/>
      <c r="H226" s="591">
        <v>2</v>
      </c>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1"/>
      <c r="AL226" s="591"/>
      <c r="AM226" s="591"/>
      <c r="AN226" s="591"/>
      <c r="AO226" s="591"/>
      <c r="AP226" s="591"/>
      <c r="AQ226" s="591"/>
      <c r="AR226" s="591"/>
      <c r="AS226" s="591"/>
      <c r="AT226" s="591"/>
      <c r="AU226" s="591"/>
      <c r="AV226" s="591"/>
      <c r="AW226" s="591"/>
      <c r="AX226" s="591"/>
      <c r="AY226" s="591"/>
      <c r="AZ226" s="591"/>
      <c r="BA226" s="591"/>
      <c r="BB226" s="591"/>
      <c r="BC226" s="591">
        <v>3</v>
      </c>
      <c r="BD226" s="591"/>
      <c r="BE226" s="591"/>
      <c r="BF226" s="591"/>
      <c r="BG226" s="591"/>
      <c r="BH226" s="591"/>
      <c r="BI226" s="591"/>
      <c r="BJ226" s="591"/>
      <c r="BK226" s="591"/>
      <c r="BL226" s="591"/>
      <c r="BM226" s="591"/>
      <c r="BN226" s="591"/>
      <c r="BO226" s="591"/>
      <c r="BP226" s="591"/>
      <c r="BQ226" s="591"/>
      <c r="BR226" s="591"/>
      <c r="BS226" s="591">
        <v>4</v>
      </c>
      <c r="BT226" s="591"/>
      <c r="BU226" s="591"/>
      <c r="BV226" s="591"/>
      <c r="BW226" s="591"/>
      <c r="BX226" s="591"/>
      <c r="BY226" s="591"/>
      <c r="BZ226" s="591"/>
      <c r="CA226" s="591"/>
      <c r="CB226" s="591"/>
      <c r="CC226" s="591"/>
      <c r="CD226" s="591"/>
      <c r="CE226" s="591"/>
      <c r="CF226" s="591"/>
      <c r="CG226" s="591"/>
      <c r="CH226" s="591"/>
      <c r="CI226" s="591">
        <v>5</v>
      </c>
      <c r="CJ226" s="591"/>
      <c r="CK226" s="591"/>
      <c r="CL226" s="591"/>
      <c r="CM226" s="591"/>
      <c r="CN226" s="591"/>
      <c r="CO226" s="591"/>
      <c r="CP226" s="591"/>
      <c r="CQ226" s="591"/>
      <c r="CR226" s="591"/>
      <c r="CS226" s="591"/>
      <c r="CT226" s="591"/>
      <c r="CU226" s="591"/>
      <c r="CV226" s="591"/>
      <c r="CW226" s="591"/>
      <c r="CX226" s="591"/>
      <c r="CY226" s="591"/>
      <c r="CZ226" s="591"/>
      <c r="DA226" s="219"/>
    </row>
    <row r="227" spans="1:105" s="16" customFormat="1" ht="15" customHeight="1" x14ac:dyDescent="0.3">
      <c r="A227" s="648" t="s">
        <v>569</v>
      </c>
      <c r="B227" s="649"/>
      <c r="C227" s="649"/>
      <c r="D227" s="649"/>
      <c r="E227" s="649"/>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649"/>
      <c r="AY227" s="649"/>
      <c r="AZ227" s="649"/>
      <c r="BA227" s="649"/>
      <c r="BB227" s="649"/>
      <c r="BC227" s="649"/>
      <c r="BD227" s="649"/>
      <c r="BE227" s="649"/>
      <c r="BF227" s="649"/>
      <c r="BG227" s="649"/>
      <c r="BH227" s="649"/>
      <c r="BI227" s="649"/>
      <c r="BJ227" s="649"/>
      <c r="BK227" s="649"/>
      <c r="BL227" s="649"/>
      <c r="BM227" s="649"/>
      <c r="BN227" s="649"/>
      <c r="BO227" s="649"/>
      <c r="BP227" s="649"/>
      <c r="BQ227" s="649"/>
      <c r="BR227" s="649"/>
      <c r="BS227" s="649"/>
      <c r="BT227" s="649"/>
      <c r="BU227" s="649"/>
      <c r="BV227" s="649"/>
      <c r="BW227" s="649"/>
      <c r="BX227" s="649"/>
      <c r="BY227" s="649"/>
      <c r="BZ227" s="649"/>
      <c r="CA227" s="649"/>
      <c r="CB227" s="649"/>
      <c r="CC227" s="649"/>
      <c r="CD227" s="649"/>
      <c r="CE227" s="649"/>
      <c r="CF227" s="649"/>
      <c r="CG227" s="649"/>
      <c r="CH227" s="649"/>
      <c r="CI227" s="649"/>
      <c r="CJ227" s="649"/>
      <c r="CK227" s="649"/>
      <c r="CL227" s="649"/>
      <c r="CM227" s="649"/>
      <c r="CN227" s="649"/>
      <c r="CO227" s="649"/>
      <c r="CP227" s="649"/>
      <c r="CQ227" s="649"/>
      <c r="CR227" s="649"/>
      <c r="CS227" s="649"/>
      <c r="CT227" s="649"/>
      <c r="CU227" s="649"/>
      <c r="CV227" s="649"/>
      <c r="CW227" s="649"/>
      <c r="CX227" s="649"/>
      <c r="CY227" s="649"/>
      <c r="CZ227" s="649"/>
      <c r="DA227" s="214"/>
    </row>
    <row r="228" spans="1:105" s="16" customFormat="1" ht="15" customHeight="1" x14ac:dyDescent="0.3">
      <c r="A228" s="630" t="s">
        <v>441</v>
      </c>
      <c r="B228" s="631"/>
      <c r="C228" s="631"/>
      <c r="D228" s="631"/>
      <c r="E228" s="631"/>
      <c r="F228" s="631"/>
      <c r="G228" s="632"/>
      <c r="H228" s="584" t="s">
        <v>575</v>
      </c>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585"/>
      <c r="AP228" s="585"/>
      <c r="AQ228" s="585"/>
      <c r="AR228" s="585"/>
      <c r="AS228" s="585"/>
      <c r="AT228" s="585"/>
      <c r="AU228" s="585"/>
      <c r="AV228" s="585"/>
      <c r="AW228" s="585"/>
      <c r="AX228" s="585"/>
      <c r="AY228" s="585"/>
      <c r="AZ228" s="585"/>
      <c r="BA228" s="585"/>
      <c r="BB228" s="586"/>
      <c r="BC228" s="627">
        <v>9730000</v>
      </c>
      <c r="BD228" s="628"/>
      <c r="BE228" s="628"/>
      <c r="BF228" s="628"/>
      <c r="BG228" s="628"/>
      <c r="BH228" s="628"/>
      <c r="BI228" s="628"/>
      <c r="BJ228" s="628"/>
      <c r="BK228" s="628"/>
      <c r="BL228" s="628"/>
      <c r="BM228" s="628"/>
      <c r="BN228" s="628"/>
      <c r="BO228" s="628"/>
      <c r="BP228" s="628"/>
      <c r="BQ228" s="628"/>
      <c r="BR228" s="629"/>
      <c r="BS228" s="627">
        <v>2.2000000000000002</v>
      </c>
      <c r="BT228" s="628"/>
      <c r="BU228" s="628"/>
      <c r="BV228" s="628"/>
      <c r="BW228" s="628"/>
      <c r="BX228" s="628"/>
      <c r="BY228" s="628"/>
      <c r="BZ228" s="628"/>
      <c r="CA228" s="628"/>
      <c r="CB228" s="628"/>
      <c r="CC228" s="628"/>
      <c r="CD228" s="628"/>
      <c r="CE228" s="628"/>
      <c r="CF228" s="628"/>
      <c r="CG228" s="628"/>
      <c r="CH228" s="629"/>
      <c r="CI228" s="627">
        <f>BC228*BS228/100</f>
        <v>214060</v>
      </c>
      <c r="CJ228" s="628"/>
      <c r="CK228" s="628"/>
      <c r="CL228" s="628"/>
      <c r="CM228" s="628"/>
      <c r="CN228" s="628"/>
      <c r="CO228" s="628"/>
      <c r="CP228" s="628"/>
      <c r="CQ228" s="628"/>
      <c r="CR228" s="628"/>
      <c r="CS228" s="628"/>
      <c r="CT228" s="628"/>
      <c r="CU228" s="628"/>
      <c r="CV228" s="628"/>
      <c r="CW228" s="628"/>
      <c r="CX228" s="628"/>
      <c r="CY228" s="628"/>
      <c r="CZ228" s="629"/>
      <c r="DA228" s="214"/>
    </row>
    <row r="229" spans="1:105" s="16" customFormat="1" ht="15" customHeight="1" x14ac:dyDescent="0.3">
      <c r="A229" s="630" t="s">
        <v>444</v>
      </c>
      <c r="B229" s="631"/>
      <c r="C229" s="631"/>
      <c r="D229" s="631"/>
      <c r="E229" s="631"/>
      <c r="F229" s="631"/>
      <c r="G229" s="632"/>
      <c r="H229" s="584" t="s">
        <v>576</v>
      </c>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5"/>
      <c r="AL229" s="585"/>
      <c r="AM229" s="585"/>
      <c r="AN229" s="585"/>
      <c r="AO229" s="585"/>
      <c r="AP229" s="585"/>
      <c r="AQ229" s="585"/>
      <c r="AR229" s="585"/>
      <c r="AS229" s="585"/>
      <c r="AT229" s="585"/>
      <c r="AU229" s="585"/>
      <c r="AV229" s="585"/>
      <c r="AW229" s="585"/>
      <c r="AX229" s="585"/>
      <c r="AY229" s="585"/>
      <c r="AZ229" s="585"/>
      <c r="BA229" s="585"/>
      <c r="BB229" s="586"/>
      <c r="BC229" s="627">
        <v>6023000</v>
      </c>
      <c r="BD229" s="628"/>
      <c r="BE229" s="628"/>
      <c r="BF229" s="628"/>
      <c r="BG229" s="628"/>
      <c r="BH229" s="628"/>
      <c r="BI229" s="628"/>
      <c r="BJ229" s="628"/>
      <c r="BK229" s="628"/>
      <c r="BL229" s="628"/>
      <c r="BM229" s="628"/>
      <c r="BN229" s="628"/>
      <c r="BO229" s="628"/>
      <c r="BP229" s="628"/>
      <c r="BQ229" s="628"/>
      <c r="BR229" s="629"/>
      <c r="BS229" s="627">
        <v>1.5</v>
      </c>
      <c r="BT229" s="628"/>
      <c r="BU229" s="628"/>
      <c r="BV229" s="628"/>
      <c r="BW229" s="628"/>
      <c r="BX229" s="628"/>
      <c r="BY229" s="628"/>
      <c r="BZ229" s="628"/>
      <c r="CA229" s="628"/>
      <c r="CB229" s="628"/>
      <c r="CC229" s="628"/>
      <c r="CD229" s="628"/>
      <c r="CE229" s="628"/>
      <c r="CF229" s="628"/>
      <c r="CG229" s="628"/>
      <c r="CH229" s="629"/>
      <c r="CI229" s="693">
        <f>ROUNDUP(BC229*BS229/100,0)+6</f>
        <v>90351</v>
      </c>
      <c r="CJ229" s="694"/>
      <c r="CK229" s="694"/>
      <c r="CL229" s="694"/>
      <c r="CM229" s="694"/>
      <c r="CN229" s="694"/>
      <c r="CO229" s="694"/>
      <c r="CP229" s="694"/>
      <c r="CQ229" s="694"/>
      <c r="CR229" s="694"/>
      <c r="CS229" s="694"/>
      <c r="CT229" s="694"/>
      <c r="CU229" s="694"/>
      <c r="CV229" s="694"/>
      <c r="CW229" s="694"/>
      <c r="CX229" s="694"/>
      <c r="CY229" s="694"/>
      <c r="CZ229" s="695"/>
      <c r="DA229" s="214"/>
    </row>
    <row r="230" spans="1:105" s="16" customFormat="1" ht="15" customHeight="1" x14ac:dyDescent="0.3">
      <c r="A230" s="633" t="s">
        <v>292</v>
      </c>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4"/>
      <c r="AY230" s="634"/>
      <c r="AZ230" s="634"/>
      <c r="BA230" s="634"/>
      <c r="BB230" s="635"/>
      <c r="BC230" s="544" t="s">
        <v>4</v>
      </c>
      <c r="BD230" s="545"/>
      <c r="BE230" s="545"/>
      <c r="BF230" s="545"/>
      <c r="BG230" s="545"/>
      <c r="BH230" s="545"/>
      <c r="BI230" s="545"/>
      <c r="BJ230" s="545"/>
      <c r="BK230" s="545"/>
      <c r="BL230" s="545"/>
      <c r="BM230" s="545"/>
      <c r="BN230" s="545"/>
      <c r="BO230" s="545"/>
      <c r="BP230" s="545"/>
      <c r="BQ230" s="545"/>
      <c r="BR230" s="546"/>
      <c r="BS230" s="544" t="s">
        <v>4</v>
      </c>
      <c r="BT230" s="545"/>
      <c r="BU230" s="545"/>
      <c r="BV230" s="545"/>
      <c r="BW230" s="545"/>
      <c r="BX230" s="545"/>
      <c r="BY230" s="545"/>
      <c r="BZ230" s="545"/>
      <c r="CA230" s="545"/>
      <c r="CB230" s="545"/>
      <c r="CC230" s="545"/>
      <c r="CD230" s="545"/>
      <c r="CE230" s="545"/>
      <c r="CF230" s="545"/>
      <c r="CG230" s="545"/>
      <c r="CH230" s="546"/>
      <c r="CI230" s="636">
        <f>SUM(CI228:CZ229)</f>
        <v>304411</v>
      </c>
      <c r="CJ230" s="637"/>
      <c r="CK230" s="637"/>
      <c r="CL230" s="637"/>
      <c r="CM230" s="637"/>
      <c r="CN230" s="637"/>
      <c r="CO230" s="637"/>
      <c r="CP230" s="637"/>
      <c r="CQ230" s="637"/>
      <c r="CR230" s="637"/>
      <c r="CS230" s="637"/>
      <c r="CT230" s="637"/>
      <c r="CU230" s="637"/>
      <c r="CV230" s="637"/>
      <c r="CW230" s="637"/>
      <c r="CX230" s="637"/>
      <c r="CY230" s="637"/>
      <c r="CZ230" s="638"/>
      <c r="DA230" s="214"/>
    </row>
    <row r="231" spans="1:105" s="16" customFormat="1" ht="15" hidden="1" customHeight="1" x14ac:dyDescent="0.3">
      <c r="A231" s="648" t="s">
        <v>258</v>
      </c>
      <c r="B231" s="649"/>
      <c r="C231" s="649"/>
      <c r="D231" s="649"/>
      <c r="E231" s="649"/>
      <c r="F231" s="649"/>
      <c r="G231" s="649"/>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649"/>
      <c r="AT231" s="649"/>
      <c r="AU231" s="649"/>
      <c r="AV231" s="649"/>
      <c r="AW231" s="649"/>
      <c r="AX231" s="649"/>
      <c r="AY231" s="649"/>
      <c r="AZ231" s="649"/>
      <c r="BA231" s="649"/>
      <c r="BB231" s="649"/>
      <c r="BC231" s="649"/>
      <c r="BD231" s="649"/>
      <c r="BE231" s="649"/>
      <c r="BF231" s="649"/>
      <c r="BG231" s="649"/>
      <c r="BH231" s="649"/>
      <c r="BI231" s="649"/>
      <c r="BJ231" s="649"/>
      <c r="BK231" s="649"/>
      <c r="BL231" s="649"/>
      <c r="BM231" s="649"/>
      <c r="BN231" s="649"/>
      <c r="BO231" s="649"/>
      <c r="BP231" s="649"/>
      <c r="BQ231" s="649"/>
      <c r="BR231" s="649"/>
      <c r="BS231" s="649"/>
      <c r="BT231" s="649"/>
      <c r="BU231" s="649"/>
      <c r="BV231" s="649"/>
      <c r="BW231" s="649"/>
      <c r="BX231" s="649"/>
      <c r="BY231" s="649"/>
      <c r="BZ231" s="649"/>
      <c r="CA231" s="649"/>
      <c r="CB231" s="649"/>
      <c r="CC231" s="649"/>
      <c r="CD231" s="649"/>
      <c r="CE231" s="649"/>
      <c r="CF231" s="649"/>
      <c r="CG231" s="649"/>
      <c r="CH231" s="649"/>
      <c r="CI231" s="649"/>
      <c r="CJ231" s="649"/>
      <c r="CK231" s="649"/>
      <c r="CL231" s="649"/>
      <c r="CM231" s="649"/>
      <c r="CN231" s="649"/>
      <c r="CO231" s="649"/>
      <c r="CP231" s="649"/>
      <c r="CQ231" s="649"/>
      <c r="CR231" s="649"/>
      <c r="CS231" s="649"/>
      <c r="CT231" s="649"/>
      <c r="CU231" s="649"/>
      <c r="CV231" s="649"/>
      <c r="CW231" s="649"/>
      <c r="CX231" s="649"/>
      <c r="CY231" s="649"/>
      <c r="CZ231" s="649"/>
      <c r="DA231" s="214"/>
    </row>
    <row r="232" spans="1:105" s="16" customFormat="1" ht="15" hidden="1" customHeight="1" x14ac:dyDescent="0.3">
      <c r="A232" s="630"/>
      <c r="B232" s="631"/>
      <c r="C232" s="631"/>
      <c r="D232" s="631"/>
      <c r="E232" s="631"/>
      <c r="F232" s="631"/>
      <c r="G232" s="632"/>
      <c r="H232" s="584"/>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585"/>
      <c r="AP232" s="585"/>
      <c r="AQ232" s="585"/>
      <c r="AR232" s="585"/>
      <c r="AS232" s="585"/>
      <c r="AT232" s="585"/>
      <c r="AU232" s="585"/>
      <c r="AV232" s="585"/>
      <c r="AW232" s="585"/>
      <c r="AX232" s="585"/>
      <c r="AY232" s="585"/>
      <c r="AZ232" s="585"/>
      <c r="BA232" s="585"/>
      <c r="BB232" s="586"/>
      <c r="BC232" s="544"/>
      <c r="BD232" s="545"/>
      <c r="BE232" s="545"/>
      <c r="BF232" s="545"/>
      <c r="BG232" s="545"/>
      <c r="BH232" s="545"/>
      <c r="BI232" s="545"/>
      <c r="BJ232" s="545"/>
      <c r="BK232" s="545"/>
      <c r="BL232" s="545"/>
      <c r="BM232" s="545"/>
      <c r="BN232" s="545"/>
      <c r="BO232" s="545"/>
      <c r="BP232" s="545"/>
      <c r="BQ232" s="545"/>
      <c r="BR232" s="546"/>
      <c r="BS232" s="544"/>
      <c r="BT232" s="545"/>
      <c r="BU232" s="545"/>
      <c r="BV232" s="545"/>
      <c r="BW232" s="545"/>
      <c r="BX232" s="545"/>
      <c r="BY232" s="545"/>
      <c r="BZ232" s="545"/>
      <c r="CA232" s="545"/>
      <c r="CB232" s="545"/>
      <c r="CC232" s="545"/>
      <c r="CD232" s="545"/>
      <c r="CE232" s="545"/>
      <c r="CF232" s="545"/>
      <c r="CG232" s="545"/>
      <c r="CH232" s="546"/>
      <c r="CI232" s="544"/>
      <c r="CJ232" s="545"/>
      <c r="CK232" s="545"/>
      <c r="CL232" s="545"/>
      <c r="CM232" s="545"/>
      <c r="CN232" s="545"/>
      <c r="CO232" s="545"/>
      <c r="CP232" s="545"/>
      <c r="CQ232" s="545"/>
      <c r="CR232" s="545"/>
      <c r="CS232" s="545"/>
      <c r="CT232" s="545"/>
      <c r="CU232" s="545"/>
      <c r="CV232" s="545"/>
      <c r="CW232" s="545"/>
      <c r="CX232" s="545"/>
      <c r="CY232" s="545"/>
      <c r="CZ232" s="546"/>
      <c r="DA232" s="214"/>
    </row>
    <row r="233" spans="1:105" s="16" customFormat="1" ht="15" hidden="1" customHeight="1" x14ac:dyDescent="0.3">
      <c r="A233" s="633" t="s">
        <v>292</v>
      </c>
      <c r="B233" s="634"/>
      <c r="C233" s="634"/>
      <c r="D233" s="63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c r="AA233" s="634"/>
      <c r="AB233" s="634"/>
      <c r="AC233" s="634"/>
      <c r="AD233" s="634"/>
      <c r="AE233" s="634"/>
      <c r="AF233" s="634"/>
      <c r="AG233" s="634"/>
      <c r="AH233" s="634"/>
      <c r="AI233" s="634"/>
      <c r="AJ233" s="634"/>
      <c r="AK233" s="634"/>
      <c r="AL233" s="634"/>
      <c r="AM233" s="634"/>
      <c r="AN233" s="634"/>
      <c r="AO233" s="634"/>
      <c r="AP233" s="634"/>
      <c r="AQ233" s="634"/>
      <c r="AR233" s="634"/>
      <c r="AS233" s="634"/>
      <c r="AT233" s="634"/>
      <c r="AU233" s="634"/>
      <c r="AV233" s="634"/>
      <c r="AW233" s="634"/>
      <c r="AX233" s="634"/>
      <c r="AY233" s="634"/>
      <c r="AZ233" s="634"/>
      <c r="BA233" s="634"/>
      <c r="BB233" s="635"/>
      <c r="BC233" s="544" t="s">
        <v>4</v>
      </c>
      <c r="BD233" s="545"/>
      <c r="BE233" s="545"/>
      <c r="BF233" s="545"/>
      <c r="BG233" s="545"/>
      <c r="BH233" s="545"/>
      <c r="BI233" s="545"/>
      <c r="BJ233" s="545"/>
      <c r="BK233" s="545"/>
      <c r="BL233" s="545"/>
      <c r="BM233" s="545"/>
      <c r="BN233" s="545"/>
      <c r="BO233" s="545"/>
      <c r="BP233" s="545"/>
      <c r="BQ233" s="545"/>
      <c r="BR233" s="546"/>
      <c r="BS233" s="544" t="s">
        <v>4</v>
      </c>
      <c r="BT233" s="545"/>
      <c r="BU233" s="545"/>
      <c r="BV233" s="545"/>
      <c r="BW233" s="545"/>
      <c r="BX233" s="545"/>
      <c r="BY233" s="545"/>
      <c r="BZ233" s="545"/>
      <c r="CA233" s="545"/>
      <c r="CB233" s="545"/>
      <c r="CC233" s="545"/>
      <c r="CD233" s="545"/>
      <c r="CE233" s="545"/>
      <c r="CF233" s="545"/>
      <c r="CG233" s="545"/>
      <c r="CH233" s="546"/>
      <c r="CI233" s="544"/>
      <c r="CJ233" s="545"/>
      <c r="CK233" s="545"/>
      <c r="CL233" s="545"/>
      <c r="CM233" s="545"/>
      <c r="CN233" s="545"/>
      <c r="CO233" s="545"/>
      <c r="CP233" s="545"/>
      <c r="CQ233" s="545"/>
      <c r="CR233" s="545"/>
      <c r="CS233" s="545"/>
      <c r="CT233" s="545"/>
      <c r="CU233" s="545"/>
      <c r="CV233" s="545"/>
      <c r="CW233" s="545"/>
      <c r="CX233" s="545"/>
      <c r="CY233" s="545"/>
      <c r="CZ233" s="546"/>
      <c r="DA233" s="214"/>
    </row>
    <row r="234" spans="1:105" s="16" customFormat="1" ht="15" customHeight="1" x14ac:dyDescent="0.3">
      <c r="A234" s="553" t="s">
        <v>56</v>
      </c>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4"/>
      <c r="AY234" s="554"/>
      <c r="AZ234" s="554"/>
      <c r="BA234" s="554"/>
      <c r="BB234" s="555"/>
      <c r="BC234" s="582" t="s">
        <v>4</v>
      </c>
      <c r="BD234" s="582"/>
      <c r="BE234" s="582"/>
      <c r="BF234" s="582"/>
      <c r="BG234" s="582"/>
      <c r="BH234" s="582"/>
      <c r="BI234" s="582"/>
      <c r="BJ234" s="582"/>
      <c r="BK234" s="582"/>
      <c r="BL234" s="582"/>
      <c r="BM234" s="582"/>
      <c r="BN234" s="582"/>
      <c r="BO234" s="582"/>
      <c r="BP234" s="582"/>
      <c r="BQ234" s="582"/>
      <c r="BR234" s="582"/>
      <c r="BS234" s="582" t="s">
        <v>4</v>
      </c>
      <c r="BT234" s="582"/>
      <c r="BU234" s="582"/>
      <c r="BV234" s="582"/>
      <c r="BW234" s="582"/>
      <c r="BX234" s="582"/>
      <c r="BY234" s="582"/>
      <c r="BZ234" s="582"/>
      <c r="CA234" s="582"/>
      <c r="CB234" s="582"/>
      <c r="CC234" s="582"/>
      <c r="CD234" s="582"/>
      <c r="CE234" s="582"/>
      <c r="CF234" s="582"/>
      <c r="CG234" s="582"/>
      <c r="CH234" s="582"/>
      <c r="CI234" s="611">
        <f>CI230</f>
        <v>304411</v>
      </c>
      <c r="CJ234" s="611"/>
      <c r="CK234" s="611"/>
      <c r="CL234" s="611"/>
      <c r="CM234" s="611"/>
      <c r="CN234" s="611"/>
      <c r="CO234" s="611"/>
      <c r="CP234" s="611"/>
      <c r="CQ234" s="611"/>
      <c r="CR234" s="611"/>
      <c r="CS234" s="611"/>
      <c r="CT234" s="611"/>
      <c r="CU234" s="611"/>
      <c r="CV234" s="611"/>
      <c r="CW234" s="611"/>
      <c r="CX234" s="611"/>
      <c r="CY234" s="611"/>
      <c r="CZ234" s="611"/>
      <c r="DA234" s="220"/>
    </row>
    <row r="235" spans="1:105" s="16" customFormat="1" ht="15" customHeight="1" x14ac:dyDescent="0.3">
      <c r="A235" s="221"/>
      <c r="B235" s="221"/>
      <c r="C235" s="221"/>
      <c r="D235" s="221"/>
      <c r="E235" s="221"/>
      <c r="F235" s="221"/>
      <c r="G235" s="221"/>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14"/>
    </row>
    <row r="236" spans="1:105" s="20" customFormat="1" ht="29.25" customHeight="1" x14ac:dyDescent="0.25">
      <c r="A236" s="524" t="s">
        <v>280</v>
      </c>
      <c r="B236" s="524"/>
      <c r="C236" s="524"/>
      <c r="D236" s="524"/>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4"/>
      <c r="AY236" s="524"/>
      <c r="AZ236" s="524"/>
      <c r="BA236" s="524"/>
      <c r="BB236" s="524"/>
      <c r="BC236" s="524"/>
      <c r="BD236" s="524"/>
      <c r="BE236" s="524"/>
      <c r="BF236" s="524"/>
      <c r="BG236" s="524"/>
      <c r="BH236" s="524"/>
      <c r="BI236" s="524"/>
      <c r="BJ236" s="524"/>
      <c r="BK236" s="524"/>
      <c r="BL236" s="524"/>
      <c r="BM236" s="524"/>
      <c r="BN236" s="524"/>
      <c r="BO236" s="524"/>
      <c r="BP236" s="524"/>
      <c r="BQ236" s="524"/>
      <c r="BR236" s="524"/>
      <c r="BS236" s="524"/>
      <c r="BT236" s="524"/>
      <c r="BU236" s="524"/>
      <c r="BV236" s="524"/>
      <c r="BW236" s="524"/>
      <c r="BX236" s="524"/>
      <c r="BY236" s="524"/>
      <c r="BZ236" s="524"/>
      <c r="CA236" s="524"/>
      <c r="CB236" s="524"/>
      <c r="CC236" s="524"/>
      <c r="CD236" s="524"/>
      <c r="CE236" s="524"/>
      <c r="CF236" s="524"/>
      <c r="CG236" s="524"/>
      <c r="CH236" s="524"/>
      <c r="CI236" s="524"/>
      <c r="CJ236" s="524"/>
      <c r="CK236" s="524"/>
      <c r="CL236" s="524"/>
      <c r="CM236" s="524"/>
      <c r="CN236" s="524"/>
      <c r="CO236" s="524"/>
      <c r="CP236" s="524"/>
      <c r="CQ236" s="524"/>
      <c r="CR236" s="524"/>
      <c r="CS236" s="524"/>
      <c r="CT236" s="524"/>
      <c r="CU236" s="524"/>
      <c r="CV236" s="524"/>
      <c r="CW236" s="524"/>
      <c r="CX236" s="524"/>
      <c r="CY236" s="524"/>
      <c r="CZ236" s="524"/>
    </row>
    <row r="237" spans="1:105" ht="6" customHeight="1" x14ac:dyDescent="0.25"/>
    <row r="238" spans="1:105" s="20" customFormat="1" x14ac:dyDescent="0.25">
      <c r="A238" s="20" t="s">
        <v>47</v>
      </c>
      <c r="W238" s="595" t="s">
        <v>577</v>
      </c>
      <c r="X238" s="595"/>
      <c r="Y238" s="595"/>
      <c r="Z238" s="595"/>
      <c r="AA238" s="595"/>
      <c r="AB238" s="595"/>
      <c r="AC238" s="595"/>
      <c r="AD238" s="595"/>
      <c r="AE238" s="595"/>
      <c r="AF238" s="595"/>
      <c r="AG238" s="595"/>
      <c r="AH238" s="595"/>
      <c r="AI238" s="595"/>
      <c r="AJ238" s="595"/>
      <c r="AK238" s="595"/>
      <c r="AL238" s="595"/>
      <c r="AM238" s="595"/>
      <c r="AN238" s="595"/>
      <c r="AO238" s="595"/>
      <c r="AP238" s="595"/>
      <c r="AQ238" s="595"/>
      <c r="AR238" s="595"/>
      <c r="AS238" s="595"/>
      <c r="AT238" s="595"/>
      <c r="AU238" s="595"/>
      <c r="AV238" s="595"/>
      <c r="AW238" s="595"/>
      <c r="AX238" s="595"/>
      <c r="AY238" s="595"/>
      <c r="AZ238" s="595"/>
      <c r="BA238" s="595"/>
      <c r="BB238" s="595"/>
      <c r="BC238" s="595"/>
      <c r="BD238" s="595"/>
      <c r="BE238" s="595"/>
      <c r="BF238" s="595"/>
      <c r="BG238" s="595"/>
      <c r="BH238" s="595"/>
      <c r="BI238" s="595"/>
      <c r="BJ238" s="595"/>
      <c r="BK238" s="595"/>
      <c r="BL238" s="595"/>
      <c r="BM238" s="595"/>
      <c r="BN238" s="595"/>
      <c r="BO238" s="595"/>
      <c r="BP238" s="595"/>
      <c r="BQ238" s="595"/>
      <c r="BR238" s="595"/>
      <c r="BS238" s="595"/>
      <c r="BT238" s="595"/>
      <c r="BU238" s="595"/>
      <c r="BV238" s="595"/>
      <c r="BW238" s="595"/>
      <c r="BX238" s="595"/>
      <c r="BY238" s="595"/>
      <c r="BZ238" s="595"/>
      <c r="CA238" s="595"/>
      <c r="CB238" s="595"/>
      <c r="CC238" s="595"/>
      <c r="CD238" s="595"/>
      <c r="CE238" s="595"/>
      <c r="CF238" s="595"/>
      <c r="CG238" s="595"/>
      <c r="CH238" s="595"/>
      <c r="CI238" s="595"/>
      <c r="CJ238" s="595"/>
      <c r="CK238" s="595"/>
      <c r="CL238" s="595"/>
      <c r="CM238" s="595"/>
      <c r="CN238" s="595"/>
      <c r="CO238" s="595"/>
      <c r="CP238" s="595"/>
      <c r="CQ238" s="595"/>
      <c r="CR238" s="595"/>
      <c r="CS238" s="595"/>
      <c r="CT238" s="595"/>
      <c r="CU238" s="595"/>
      <c r="CV238" s="595"/>
      <c r="CW238" s="595"/>
      <c r="CX238" s="595"/>
      <c r="CY238" s="595"/>
      <c r="CZ238" s="595"/>
      <c r="DA238" s="230">
        <v>290</v>
      </c>
    </row>
    <row r="239" spans="1:105" ht="10.5" customHeight="1" x14ac:dyDescent="0.25"/>
    <row r="240" spans="1:105" s="18" customFormat="1" ht="63.75" customHeight="1" x14ac:dyDescent="0.3">
      <c r="A240" s="475" t="s">
        <v>49</v>
      </c>
      <c r="B240" s="476"/>
      <c r="C240" s="476"/>
      <c r="D240" s="476"/>
      <c r="E240" s="476"/>
      <c r="F240" s="476"/>
      <c r="G240" s="477"/>
      <c r="H240" s="475" t="s">
        <v>0</v>
      </c>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6"/>
      <c r="AY240" s="476"/>
      <c r="AZ240" s="476"/>
      <c r="BA240" s="476"/>
      <c r="BB240" s="477"/>
      <c r="BC240" s="597" t="s">
        <v>79</v>
      </c>
      <c r="BD240" s="598"/>
      <c r="BE240" s="598"/>
      <c r="BF240" s="598"/>
      <c r="BG240" s="598"/>
      <c r="BH240" s="598"/>
      <c r="BI240" s="598"/>
      <c r="BJ240" s="598"/>
      <c r="BK240" s="598"/>
      <c r="BL240" s="598"/>
      <c r="BM240" s="598"/>
      <c r="BN240" s="598"/>
      <c r="BO240" s="598"/>
      <c r="BP240" s="598"/>
      <c r="BQ240" s="598"/>
      <c r="BR240" s="599"/>
      <c r="BS240" s="606" t="s">
        <v>80</v>
      </c>
      <c r="BT240" s="606"/>
      <c r="BU240" s="606"/>
      <c r="BV240" s="606"/>
      <c r="BW240" s="606"/>
      <c r="BX240" s="606"/>
      <c r="BY240" s="606"/>
      <c r="BZ240" s="606"/>
      <c r="CA240" s="606"/>
      <c r="CB240" s="606"/>
      <c r="CC240" s="606"/>
      <c r="CD240" s="606"/>
      <c r="CE240" s="606"/>
      <c r="CF240" s="606"/>
      <c r="CG240" s="606"/>
      <c r="CH240" s="606"/>
      <c r="CI240" s="606" t="s">
        <v>81</v>
      </c>
      <c r="CJ240" s="606"/>
      <c r="CK240" s="606"/>
      <c r="CL240" s="606"/>
      <c r="CM240" s="606"/>
      <c r="CN240" s="606"/>
      <c r="CO240" s="606"/>
      <c r="CP240" s="606"/>
      <c r="CQ240" s="606"/>
      <c r="CR240" s="606"/>
      <c r="CS240" s="606"/>
      <c r="CT240" s="606"/>
      <c r="CU240" s="606"/>
      <c r="CV240" s="606"/>
      <c r="CW240" s="606"/>
      <c r="CX240" s="606"/>
      <c r="CY240" s="606"/>
      <c r="CZ240" s="606"/>
      <c r="DA240" s="218"/>
    </row>
    <row r="241" spans="1:105" s="15" customFormat="1" ht="13.2" x14ac:dyDescent="0.3">
      <c r="A241" s="591">
        <v>1</v>
      </c>
      <c r="B241" s="591"/>
      <c r="C241" s="591"/>
      <c r="D241" s="591"/>
      <c r="E241" s="591"/>
      <c r="F241" s="591"/>
      <c r="G241" s="591"/>
      <c r="H241" s="591">
        <v>2</v>
      </c>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1"/>
      <c r="AL241" s="591"/>
      <c r="AM241" s="591"/>
      <c r="AN241" s="591"/>
      <c r="AO241" s="591"/>
      <c r="AP241" s="591"/>
      <c r="AQ241" s="591"/>
      <c r="AR241" s="591"/>
      <c r="AS241" s="591"/>
      <c r="AT241" s="591"/>
      <c r="AU241" s="591"/>
      <c r="AV241" s="591"/>
      <c r="AW241" s="591"/>
      <c r="AX241" s="591"/>
      <c r="AY241" s="591"/>
      <c r="AZ241" s="591"/>
      <c r="BA241" s="591"/>
      <c r="BB241" s="591"/>
      <c r="BC241" s="591">
        <v>3</v>
      </c>
      <c r="BD241" s="591"/>
      <c r="BE241" s="591"/>
      <c r="BF241" s="591"/>
      <c r="BG241" s="591"/>
      <c r="BH241" s="591"/>
      <c r="BI241" s="591"/>
      <c r="BJ241" s="591"/>
      <c r="BK241" s="591"/>
      <c r="BL241" s="591"/>
      <c r="BM241" s="591"/>
      <c r="BN241" s="591"/>
      <c r="BO241" s="591"/>
      <c r="BP241" s="591"/>
      <c r="BQ241" s="591"/>
      <c r="BR241" s="591"/>
      <c r="BS241" s="591">
        <v>4</v>
      </c>
      <c r="BT241" s="591"/>
      <c r="BU241" s="591"/>
      <c r="BV241" s="591"/>
      <c r="BW241" s="591"/>
      <c r="BX241" s="591"/>
      <c r="BY241" s="591"/>
      <c r="BZ241" s="591"/>
      <c r="CA241" s="591"/>
      <c r="CB241" s="591"/>
      <c r="CC241" s="591"/>
      <c r="CD241" s="591"/>
      <c r="CE241" s="591"/>
      <c r="CF241" s="591"/>
      <c r="CG241" s="591"/>
      <c r="CH241" s="591"/>
      <c r="CI241" s="591">
        <v>5</v>
      </c>
      <c r="CJ241" s="591"/>
      <c r="CK241" s="591"/>
      <c r="CL241" s="591"/>
      <c r="CM241" s="591"/>
      <c r="CN241" s="591"/>
      <c r="CO241" s="591"/>
      <c r="CP241" s="591"/>
      <c r="CQ241" s="591"/>
      <c r="CR241" s="591"/>
      <c r="CS241" s="591"/>
      <c r="CT241" s="591"/>
      <c r="CU241" s="591"/>
      <c r="CV241" s="591"/>
      <c r="CW241" s="591"/>
      <c r="CX241" s="591"/>
      <c r="CY241" s="591"/>
      <c r="CZ241" s="591"/>
      <c r="DA241" s="219"/>
    </row>
    <row r="242" spans="1:105" s="16" customFormat="1" ht="15" customHeight="1" x14ac:dyDescent="0.3">
      <c r="A242" s="648" t="s">
        <v>569</v>
      </c>
      <c r="B242" s="649"/>
      <c r="C242" s="649"/>
      <c r="D242" s="649"/>
      <c r="E242" s="649"/>
      <c r="F242" s="649"/>
      <c r="G242" s="649"/>
      <c r="H242" s="649"/>
      <c r="I242" s="649"/>
      <c r="J242" s="649"/>
      <c r="K242" s="649"/>
      <c r="L242" s="649"/>
      <c r="M242" s="649"/>
      <c r="N242" s="649"/>
      <c r="O242" s="649"/>
      <c r="P242" s="649"/>
      <c r="Q242" s="649"/>
      <c r="R242" s="649"/>
      <c r="S242" s="649"/>
      <c r="T242" s="649"/>
      <c r="U242" s="649"/>
      <c r="V242" s="649"/>
      <c r="W242" s="649"/>
      <c r="X242" s="649"/>
      <c r="Y242" s="649"/>
      <c r="Z242" s="649"/>
      <c r="AA242" s="649"/>
      <c r="AB242" s="649"/>
      <c r="AC242" s="649"/>
      <c r="AD242" s="649"/>
      <c r="AE242" s="649"/>
      <c r="AF242" s="649"/>
      <c r="AG242" s="649"/>
      <c r="AH242" s="649"/>
      <c r="AI242" s="649"/>
      <c r="AJ242" s="649"/>
      <c r="AK242" s="649"/>
      <c r="AL242" s="649"/>
      <c r="AM242" s="649"/>
      <c r="AN242" s="649"/>
      <c r="AO242" s="649"/>
      <c r="AP242" s="649"/>
      <c r="AQ242" s="649"/>
      <c r="AR242" s="649"/>
      <c r="AS242" s="649"/>
      <c r="AT242" s="649"/>
      <c r="AU242" s="649"/>
      <c r="AV242" s="649"/>
      <c r="AW242" s="649"/>
      <c r="AX242" s="649"/>
      <c r="AY242" s="649"/>
      <c r="AZ242" s="649"/>
      <c r="BA242" s="649"/>
      <c r="BB242" s="649"/>
      <c r="BC242" s="649"/>
      <c r="BD242" s="649"/>
      <c r="BE242" s="649"/>
      <c r="BF242" s="649"/>
      <c r="BG242" s="649"/>
      <c r="BH242" s="649"/>
      <c r="BI242" s="649"/>
      <c r="BJ242" s="649"/>
      <c r="BK242" s="649"/>
      <c r="BL242" s="649"/>
      <c r="BM242" s="649"/>
      <c r="BN242" s="649"/>
      <c r="BO242" s="649"/>
      <c r="BP242" s="649"/>
      <c r="BQ242" s="649"/>
      <c r="BR242" s="649"/>
      <c r="BS242" s="649"/>
      <c r="BT242" s="649"/>
      <c r="BU242" s="649"/>
      <c r="BV242" s="649"/>
      <c r="BW242" s="649"/>
      <c r="BX242" s="649"/>
      <c r="BY242" s="649"/>
      <c r="BZ242" s="649"/>
      <c r="CA242" s="649"/>
      <c r="CB242" s="649"/>
      <c r="CC242" s="649"/>
      <c r="CD242" s="649"/>
      <c r="CE242" s="649"/>
      <c r="CF242" s="649"/>
      <c r="CG242" s="649"/>
      <c r="CH242" s="649"/>
      <c r="CI242" s="649"/>
      <c r="CJ242" s="649"/>
      <c r="CK242" s="649"/>
      <c r="CL242" s="649"/>
      <c r="CM242" s="649"/>
      <c r="CN242" s="649"/>
      <c r="CO242" s="649"/>
      <c r="CP242" s="649"/>
      <c r="CQ242" s="649"/>
      <c r="CR242" s="649"/>
      <c r="CS242" s="649"/>
      <c r="CT242" s="649"/>
      <c r="CU242" s="649"/>
      <c r="CV242" s="649"/>
      <c r="CW242" s="649"/>
      <c r="CX242" s="649"/>
      <c r="CY242" s="649"/>
      <c r="CZ242" s="649"/>
      <c r="DA242" s="214"/>
    </row>
    <row r="243" spans="1:105" s="16" customFormat="1" ht="15" hidden="1" customHeight="1" x14ac:dyDescent="0.3">
      <c r="A243" s="630" t="s">
        <v>441</v>
      </c>
      <c r="B243" s="631"/>
      <c r="C243" s="631"/>
      <c r="D243" s="631"/>
      <c r="E243" s="631"/>
      <c r="F243" s="631"/>
      <c r="G243" s="632"/>
      <c r="H243" s="584" t="s">
        <v>578</v>
      </c>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5"/>
      <c r="AL243" s="585"/>
      <c r="AM243" s="585"/>
      <c r="AN243" s="585"/>
      <c r="AO243" s="585"/>
      <c r="AP243" s="585"/>
      <c r="AQ243" s="585"/>
      <c r="AR243" s="585"/>
      <c r="AS243" s="585"/>
      <c r="AT243" s="585"/>
      <c r="AU243" s="585"/>
      <c r="AV243" s="585"/>
      <c r="AW243" s="585"/>
      <c r="AX243" s="585"/>
      <c r="AY243" s="585"/>
      <c r="AZ243" s="585"/>
      <c r="BA243" s="585"/>
      <c r="BB243" s="586"/>
      <c r="BC243" s="544"/>
      <c r="BD243" s="545"/>
      <c r="BE243" s="545"/>
      <c r="BF243" s="545"/>
      <c r="BG243" s="545"/>
      <c r="BH243" s="545"/>
      <c r="BI243" s="545"/>
      <c r="BJ243" s="545"/>
      <c r="BK243" s="545"/>
      <c r="BL243" s="545"/>
      <c r="BM243" s="545"/>
      <c r="BN243" s="545"/>
      <c r="BO243" s="545"/>
      <c r="BP243" s="545"/>
      <c r="BQ243" s="545"/>
      <c r="BR243" s="546"/>
      <c r="BS243" s="544"/>
      <c r="BT243" s="545"/>
      <c r="BU243" s="545"/>
      <c r="BV243" s="545"/>
      <c r="BW243" s="545"/>
      <c r="BX243" s="545"/>
      <c r="BY243" s="545"/>
      <c r="BZ243" s="545"/>
      <c r="CA243" s="545"/>
      <c r="CB243" s="545"/>
      <c r="CC243" s="545"/>
      <c r="CD243" s="545"/>
      <c r="CE243" s="545"/>
      <c r="CF243" s="545"/>
      <c r="CG243" s="545"/>
      <c r="CH243" s="546"/>
      <c r="CI243" s="627"/>
      <c r="CJ243" s="628"/>
      <c r="CK243" s="628"/>
      <c r="CL243" s="628"/>
      <c r="CM243" s="628"/>
      <c r="CN243" s="628"/>
      <c r="CO243" s="628"/>
      <c r="CP243" s="628"/>
      <c r="CQ243" s="628"/>
      <c r="CR243" s="628"/>
      <c r="CS243" s="628"/>
      <c r="CT243" s="628"/>
      <c r="CU243" s="628"/>
      <c r="CV243" s="628"/>
      <c r="CW243" s="628"/>
      <c r="CX243" s="628"/>
      <c r="CY243" s="628"/>
      <c r="CZ243" s="629"/>
      <c r="DA243" s="214"/>
    </row>
    <row r="244" spans="1:105" s="16" customFormat="1" ht="15" hidden="1" customHeight="1" x14ac:dyDescent="0.3">
      <c r="A244" s="630" t="s">
        <v>444</v>
      </c>
      <c r="B244" s="631"/>
      <c r="C244" s="631"/>
      <c r="D244" s="631"/>
      <c r="E244" s="631"/>
      <c r="F244" s="631"/>
      <c r="G244" s="632"/>
      <c r="H244" s="584" t="s">
        <v>579</v>
      </c>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5"/>
      <c r="AL244" s="585"/>
      <c r="AM244" s="585"/>
      <c r="AN244" s="585"/>
      <c r="AO244" s="585"/>
      <c r="AP244" s="585"/>
      <c r="AQ244" s="585"/>
      <c r="AR244" s="585"/>
      <c r="AS244" s="585"/>
      <c r="AT244" s="585"/>
      <c r="AU244" s="585"/>
      <c r="AV244" s="585"/>
      <c r="AW244" s="585"/>
      <c r="AX244" s="585"/>
      <c r="AY244" s="585"/>
      <c r="AZ244" s="585"/>
      <c r="BA244" s="585"/>
      <c r="BB244" s="586"/>
      <c r="BC244" s="544"/>
      <c r="BD244" s="545"/>
      <c r="BE244" s="545"/>
      <c r="BF244" s="545"/>
      <c r="BG244" s="545"/>
      <c r="BH244" s="545"/>
      <c r="BI244" s="545"/>
      <c r="BJ244" s="545"/>
      <c r="BK244" s="545"/>
      <c r="BL244" s="545"/>
      <c r="BM244" s="545"/>
      <c r="BN244" s="545"/>
      <c r="BO244" s="545"/>
      <c r="BP244" s="545"/>
      <c r="BQ244" s="545"/>
      <c r="BR244" s="546"/>
      <c r="BS244" s="544"/>
      <c r="BT244" s="545"/>
      <c r="BU244" s="545"/>
      <c r="BV244" s="545"/>
      <c r="BW244" s="545"/>
      <c r="BX244" s="545"/>
      <c r="BY244" s="545"/>
      <c r="BZ244" s="545"/>
      <c r="CA244" s="545"/>
      <c r="CB244" s="545"/>
      <c r="CC244" s="545"/>
      <c r="CD244" s="545"/>
      <c r="CE244" s="545"/>
      <c r="CF244" s="545"/>
      <c r="CG244" s="545"/>
      <c r="CH244" s="546"/>
      <c r="CI244" s="627"/>
      <c r="CJ244" s="628"/>
      <c r="CK244" s="628"/>
      <c r="CL244" s="628"/>
      <c r="CM244" s="628"/>
      <c r="CN244" s="628"/>
      <c r="CO244" s="628"/>
      <c r="CP244" s="628"/>
      <c r="CQ244" s="628"/>
      <c r="CR244" s="628"/>
      <c r="CS244" s="628"/>
      <c r="CT244" s="628"/>
      <c r="CU244" s="628"/>
      <c r="CV244" s="628"/>
      <c r="CW244" s="628"/>
      <c r="CX244" s="628"/>
      <c r="CY244" s="628"/>
      <c r="CZ244" s="629"/>
      <c r="DA244" s="214"/>
    </row>
    <row r="245" spans="1:105" s="16" customFormat="1" ht="15" customHeight="1" x14ac:dyDescent="0.3">
      <c r="A245" s="630" t="s">
        <v>580</v>
      </c>
      <c r="B245" s="631"/>
      <c r="C245" s="631"/>
      <c r="D245" s="631"/>
      <c r="E245" s="631"/>
      <c r="F245" s="631"/>
      <c r="G245" s="632"/>
      <c r="H245" s="584" t="s">
        <v>581</v>
      </c>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5"/>
      <c r="AL245" s="585"/>
      <c r="AM245" s="585"/>
      <c r="AN245" s="585"/>
      <c r="AO245" s="585"/>
      <c r="AP245" s="585"/>
      <c r="AQ245" s="585"/>
      <c r="AR245" s="585"/>
      <c r="AS245" s="585"/>
      <c r="AT245" s="585"/>
      <c r="AU245" s="585"/>
      <c r="AV245" s="585"/>
      <c r="AW245" s="585"/>
      <c r="AX245" s="585"/>
      <c r="AY245" s="585"/>
      <c r="AZ245" s="585"/>
      <c r="BA245" s="585"/>
      <c r="BB245" s="586"/>
      <c r="BC245" s="544">
        <v>107</v>
      </c>
      <c r="BD245" s="545"/>
      <c r="BE245" s="545"/>
      <c r="BF245" s="545"/>
      <c r="BG245" s="545"/>
      <c r="BH245" s="545"/>
      <c r="BI245" s="545"/>
      <c r="BJ245" s="545"/>
      <c r="BK245" s="545"/>
      <c r="BL245" s="545"/>
      <c r="BM245" s="545"/>
      <c r="BN245" s="545"/>
      <c r="BO245" s="545"/>
      <c r="BP245" s="545"/>
      <c r="BQ245" s="545"/>
      <c r="BR245" s="546"/>
      <c r="BS245" s="544">
        <v>22</v>
      </c>
      <c r="BT245" s="545"/>
      <c r="BU245" s="545"/>
      <c r="BV245" s="545"/>
      <c r="BW245" s="545"/>
      <c r="BX245" s="545"/>
      <c r="BY245" s="545"/>
      <c r="BZ245" s="545"/>
      <c r="CA245" s="545"/>
      <c r="CB245" s="545"/>
      <c r="CC245" s="545"/>
      <c r="CD245" s="545"/>
      <c r="CE245" s="545"/>
      <c r="CF245" s="545"/>
      <c r="CG245" s="545"/>
      <c r="CH245" s="546"/>
      <c r="CI245" s="627">
        <f>BC245*BS245</f>
        <v>2354</v>
      </c>
      <c r="CJ245" s="628"/>
      <c r="CK245" s="628"/>
      <c r="CL245" s="628"/>
      <c r="CM245" s="628"/>
      <c r="CN245" s="628"/>
      <c r="CO245" s="628"/>
      <c r="CP245" s="628"/>
      <c r="CQ245" s="628"/>
      <c r="CR245" s="628"/>
      <c r="CS245" s="628"/>
      <c r="CT245" s="628"/>
      <c r="CU245" s="628"/>
      <c r="CV245" s="628"/>
      <c r="CW245" s="628"/>
      <c r="CX245" s="628"/>
      <c r="CY245" s="628"/>
      <c r="CZ245" s="629"/>
      <c r="DA245" s="214"/>
    </row>
    <row r="246" spans="1:105" s="16" customFormat="1" ht="15" hidden="1" customHeight="1" x14ac:dyDescent="0.3">
      <c r="A246" s="630" t="s">
        <v>444</v>
      </c>
      <c r="B246" s="631"/>
      <c r="C246" s="631"/>
      <c r="D246" s="631"/>
      <c r="E246" s="631"/>
      <c r="F246" s="631"/>
      <c r="G246" s="632"/>
      <c r="H246" s="584" t="s">
        <v>582</v>
      </c>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5"/>
      <c r="AL246" s="585"/>
      <c r="AM246" s="585"/>
      <c r="AN246" s="585"/>
      <c r="AO246" s="585"/>
      <c r="AP246" s="585"/>
      <c r="AQ246" s="585"/>
      <c r="AR246" s="585"/>
      <c r="AS246" s="585"/>
      <c r="AT246" s="585"/>
      <c r="AU246" s="585"/>
      <c r="AV246" s="585"/>
      <c r="AW246" s="585"/>
      <c r="AX246" s="585"/>
      <c r="AY246" s="585"/>
      <c r="AZ246" s="585"/>
      <c r="BA246" s="585"/>
      <c r="BB246" s="586"/>
      <c r="BC246" s="544"/>
      <c r="BD246" s="545"/>
      <c r="BE246" s="545"/>
      <c r="BF246" s="545"/>
      <c r="BG246" s="545"/>
      <c r="BH246" s="545"/>
      <c r="BI246" s="545"/>
      <c r="BJ246" s="545"/>
      <c r="BK246" s="545"/>
      <c r="BL246" s="545"/>
      <c r="BM246" s="545"/>
      <c r="BN246" s="545"/>
      <c r="BO246" s="545"/>
      <c r="BP246" s="545"/>
      <c r="BQ246" s="545"/>
      <c r="BR246" s="546"/>
      <c r="BS246" s="544">
        <v>32</v>
      </c>
      <c r="BT246" s="545"/>
      <c r="BU246" s="545"/>
      <c r="BV246" s="545"/>
      <c r="BW246" s="545"/>
      <c r="BX246" s="545"/>
      <c r="BY246" s="545"/>
      <c r="BZ246" s="545"/>
      <c r="CA246" s="545"/>
      <c r="CB246" s="545"/>
      <c r="CC246" s="545"/>
      <c r="CD246" s="545"/>
      <c r="CE246" s="545"/>
      <c r="CF246" s="545"/>
      <c r="CG246" s="545"/>
      <c r="CH246" s="546"/>
      <c r="CI246" s="627">
        <f t="shared" ref="CI246:CI247" si="1">BC246*BS246</f>
        <v>0</v>
      </c>
      <c r="CJ246" s="628"/>
      <c r="CK246" s="628"/>
      <c r="CL246" s="628"/>
      <c r="CM246" s="628"/>
      <c r="CN246" s="628"/>
      <c r="CO246" s="628"/>
      <c r="CP246" s="628"/>
      <c r="CQ246" s="628"/>
      <c r="CR246" s="628"/>
      <c r="CS246" s="628"/>
      <c r="CT246" s="628"/>
      <c r="CU246" s="628"/>
      <c r="CV246" s="628"/>
      <c r="CW246" s="628"/>
      <c r="CX246" s="628"/>
      <c r="CY246" s="628"/>
      <c r="CZ246" s="629"/>
      <c r="DA246" s="214"/>
    </row>
    <row r="247" spans="1:105" s="16" customFormat="1" ht="15" customHeight="1" x14ac:dyDescent="0.3">
      <c r="A247" s="630" t="s">
        <v>71</v>
      </c>
      <c r="B247" s="631"/>
      <c r="C247" s="631"/>
      <c r="D247" s="631"/>
      <c r="E247" s="631"/>
      <c r="F247" s="631"/>
      <c r="G247" s="632"/>
      <c r="H247" s="584" t="s">
        <v>583</v>
      </c>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5"/>
      <c r="AL247" s="585"/>
      <c r="AM247" s="585"/>
      <c r="AN247" s="585"/>
      <c r="AO247" s="585"/>
      <c r="AP247" s="585"/>
      <c r="AQ247" s="585"/>
      <c r="AR247" s="585"/>
      <c r="AS247" s="585"/>
      <c r="AT247" s="585"/>
      <c r="AU247" s="585"/>
      <c r="AV247" s="585"/>
      <c r="AW247" s="585"/>
      <c r="AX247" s="585"/>
      <c r="AY247" s="585"/>
      <c r="AZ247" s="585"/>
      <c r="BA247" s="585"/>
      <c r="BB247" s="586"/>
      <c r="BC247" s="544">
        <v>150</v>
      </c>
      <c r="BD247" s="545"/>
      <c r="BE247" s="545"/>
      <c r="BF247" s="545"/>
      <c r="BG247" s="545"/>
      <c r="BH247" s="545"/>
      <c r="BI247" s="545"/>
      <c r="BJ247" s="545"/>
      <c r="BK247" s="545"/>
      <c r="BL247" s="545"/>
      <c r="BM247" s="545"/>
      <c r="BN247" s="545"/>
      <c r="BO247" s="545"/>
      <c r="BP247" s="545"/>
      <c r="BQ247" s="545"/>
      <c r="BR247" s="546"/>
      <c r="BS247" s="544">
        <v>22</v>
      </c>
      <c r="BT247" s="545"/>
      <c r="BU247" s="545"/>
      <c r="BV247" s="545"/>
      <c r="BW247" s="545"/>
      <c r="BX247" s="545"/>
      <c r="BY247" s="545"/>
      <c r="BZ247" s="545"/>
      <c r="CA247" s="545"/>
      <c r="CB247" s="545"/>
      <c r="CC247" s="545"/>
      <c r="CD247" s="545"/>
      <c r="CE247" s="545"/>
      <c r="CF247" s="545"/>
      <c r="CG247" s="545"/>
      <c r="CH247" s="546"/>
      <c r="CI247" s="627">
        <f t="shared" si="1"/>
        <v>3300</v>
      </c>
      <c r="CJ247" s="628"/>
      <c r="CK247" s="628"/>
      <c r="CL247" s="628"/>
      <c r="CM247" s="628"/>
      <c r="CN247" s="628"/>
      <c r="CO247" s="628"/>
      <c r="CP247" s="628"/>
      <c r="CQ247" s="628"/>
      <c r="CR247" s="628"/>
      <c r="CS247" s="628"/>
      <c r="CT247" s="628"/>
      <c r="CU247" s="628"/>
      <c r="CV247" s="628"/>
      <c r="CW247" s="628"/>
      <c r="CX247" s="628"/>
      <c r="CY247" s="628"/>
      <c r="CZ247" s="629"/>
      <c r="DA247" s="214"/>
    </row>
    <row r="248" spans="1:105" s="16" customFormat="1" ht="15" customHeight="1" x14ac:dyDescent="0.3">
      <c r="A248" s="630" t="s">
        <v>462</v>
      </c>
      <c r="B248" s="631"/>
      <c r="C248" s="631"/>
      <c r="D248" s="631"/>
      <c r="E248" s="631"/>
      <c r="F248" s="631"/>
      <c r="G248" s="632"/>
      <c r="H248" s="584" t="s">
        <v>911</v>
      </c>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5"/>
      <c r="AL248" s="585"/>
      <c r="AM248" s="585"/>
      <c r="AN248" s="585"/>
      <c r="AO248" s="585"/>
      <c r="AP248" s="585"/>
      <c r="AQ248" s="585"/>
      <c r="AR248" s="585"/>
      <c r="AS248" s="585"/>
      <c r="AT248" s="585"/>
      <c r="AU248" s="585"/>
      <c r="AV248" s="585"/>
      <c r="AW248" s="585"/>
      <c r="AX248" s="585"/>
      <c r="AY248" s="585"/>
      <c r="AZ248" s="585"/>
      <c r="BA248" s="585"/>
      <c r="BB248" s="586"/>
      <c r="BC248" s="544">
        <v>106.1</v>
      </c>
      <c r="BD248" s="545"/>
      <c r="BE248" s="545"/>
      <c r="BF248" s="545"/>
      <c r="BG248" s="545"/>
      <c r="BH248" s="545"/>
      <c r="BI248" s="545"/>
      <c r="BJ248" s="545"/>
      <c r="BK248" s="545"/>
      <c r="BL248" s="545"/>
      <c r="BM248" s="545"/>
      <c r="BN248" s="545"/>
      <c r="BO248" s="545"/>
      <c r="BP248" s="545"/>
      <c r="BQ248" s="545"/>
      <c r="BR248" s="546"/>
      <c r="BS248" s="544">
        <v>22</v>
      </c>
      <c r="BT248" s="545"/>
      <c r="BU248" s="545"/>
      <c r="BV248" s="545"/>
      <c r="BW248" s="545"/>
      <c r="BX248" s="545"/>
      <c r="BY248" s="545"/>
      <c r="BZ248" s="545"/>
      <c r="CA248" s="545"/>
      <c r="CB248" s="545"/>
      <c r="CC248" s="545"/>
      <c r="CD248" s="545"/>
      <c r="CE248" s="545"/>
      <c r="CF248" s="545"/>
      <c r="CG248" s="545"/>
      <c r="CH248" s="546"/>
      <c r="CI248" s="627">
        <f>BC248*BS248+0.8</f>
        <v>2335</v>
      </c>
      <c r="CJ248" s="628"/>
      <c r="CK248" s="628"/>
      <c r="CL248" s="628"/>
      <c r="CM248" s="628"/>
      <c r="CN248" s="628"/>
      <c r="CO248" s="628"/>
      <c r="CP248" s="628"/>
      <c r="CQ248" s="628"/>
      <c r="CR248" s="628"/>
      <c r="CS248" s="628"/>
      <c r="CT248" s="628"/>
      <c r="CU248" s="628"/>
      <c r="CV248" s="628"/>
      <c r="CW248" s="628"/>
      <c r="CX248" s="628"/>
      <c r="CY248" s="628"/>
      <c r="CZ248" s="629"/>
      <c r="DA248" s="214"/>
    </row>
    <row r="249" spans="1:105" s="16" customFormat="1" ht="15" hidden="1" customHeight="1" x14ac:dyDescent="0.3">
      <c r="A249" s="659" t="s">
        <v>642</v>
      </c>
      <c r="B249" s="659"/>
      <c r="C249" s="659"/>
      <c r="D249" s="659"/>
      <c r="E249" s="659"/>
      <c r="F249" s="659"/>
      <c r="G249" s="659"/>
      <c r="H249" s="584" t="s">
        <v>845</v>
      </c>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5"/>
      <c r="AL249" s="585"/>
      <c r="AM249" s="585"/>
      <c r="AN249" s="585"/>
      <c r="AO249" s="585"/>
      <c r="AP249" s="585"/>
      <c r="AQ249" s="585"/>
      <c r="AR249" s="585"/>
      <c r="AS249" s="585"/>
      <c r="AT249" s="585"/>
      <c r="AU249" s="585"/>
      <c r="AV249" s="585"/>
      <c r="AW249" s="585"/>
      <c r="AX249" s="585"/>
      <c r="AY249" s="585"/>
      <c r="AZ249" s="585"/>
      <c r="BA249" s="585"/>
      <c r="BB249" s="586"/>
      <c r="BC249" s="544"/>
      <c r="BD249" s="545"/>
      <c r="BE249" s="545"/>
      <c r="BF249" s="545"/>
      <c r="BG249" s="545"/>
      <c r="BH249" s="545"/>
      <c r="BI249" s="545"/>
      <c r="BJ249" s="545"/>
      <c r="BK249" s="545"/>
      <c r="BL249" s="545"/>
      <c r="BM249" s="545"/>
      <c r="BN249" s="545"/>
      <c r="BO249" s="545"/>
      <c r="BP249" s="545"/>
      <c r="BQ249" s="545"/>
      <c r="BR249" s="546"/>
      <c r="BS249" s="544"/>
      <c r="BT249" s="545"/>
      <c r="BU249" s="545"/>
      <c r="BV249" s="545"/>
      <c r="BW249" s="545"/>
      <c r="BX249" s="545"/>
      <c r="BY249" s="545"/>
      <c r="BZ249" s="545"/>
      <c r="CA249" s="545"/>
      <c r="CB249" s="545"/>
      <c r="CC249" s="545"/>
      <c r="CD249" s="545"/>
      <c r="CE249" s="545"/>
      <c r="CF249" s="545"/>
      <c r="CG249" s="545"/>
      <c r="CH249" s="546"/>
      <c r="CI249" s="627">
        <f>BC249*BS249</f>
        <v>0</v>
      </c>
      <c r="CJ249" s="628"/>
      <c r="CK249" s="628"/>
      <c r="CL249" s="628"/>
      <c r="CM249" s="628"/>
      <c r="CN249" s="628"/>
      <c r="CO249" s="628"/>
      <c r="CP249" s="628"/>
      <c r="CQ249" s="628"/>
      <c r="CR249" s="628"/>
      <c r="CS249" s="628"/>
      <c r="CT249" s="628"/>
      <c r="CU249" s="628"/>
      <c r="CV249" s="628"/>
      <c r="CW249" s="628"/>
      <c r="CX249" s="628"/>
      <c r="CY249" s="628"/>
      <c r="CZ249" s="629"/>
      <c r="DA249" s="214"/>
    </row>
    <row r="250" spans="1:105" s="16" customFormat="1" ht="15" customHeight="1" x14ac:dyDescent="0.3">
      <c r="A250" s="633" t="s">
        <v>292</v>
      </c>
      <c r="B250" s="634"/>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4"/>
      <c r="AY250" s="634"/>
      <c r="AZ250" s="634"/>
      <c r="BA250" s="634"/>
      <c r="BB250" s="635"/>
      <c r="BC250" s="544" t="s">
        <v>4</v>
      </c>
      <c r="BD250" s="545"/>
      <c r="BE250" s="545"/>
      <c r="BF250" s="545"/>
      <c r="BG250" s="545"/>
      <c r="BH250" s="545"/>
      <c r="BI250" s="545"/>
      <c r="BJ250" s="545"/>
      <c r="BK250" s="545"/>
      <c r="BL250" s="545"/>
      <c r="BM250" s="545"/>
      <c r="BN250" s="545"/>
      <c r="BO250" s="545"/>
      <c r="BP250" s="545"/>
      <c r="BQ250" s="545"/>
      <c r="BR250" s="546"/>
      <c r="BS250" s="544" t="s">
        <v>4</v>
      </c>
      <c r="BT250" s="545"/>
      <c r="BU250" s="545"/>
      <c r="BV250" s="545"/>
      <c r="BW250" s="545"/>
      <c r="BX250" s="545"/>
      <c r="BY250" s="545"/>
      <c r="BZ250" s="545"/>
      <c r="CA250" s="545"/>
      <c r="CB250" s="545"/>
      <c r="CC250" s="545"/>
      <c r="CD250" s="545"/>
      <c r="CE250" s="545"/>
      <c r="CF250" s="545"/>
      <c r="CG250" s="545"/>
      <c r="CH250" s="546"/>
      <c r="CI250" s="636">
        <f>SUM(CI243:CZ249)</f>
        <v>7989</v>
      </c>
      <c r="CJ250" s="654"/>
      <c r="CK250" s="654"/>
      <c r="CL250" s="654"/>
      <c r="CM250" s="654"/>
      <c r="CN250" s="654"/>
      <c r="CO250" s="654"/>
      <c r="CP250" s="654"/>
      <c r="CQ250" s="654"/>
      <c r="CR250" s="654"/>
      <c r="CS250" s="654"/>
      <c r="CT250" s="654"/>
      <c r="CU250" s="654"/>
      <c r="CV250" s="654"/>
      <c r="CW250" s="654"/>
      <c r="CX250" s="654"/>
      <c r="CY250" s="654"/>
      <c r="CZ250" s="655"/>
      <c r="DA250" s="214"/>
    </row>
    <row r="251" spans="1:105" s="16" customFormat="1" ht="15" hidden="1" customHeight="1" x14ac:dyDescent="0.3">
      <c r="A251" s="648" t="s">
        <v>584</v>
      </c>
      <c r="B251" s="649"/>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9"/>
      <c r="AL251" s="649"/>
      <c r="AM251" s="649"/>
      <c r="AN251" s="649"/>
      <c r="AO251" s="649"/>
      <c r="AP251" s="649"/>
      <c r="AQ251" s="649"/>
      <c r="AR251" s="649"/>
      <c r="AS251" s="649"/>
      <c r="AT251" s="649"/>
      <c r="AU251" s="649"/>
      <c r="AV251" s="649"/>
      <c r="AW251" s="649"/>
      <c r="AX251" s="649"/>
      <c r="AY251" s="649"/>
      <c r="AZ251" s="649"/>
      <c r="BA251" s="649"/>
      <c r="BB251" s="649"/>
      <c r="BC251" s="649"/>
      <c r="BD251" s="649"/>
      <c r="BE251" s="649"/>
      <c r="BF251" s="649"/>
      <c r="BG251" s="649"/>
      <c r="BH251" s="649"/>
      <c r="BI251" s="649"/>
      <c r="BJ251" s="649"/>
      <c r="BK251" s="649"/>
      <c r="BL251" s="649"/>
      <c r="BM251" s="649"/>
      <c r="BN251" s="649"/>
      <c r="BO251" s="649"/>
      <c r="BP251" s="649"/>
      <c r="BQ251" s="649"/>
      <c r="BR251" s="649"/>
      <c r="BS251" s="649"/>
      <c r="BT251" s="649"/>
      <c r="BU251" s="649"/>
      <c r="BV251" s="649"/>
      <c r="BW251" s="649"/>
      <c r="BX251" s="649"/>
      <c r="BY251" s="649"/>
      <c r="BZ251" s="649"/>
      <c r="CA251" s="649"/>
      <c r="CB251" s="649"/>
      <c r="CC251" s="649"/>
      <c r="CD251" s="649"/>
      <c r="CE251" s="649"/>
      <c r="CF251" s="649"/>
      <c r="CG251" s="649"/>
      <c r="CH251" s="649"/>
      <c r="CI251" s="649"/>
      <c r="CJ251" s="649"/>
      <c r="CK251" s="649"/>
      <c r="CL251" s="649"/>
      <c r="CM251" s="649"/>
      <c r="CN251" s="649"/>
      <c r="CO251" s="649"/>
      <c r="CP251" s="649"/>
      <c r="CQ251" s="649"/>
      <c r="CR251" s="649"/>
      <c r="CS251" s="649"/>
      <c r="CT251" s="649"/>
      <c r="CU251" s="649"/>
      <c r="CV251" s="649"/>
      <c r="CW251" s="649"/>
      <c r="CX251" s="649"/>
      <c r="CY251" s="649"/>
      <c r="CZ251" s="649"/>
      <c r="DA251" s="214"/>
    </row>
    <row r="252" spans="1:105" s="16" customFormat="1" ht="15" hidden="1" customHeight="1" x14ac:dyDescent="0.3">
      <c r="A252" s="630" t="s">
        <v>580</v>
      </c>
      <c r="B252" s="631"/>
      <c r="C252" s="631"/>
      <c r="D252" s="631"/>
      <c r="E252" s="631"/>
      <c r="F252" s="631"/>
      <c r="G252" s="632"/>
      <c r="H252" s="584" t="s">
        <v>845</v>
      </c>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5"/>
      <c r="AL252" s="585"/>
      <c r="AM252" s="585"/>
      <c r="AN252" s="585"/>
      <c r="AO252" s="585"/>
      <c r="AP252" s="585"/>
      <c r="AQ252" s="585"/>
      <c r="AR252" s="585"/>
      <c r="AS252" s="585"/>
      <c r="AT252" s="585"/>
      <c r="AU252" s="585"/>
      <c r="AV252" s="585"/>
      <c r="AW252" s="585"/>
      <c r="AX252" s="585"/>
      <c r="AY252" s="585"/>
      <c r="AZ252" s="585"/>
      <c r="BA252" s="585"/>
      <c r="BB252" s="586"/>
      <c r="BC252" s="544"/>
      <c r="BD252" s="545"/>
      <c r="BE252" s="545"/>
      <c r="BF252" s="545"/>
      <c r="BG252" s="545"/>
      <c r="BH252" s="545"/>
      <c r="BI252" s="545"/>
      <c r="BJ252" s="545"/>
      <c r="BK252" s="545"/>
      <c r="BL252" s="545"/>
      <c r="BM252" s="545"/>
      <c r="BN252" s="545"/>
      <c r="BO252" s="545"/>
      <c r="BP252" s="545"/>
      <c r="BQ252" s="545"/>
      <c r="BR252" s="546"/>
      <c r="BS252" s="639"/>
      <c r="BT252" s="640"/>
      <c r="BU252" s="640"/>
      <c r="BV252" s="640"/>
      <c r="BW252" s="640"/>
      <c r="BX252" s="640"/>
      <c r="BY252" s="640"/>
      <c r="BZ252" s="640"/>
      <c r="CA252" s="640"/>
      <c r="CB252" s="640"/>
      <c r="CC252" s="640"/>
      <c r="CD252" s="640"/>
      <c r="CE252" s="640"/>
      <c r="CF252" s="640"/>
      <c r="CG252" s="640"/>
      <c r="CH252" s="641"/>
      <c r="CI252" s="627">
        <f>BC252*BS252</f>
        <v>0</v>
      </c>
      <c r="CJ252" s="628"/>
      <c r="CK252" s="628"/>
      <c r="CL252" s="628"/>
      <c r="CM252" s="628"/>
      <c r="CN252" s="628"/>
      <c r="CO252" s="628"/>
      <c r="CP252" s="628"/>
      <c r="CQ252" s="628"/>
      <c r="CR252" s="628"/>
      <c r="CS252" s="628"/>
      <c r="CT252" s="628"/>
      <c r="CU252" s="628"/>
      <c r="CV252" s="628"/>
      <c r="CW252" s="628"/>
      <c r="CX252" s="628"/>
      <c r="CY252" s="628"/>
      <c r="CZ252" s="629"/>
      <c r="DA252" s="214"/>
    </row>
    <row r="253" spans="1:105" s="16" customFormat="1" ht="15" hidden="1" customHeight="1" x14ac:dyDescent="0.3">
      <c r="A253" s="630" t="s">
        <v>444</v>
      </c>
      <c r="B253" s="631"/>
      <c r="C253" s="631"/>
      <c r="D253" s="631"/>
      <c r="E253" s="631"/>
      <c r="F253" s="631"/>
      <c r="G253" s="632"/>
      <c r="H253" s="584" t="s">
        <v>890</v>
      </c>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585"/>
      <c r="AY253" s="585"/>
      <c r="AZ253" s="585"/>
      <c r="BA253" s="585"/>
      <c r="BB253" s="586"/>
      <c r="BC253" s="544"/>
      <c r="BD253" s="545"/>
      <c r="BE253" s="545"/>
      <c r="BF253" s="545"/>
      <c r="BG253" s="545"/>
      <c r="BH253" s="545"/>
      <c r="BI253" s="545"/>
      <c r="BJ253" s="545"/>
      <c r="BK253" s="545"/>
      <c r="BL253" s="545"/>
      <c r="BM253" s="545"/>
      <c r="BN253" s="545"/>
      <c r="BO253" s="545"/>
      <c r="BP253" s="545"/>
      <c r="BQ253" s="545"/>
      <c r="BR253" s="546"/>
      <c r="BS253" s="639"/>
      <c r="BT253" s="640"/>
      <c r="BU253" s="640"/>
      <c r="BV253" s="640"/>
      <c r="BW253" s="640"/>
      <c r="BX253" s="640"/>
      <c r="BY253" s="640"/>
      <c r="BZ253" s="640"/>
      <c r="CA253" s="640"/>
      <c r="CB253" s="640"/>
      <c r="CC253" s="640"/>
      <c r="CD253" s="640"/>
      <c r="CE253" s="640"/>
      <c r="CF253" s="640"/>
      <c r="CG253" s="640"/>
      <c r="CH253" s="641"/>
      <c r="CI253" s="627">
        <f>BC253*BS253</f>
        <v>0</v>
      </c>
      <c r="CJ253" s="628"/>
      <c r="CK253" s="628"/>
      <c r="CL253" s="628"/>
      <c r="CM253" s="628"/>
      <c r="CN253" s="628"/>
      <c r="CO253" s="628"/>
      <c r="CP253" s="628"/>
      <c r="CQ253" s="628"/>
      <c r="CR253" s="628"/>
      <c r="CS253" s="628"/>
      <c r="CT253" s="628"/>
      <c r="CU253" s="628"/>
      <c r="CV253" s="628"/>
      <c r="CW253" s="628"/>
      <c r="CX253" s="628"/>
      <c r="CY253" s="628"/>
      <c r="CZ253" s="629"/>
      <c r="DA253" s="214"/>
    </row>
    <row r="254" spans="1:105" s="16" customFormat="1" ht="15" hidden="1" customHeight="1" x14ac:dyDescent="0.3">
      <c r="A254" s="633" t="s">
        <v>292</v>
      </c>
      <c r="B254" s="634"/>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4"/>
      <c r="AL254" s="634"/>
      <c r="AM254" s="634"/>
      <c r="AN254" s="634"/>
      <c r="AO254" s="634"/>
      <c r="AP254" s="634"/>
      <c r="AQ254" s="634"/>
      <c r="AR254" s="634"/>
      <c r="AS254" s="634"/>
      <c r="AT254" s="634"/>
      <c r="AU254" s="634"/>
      <c r="AV254" s="634"/>
      <c r="AW254" s="634"/>
      <c r="AX254" s="634"/>
      <c r="AY254" s="634"/>
      <c r="AZ254" s="634"/>
      <c r="BA254" s="634"/>
      <c r="BB254" s="635"/>
      <c r="BC254" s="544" t="s">
        <v>4</v>
      </c>
      <c r="BD254" s="545"/>
      <c r="BE254" s="545"/>
      <c r="BF254" s="545"/>
      <c r="BG254" s="545"/>
      <c r="BH254" s="545"/>
      <c r="BI254" s="545"/>
      <c r="BJ254" s="545"/>
      <c r="BK254" s="545"/>
      <c r="BL254" s="545"/>
      <c r="BM254" s="545"/>
      <c r="BN254" s="545"/>
      <c r="BO254" s="545"/>
      <c r="BP254" s="545"/>
      <c r="BQ254" s="545"/>
      <c r="BR254" s="546"/>
      <c r="BS254" s="544" t="s">
        <v>4</v>
      </c>
      <c r="BT254" s="545"/>
      <c r="BU254" s="545"/>
      <c r="BV254" s="545"/>
      <c r="BW254" s="545"/>
      <c r="BX254" s="545"/>
      <c r="BY254" s="545"/>
      <c r="BZ254" s="545"/>
      <c r="CA254" s="545"/>
      <c r="CB254" s="545"/>
      <c r="CC254" s="545"/>
      <c r="CD254" s="545"/>
      <c r="CE254" s="545"/>
      <c r="CF254" s="545"/>
      <c r="CG254" s="545"/>
      <c r="CH254" s="546"/>
      <c r="CI254" s="636">
        <f>SUM(CI252:CZ253)</f>
        <v>0</v>
      </c>
      <c r="CJ254" s="654"/>
      <c r="CK254" s="654"/>
      <c r="CL254" s="654"/>
      <c r="CM254" s="654"/>
      <c r="CN254" s="654"/>
      <c r="CO254" s="654"/>
      <c r="CP254" s="654"/>
      <c r="CQ254" s="654"/>
      <c r="CR254" s="654"/>
      <c r="CS254" s="654"/>
      <c r="CT254" s="654"/>
      <c r="CU254" s="654"/>
      <c r="CV254" s="654"/>
      <c r="CW254" s="654"/>
      <c r="CX254" s="654"/>
      <c r="CY254" s="654"/>
      <c r="CZ254" s="655"/>
      <c r="DA254" s="214"/>
    </row>
    <row r="255" spans="1:105" s="16" customFormat="1" ht="15" customHeight="1" x14ac:dyDescent="0.3">
      <c r="A255" s="553" t="s">
        <v>56</v>
      </c>
      <c r="B255" s="554"/>
      <c r="C255" s="554"/>
      <c r="D255" s="554"/>
      <c r="E255" s="554"/>
      <c r="F255" s="554"/>
      <c r="G255" s="554"/>
      <c r="H255" s="554"/>
      <c r="I255" s="554"/>
      <c r="J255" s="554"/>
      <c r="K255" s="554"/>
      <c r="L255" s="554"/>
      <c r="M255" s="554"/>
      <c r="N255" s="554"/>
      <c r="O255" s="554"/>
      <c r="P255" s="554"/>
      <c r="Q255" s="554"/>
      <c r="R255" s="554"/>
      <c r="S255" s="554"/>
      <c r="T255" s="554"/>
      <c r="U255" s="554"/>
      <c r="V255" s="554"/>
      <c r="W255" s="554"/>
      <c r="X255" s="554"/>
      <c r="Y255" s="554"/>
      <c r="Z255" s="554"/>
      <c r="AA255" s="554"/>
      <c r="AB255" s="554"/>
      <c r="AC255" s="554"/>
      <c r="AD255" s="554"/>
      <c r="AE255" s="554"/>
      <c r="AF255" s="554"/>
      <c r="AG255" s="554"/>
      <c r="AH255" s="554"/>
      <c r="AI255" s="554"/>
      <c r="AJ255" s="554"/>
      <c r="AK255" s="554"/>
      <c r="AL255" s="554"/>
      <c r="AM255" s="554"/>
      <c r="AN255" s="554"/>
      <c r="AO255" s="554"/>
      <c r="AP255" s="554"/>
      <c r="AQ255" s="554"/>
      <c r="AR255" s="554"/>
      <c r="AS255" s="554"/>
      <c r="AT255" s="554"/>
      <c r="AU255" s="554"/>
      <c r="AV255" s="554"/>
      <c r="AW255" s="554"/>
      <c r="AX255" s="554"/>
      <c r="AY255" s="554"/>
      <c r="AZ255" s="554"/>
      <c r="BA255" s="554"/>
      <c r="BB255" s="555"/>
      <c r="BC255" s="582" t="s">
        <v>4</v>
      </c>
      <c r="BD255" s="582"/>
      <c r="BE255" s="582"/>
      <c r="BF255" s="582"/>
      <c r="BG255" s="582"/>
      <c r="BH255" s="582"/>
      <c r="BI255" s="582"/>
      <c r="BJ255" s="582"/>
      <c r="BK255" s="582"/>
      <c r="BL255" s="582"/>
      <c r="BM255" s="582"/>
      <c r="BN255" s="582"/>
      <c r="BO255" s="582"/>
      <c r="BP255" s="582"/>
      <c r="BQ255" s="582"/>
      <c r="BR255" s="582"/>
      <c r="BS255" s="582" t="s">
        <v>4</v>
      </c>
      <c r="BT255" s="582"/>
      <c r="BU255" s="582"/>
      <c r="BV255" s="582"/>
      <c r="BW255" s="582"/>
      <c r="BX255" s="582"/>
      <c r="BY255" s="582"/>
      <c r="BZ255" s="582"/>
      <c r="CA255" s="582"/>
      <c r="CB255" s="582"/>
      <c r="CC255" s="582"/>
      <c r="CD255" s="582"/>
      <c r="CE255" s="582"/>
      <c r="CF255" s="582"/>
      <c r="CG255" s="582"/>
      <c r="CH255" s="582"/>
      <c r="CI255" s="611">
        <f>CI250+CI254</f>
        <v>7989</v>
      </c>
      <c r="CJ255" s="560"/>
      <c r="CK255" s="560"/>
      <c r="CL255" s="560"/>
      <c r="CM255" s="560"/>
      <c r="CN255" s="560"/>
      <c r="CO255" s="560"/>
      <c r="CP255" s="560"/>
      <c r="CQ255" s="560"/>
      <c r="CR255" s="560"/>
      <c r="CS255" s="560"/>
      <c r="CT255" s="560"/>
      <c r="CU255" s="560"/>
      <c r="CV255" s="560"/>
      <c r="CW255" s="560"/>
      <c r="CX255" s="560"/>
      <c r="CY255" s="560"/>
      <c r="CZ255" s="560"/>
      <c r="DA255" s="220"/>
    </row>
    <row r="256" spans="1:105" s="16" customFormat="1" ht="15" customHeight="1" x14ac:dyDescent="0.3">
      <c r="A256" s="221"/>
      <c r="B256" s="221"/>
      <c r="C256" s="221"/>
      <c r="D256" s="221"/>
      <c r="E256" s="221"/>
      <c r="F256" s="221"/>
      <c r="G256" s="221"/>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14"/>
    </row>
    <row r="257" spans="1:105" s="20" customFormat="1" ht="29.25" customHeight="1" x14ac:dyDescent="0.25">
      <c r="A257" s="524" t="s">
        <v>281</v>
      </c>
      <c r="B257" s="524"/>
      <c r="C257" s="524"/>
      <c r="D257" s="524"/>
      <c r="E257" s="524"/>
      <c r="F257" s="524"/>
      <c r="G257" s="524"/>
      <c r="H257" s="524"/>
      <c r="I257" s="524"/>
      <c r="J257" s="524"/>
      <c r="K257" s="524"/>
      <c r="L257" s="524"/>
      <c r="M257" s="524"/>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4"/>
      <c r="AJ257" s="524"/>
      <c r="AK257" s="524"/>
      <c r="AL257" s="524"/>
      <c r="AM257" s="524"/>
      <c r="AN257" s="524"/>
      <c r="AO257" s="524"/>
      <c r="AP257" s="524"/>
      <c r="AQ257" s="524"/>
      <c r="AR257" s="524"/>
      <c r="AS257" s="524"/>
      <c r="AT257" s="524"/>
      <c r="AU257" s="524"/>
      <c r="AV257" s="524"/>
      <c r="AW257" s="524"/>
      <c r="AX257" s="524"/>
      <c r="AY257" s="524"/>
      <c r="AZ257" s="524"/>
      <c r="BA257" s="524"/>
      <c r="BB257" s="524"/>
      <c r="BC257" s="524"/>
      <c r="BD257" s="524"/>
      <c r="BE257" s="524"/>
      <c r="BF257" s="524"/>
      <c r="BG257" s="524"/>
      <c r="BH257" s="524"/>
      <c r="BI257" s="524"/>
      <c r="BJ257" s="524"/>
      <c r="BK257" s="524"/>
      <c r="BL257" s="524"/>
      <c r="BM257" s="524"/>
      <c r="BN257" s="524"/>
      <c r="BO257" s="524"/>
      <c r="BP257" s="524"/>
      <c r="BQ257" s="524"/>
      <c r="BR257" s="524"/>
      <c r="BS257" s="524"/>
      <c r="BT257" s="524"/>
      <c r="BU257" s="524"/>
      <c r="BV257" s="524"/>
      <c r="BW257" s="524"/>
      <c r="BX257" s="524"/>
      <c r="BY257" s="524"/>
      <c r="BZ257" s="524"/>
      <c r="CA257" s="524"/>
      <c r="CB257" s="524"/>
      <c r="CC257" s="524"/>
      <c r="CD257" s="524"/>
      <c r="CE257" s="524"/>
      <c r="CF257" s="524"/>
      <c r="CG257" s="524"/>
      <c r="CH257" s="524"/>
      <c r="CI257" s="524"/>
      <c r="CJ257" s="524"/>
      <c r="CK257" s="524"/>
      <c r="CL257" s="524"/>
      <c r="CM257" s="524"/>
      <c r="CN257" s="524"/>
      <c r="CO257" s="524"/>
      <c r="CP257" s="524"/>
      <c r="CQ257" s="524"/>
      <c r="CR257" s="524"/>
      <c r="CS257" s="524"/>
      <c r="CT257" s="524"/>
      <c r="CU257" s="524"/>
      <c r="CV257" s="524"/>
      <c r="CW257" s="524"/>
      <c r="CX257" s="524"/>
      <c r="CY257" s="524"/>
      <c r="CZ257" s="524"/>
    </row>
    <row r="258" spans="1:105" ht="11.25" customHeight="1" x14ac:dyDescent="0.25"/>
    <row r="259" spans="1:105" s="20" customFormat="1" x14ac:dyDescent="0.25">
      <c r="A259" s="20" t="s">
        <v>47</v>
      </c>
      <c r="W259" s="595" t="s">
        <v>585</v>
      </c>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5"/>
      <c r="AS259" s="595"/>
      <c r="AT259" s="595"/>
      <c r="AU259" s="595"/>
      <c r="AV259" s="595"/>
      <c r="AW259" s="595"/>
      <c r="AX259" s="595"/>
      <c r="AY259" s="595"/>
      <c r="AZ259" s="595"/>
      <c r="BA259" s="595"/>
      <c r="BB259" s="595"/>
      <c r="BC259" s="595"/>
      <c r="BD259" s="595"/>
      <c r="BE259" s="595"/>
      <c r="BF259" s="595"/>
      <c r="BG259" s="595"/>
      <c r="BH259" s="595"/>
      <c r="BI259" s="595"/>
      <c r="BJ259" s="595"/>
      <c r="BK259" s="595"/>
      <c r="BL259" s="595"/>
      <c r="BM259" s="595"/>
      <c r="BN259" s="595"/>
      <c r="BO259" s="595"/>
      <c r="BP259" s="595"/>
      <c r="BQ259" s="595"/>
      <c r="BR259" s="595"/>
      <c r="BS259" s="595"/>
      <c r="BT259" s="595"/>
      <c r="BU259" s="595"/>
      <c r="BV259" s="595"/>
      <c r="BW259" s="595"/>
      <c r="BX259" s="595"/>
      <c r="BY259" s="595"/>
      <c r="BZ259" s="595"/>
      <c r="CA259" s="595"/>
      <c r="CB259" s="595"/>
      <c r="CC259" s="595"/>
      <c r="CD259" s="595"/>
      <c r="CE259" s="595"/>
      <c r="CF259" s="595"/>
      <c r="CG259" s="595"/>
      <c r="CH259" s="595"/>
      <c r="CI259" s="595"/>
      <c r="CJ259" s="595"/>
      <c r="CK259" s="595"/>
      <c r="CL259" s="595"/>
      <c r="CM259" s="595"/>
      <c r="CN259" s="595"/>
      <c r="CO259" s="595"/>
      <c r="CP259" s="595"/>
      <c r="CQ259" s="595"/>
      <c r="CR259" s="595"/>
      <c r="CS259" s="595"/>
      <c r="CT259" s="595"/>
      <c r="CU259" s="595"/>
      <c r="CV259" s="595"/>
      <c r="CW259" s="595"/>
      <c r="CX259" s="595"/>
      <c r="CY259" s="595"/>
      <c r="CZ259" s="595"/>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75" t="s">
        <v>49</v>
      </c>
      <c r="B261" s="476"/>
      <c r="C261" s="476"/>
      <c r="D261" s="476"/>
      <c r="E261" s="476"/>
      <c r="F261" s="476"/>
      <c r="G261" s="477"/>
      <c r="H261" s="475" t="s">
        <v>0</v>
      </c>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c r="AK261" s="476"/>
      <c r="AL261" s="476"/>
      <c r="AM261" s="476"/>
      <c r="AN261" s="476"/>
      <c r="AO261" s="476"/>
      <c r="AP261" s="476"/>
      <c r="AQ261" s="476"/>
      <c r="AR261" s="476"/>
      <c r="AS261" s="476"/>
      <c r="AT261" s="476"/>
      <c r="AU261" s="476"/>
      <c r="AV261" s="476"/>
      <c r="AW261" s="476"/>
      <c r="AX261" s="476"/>
      <c r="AY261" s="476"/>
      <c r="AZ261" s="476"/>
      <c r="BA261" s="476"/>
      <c r="BB261" s="477"/>
      <c r="BC261" s="597" t="s">
        <v>79</v>
      </c>
      <c r="BD261" s="598"/>
      <c r="BE261" s="598"/>
      <c r="BF261" s="598"/>
      <c r="BG261" s="598"/>
      <c r="BH261" s="598"/>
      <c r="BI261" s="598"/>
      <c r="BJ261" s="598"/>
      <c r="BK261" s="598"/>
      <c r="BL261" s="598"/>
      <c r="BM261" s="598"/>
      <c r="BN261" s="598"/>
      <c r="BO261" s="598"/>
      <c r="BP261" s="598"/>
      <c r="BQ261" s="598"/>
      <c r="BR261" s="599"/>
      <c r="BS261" s="606" t="s">
        <v>80</v>
      </c>
      <c r="BT261" s="606"/>
      <c r="BU261" s="606"/>
      <c r="BV261" s="606"/>
      <c r="BW261" s="606"/>
      <c r="BX261" s="606"/>
      <c r="BY261" s="606"/>
      <c r="BZ261" s="606"/>
      <c r="CA261" s="606"/>
      <c r="CB261" s="606"/>
      <c r="CC261" s="606"/>
      <c r="CD261" s="606"/>
      <c r="CE261" s="606"/>
      <c r="CF261" s="606"/>
      <c r="CG261" s="606"/>
      <c r="CH261" s="606"/>
      <c r="CI261" s="606" t="s">
        <v>81</v>
      </c>
      <c r="CJ261" s="606"/>
      <c r="CK261" s="606"/>
      <c r="CL261" s="606"/>
      <c r="CM261" s="606"/>
      <c r="CN261" s="606"/>
      <c r="CO261" s="606"/>
      <c r="CP261" s="606"/>
      <c r="CQ261" s="606"/>
      <c r="CR261" s="606"/>
      <c r="CS261" s="606"/>
      <c r="CT261" s="606"/>
      <c r="CU261" s="606"/>
      <c r="CV261" s="606"/>
      <c r="CW261" s="606"/>
      <c r="CX261" s="606"/>
      <c r="CY261" s="606"/>
      <c r="CZ261" s="606"/>
      <c r="DA261" s="218"/>
    </row>
    <row r="262" spans="1:105" s="15" customFormat="1" ht="13.2" x14ac:dyDescent="0.3">
      <c r="A262" s="591">
        <v>1</v>
      </c>
      <c r="B262" s="591"/>
      <c r="C262" s="591"/>
      <c r="D262" s="591"/>
      <c r="E262" s="591"/>
      <c r="F262" s="591"/>
      <c r="G262" s="591"/>
      <c r="H262" s="591">
        <v>2</v>
      </c>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1"/>
      <c r="AL262" s="591"/>
      <c r="AM262" s="591"/>
      <c r="AN262" s="591"/>
      <c r="AO262" s="591"/>
      <c r="AP262" s="591"/>
      <c r="AQ262" s="591"/>
      <c r="AR262" s="591"/>
      <c r="AS262" s="591"/>
      <c r="AT262" s="591"/>
      <c r="AU262" s="591"/>
      <c r="AV262" s="591"/>
      <c r="AW262" s="591"/>
      <c r="AX262" s="591"/>
      <c r="AY262" s="591"/>
      <c r="AZ262" s="591"/>
      <c r="BA262" s="591"/>
      <c r="BB262" s="591"/>
      <c r="BC262" s="591">
        <v>3</v>
      </c>
      <c r="BD262" s="591"/>
      <c r="BE262" s="591"/>
      <c r="BF262" s="591"/>
      <c r="BG262" s="591"/>
      <c r="BH262" s="591"/>
      <c r="BI262" s="591"/>
      <c r="BJ262" s="591"/>
      <c r="BK262" s="591"/>
      <c r="BL262" s="591"/>
      <c r="BM262" s="591"/>
      <c r="BN262" s="591"/>
      <c r="BO262" s="591"/>
      <c r="BP262" s="591"/>
      <c r="BQ262" s="591"/>
      <c r="BR262" s="591"/>
      <c r="BS262" s="591">
        <v>4</v>
      </c>
      <c r="BT262" s="591"/>
      <c r="BU262" s="591"/>
      <c r="BV262" s="591"/>
      <c r="BW262" s="591"/>
      <c r="BX262" s="591"/>
      <c r="BY262" s="591"/>
      <c r="BZ262" s="591"/>
      <c r="CA262" s="591"/>
      <c r="CB262" s="591"/>
      <c r="CC262" s="591"/>
      <c r="CD262" s="591"/>
      <c r="CE262" s="591"/>
      <c r="CF262" s="591"/>
      <c r="CG262" s="591"/>
      <c r="CH262" s="591"/>
      <c r="CI262" s="591">
        <v>5</v>
      </c>
      <c r="CJ262" s="591"/>
      <c r="CK262" s="591"/>
      <c r="CL262" s="591"/>
      <c r="CM262" s="591"/>
      <c r="CN262" s="591"/>
      <c r="CO262" s="591"/>
      <c r="CP262" s="591"/>
      <c r="CQ262" s="591"/>
      <c r="CR262" s="591"/>
      <c r="CS262" s="591"/>
      <c r="CT262" s="591"/>
      <c r="CU262" s="591"/>
      <c r="CV262" s="591"/>
      <c r="CW262" s="591"/>
      <c r="CX262" s="591"/>
      <c r="CY262" s="591"/>
      <c r="CZ262" s="591"/>
      <c r="DA262" s="219"/>
    </row>
    <row r="263" spans="1:105" s="16" customFormat="1" ht="15" hidden="1" customHeight="1" x14ac:dyDescent="0.3">
      <c r="A263" s="648" t="s">
        <v>584</v>
      </c>
      <c r="B263" s="649"/>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9"/>
      <c r="AL263" s="649"/>
      <c r="AM263" s="649"/>
      <c r="AN263" s="649"/>
      <c r="AO263" s="649"/>
      <c r="AP263" s="649"/>
      <c r="AQ263" s="649"/>
      <c r="AR263" s="649"/>
      <c r="AS263" s="649"/>
      <c r="AT263" s="649"/>
      <c r="AU263" s="649"/>
      <c r="AV263" s="649"/>
      <c r="AW263" s="649"/>
      <c r="AX263" s="649"/>
      <c r="AY263" s="649"/>
      <c r="AZ263" s="649"/>
      <c r="BA263" s="649"/>
      <c r="BB263" s="649"/>
      <c r="BC263" s="649"/>
      <c r="BD263" s="649"/>
      <c r="BE263" s="649"/>
      <c r="BF263" s="649"/>
      <c r="BG263" s="649"/>
      <c r="BH263" s="649"/>
      <c r="BI263" s="649"/>
      <c r="BJ263" s="649"/>
      <c r="BK263" s="649"/>
      <c r="BL263" s="649"/>
      <c r="BM263" s="649"/>
      <c r="BN263" s="649"/>
      <c r="BO263" s="649"/>
      <c r="BP263" s="649"/>
      <c r="BQ263" s="649"/>
      <c r="BR263" s="649"/>
      <c r="BS263" s="649"/>
      <c r="BT263" s="649"/>
      <c r="BU263" s="649"/>
      <c r="BV263" s="649"/>
      <c r="BW263" s="649"/>
      <c r="BX263" s="649"/>
      <c r="BY263" s="649"/>
      <c r="BZ263" s="649"/>
      <c r="CA263" s="649"/>
      <c r="CB263" s="649"/>
      <c r="CC263" s="649"/>
      <c r="CD263" s="649"/>
      <c r="CE263" s="649"/>
      <c r="CF263" s="649"/>
      <c r="CG263" s="649"/>
      <c r="CH263" s="649"/>
      <c r="CI263" s="649"/>
      <c r="CJ263" s="649"/>
      <c r="CK263" s="649"/>
      <c r="CL263" s="649"/>
      <c r="CM263" s="649"/>
      <c r="CN263" s="649"/>
      <c r="CO263" s="649"/>
      <c r="CP263" s="649"/>
      <c r="CQ263" s="649"/>
      <c r="CR263" s="649"/>
      <c r="CS263" s="649"/>
      <c r="CT263" s="649"/>
      <c r="CU263" s="649"/>
      <c r="CV263" s="649"/>
      <c r="CW263" s="649"/>
      <c r="CX263" s="649"/>
      <c r="CY263" s="649"/>
      <c r="CZ263" s="649"/>
      <c r="DA263" s="214"/>
    </row>
    <row r="264" spans="1:105" s="16" customFormat="1" ht="15" hidden="1" customHeight="1" x14ac:dyDescent="0.3">
      <c r="A264" s="630" t="s">
        <v>441</v>
      </c>
      <c r="B264" s="631"/>
      <c r="C264" s="631"/>
      <c r="D264" s="631"/>
      <c r="E264" s="631"/>
      <c r="F264" s="631"/>
      <c r="G264" s="632"/>
      <c r="H264" s="584" t="s">
        <v>586</v>
      </c>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5"/>
      <c r="AL264" s="585"/>
      <c r="AM264" s="585"/>
      <c r="AN264" s="585"/>
      <c r="AO264" s="585"/>
      <c r="AP264" s="585"/>
      <c r="AQ264" s="585"/>
      <c r="AR264" s="585"/>
      <c r="AS264" s="585"/>
      <c r="AT264" s="585"/>
      <c r="AU264" s="585"/>
      <c r="AV264" s="585"/>
      <c r="AW264" s="585"/>
      <c r="AX264" s="585"/>
      <c r="AY264" s="585"/>
      <c r="AZ264" s="585"/>
      <c r="BA264" s="585"/>
      <c r="BB264" s="586"/>
      <c r="BC264" s="544">
        <v>1</v>
      </c>
      <c r="BD264" s="545"/>
      <c r="BE264" s="545"/>
      <c r="BF264" s="545"/>
      <c r="BG264" s="545"/>
      <c r="BH264" s="545"/>
      <c r="BI264" s="545"/>
      <c r="BJ264" s="545"/>
      <c r="BK264" s="545"/>
      <c r="BL264" s="545"/>
      <c r="BM264" s="545"/>
      <c r="BN264" s="545"/>
      <c r="BO264" s="545"/>
      <c r="BP264" s="545"/>
      <c r="BQ264" s="545"/>
      <c r="BR264" s="546"/>
      <c r="BS264" s="639"/>
      <c r="BT264" s="640"/>
      <c r="BU264" s="640"/>
      <c r="BV264" s="640"/>
      <c r="BW264" s="640"/>
      <c r="BX264" s="640"/>
      <c r="BY264" s="640"/>
      <c r="BZ264" s="640"/>
      <c r="CA264" s="640"/>
      <c r="CB264" s="640"/>
      <c r="CC264" s="640"/>
      <c r="CD264" s="640"/>
      <c r="CE264" s="640"/>
      <c r="CF264" s="640"/>
      <c r="CG264" s="640"/>
      <c r="CH264" s="641"/>
      <c r="CI264" s="627">
        <f>BC264*BS264</f>
        <v>0</v>
      </c>
      <c r="CJ264" s="628"/>
      <c r="CK264" s="628"/>
      <c r="CL264" s="628"/>
      <c r="CM264" s="628"/>
      <c r="CN264" s="628"/>
      <c r="CO264" s="628"/>
      <c r="CP264" s="628"/>
      <c r="CQ264" s="628"/>
      <c r="CR264" s="628"/>
      <c r="CS264" s="628"/>
      <c r="CT264" s="628"/>
      <c r="CU264" s="628"/>
      <c r="CV264" s="628"/>
      <c r="CW264" s="628"/>
      <c r="CX264" s="628"/>
      <c r="CY264" s="628"/>
      <c r="CZ264" s="629"/>
      <c r="DA264" s="214"/>
    </row>
    <row r="265" spans="1:105" s="16" customFormat="1" ht="15" hidden="1" customHeight="1" x14ac:dyDescent="0.3">
      <c r="A265" s="633" t="s">
        <v>292</v>
      </c>
      <c r="B265" s="634"/>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4"/>
      <c r="AL265" s="634"/>
      <c r="AM265" s="634"/>
      <c r="AN265" s="634"/>
      <c r="AO265" s="634"/>
      <c r="AP265" s="634"/>
      <c r="AQ265" s="634"/>
      <c r="AR265" s="634"/>
      <c r="AS265" s="634"/>
      <c r="AT265" s="634"/>
      <c r="AU265" s="634"/>
      <c r="AV265" s="634"/>
      <c r="AW265" s="634"/>
      <c r="AX265" s="634"/>
      <c r="AY265" s="634"/>
      <c r="AZ265" s="634"/>
      <c r="BA265" s="634"/>
      <c r="BB265" s="635"/>
      <c r="BC265" s="544" t="s">
        <v>4</v>
      </c>
      <c r="BD265" s="545"/>
      <c r="BE265" s="545"/>
      <c r="BF265" s="545"/>
      <c r="BG265" s="545"/>
      <c r="BH265" s="545"/>
      <c r="BI265" s="545"/>
      <c r="BJ265" s="545"/>
      <c r="BK265" s="545"/>
      <c r="BL265" s="545"/>
      <c r="BM265" s="545"/>
      <c r="BN265" s="545"/>
      <c r="BO265" s="545"/>
      <c r="BP265" s="545"/>
      <c r="BQ265" s="545"/>
      <c r="BR265" s="546"/>
      <c r="BS265" s="544" t="s">
        <v>4</v>
      </c>
      <c r="BT265" s="545"/>
      <c r="BU265" s="545"/>
      <c r="BV265" s="545"/>
      <c r="BW265" s="545"/>
      <c r="BX265" s="545"/>
      <c r="BY265" s="545"/>
      <c r="BZ265" s="545"/>
      <c r="CA265" s="545"/>
      <c r="CB265" s="545"/>
      <c r="CC265" s="545"/>
      <c r="CD265" s="545"/>
      <c r="CE265" s="545"/>
      <c r="CF265" s="545"/>
      <c r="CG265" s="545"/>
      <c r="CH265" s="546"/>
      <c r="CI265" s="636">
        <f>CI264</f>
        <v>0</v>
      </c>
      <c r="CJ265" s="654"/>
      <c r="CK265" s="654"/>
      <c r="CL265" s="654"/>
      <c r="CM265" s="654"/>
      <c r="CN265" s="654"/>
      <c r="CO265" s="654"/>
      <c r="CP265" s="654"/>
      <c r="CQ265" s="654"/>
      <c r="CR265" s="654"/>
      <c r="CS265" s="654"/>
      <c r="CT265" s="654"/>
      <c r="CU265" s="654"/>
      <c r="CV265" s="654"/>
      <c r="CW265" s="654"/>
      <c r="CX265" s="654"/>
      <c r="CY265" s="654"/>
      <c r="CZ265" s="655"/>
      <c r="DA265" s="214"/>
    </row>
    <row r="266" spans="1:105" s="16" customFormat="1" ht="15" hidden="1" customHeight="1" x14ac:dyDescent="0.3">
      <c r="A266" s="648" t="s">
        <v>258</v>
      </c>
      <c r="B266" s="649"/>
      <c r="C266" s="649"/>
      <c r="D266" s="649"/>
      <c r="E266" s="649"/>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49"/>
      <c r="AC266" s="649"/>
      <c r="AD266" s="649"/>
      <c r="AE266" s="649"/>
      <c r="AF266" s="649"/>
      <c r="AG266" s="649"/>
      <c r="AH266" s="649"/>
      <c r="AI266" s="649"/>
      <c r="AJ266" s="649"/>
      <c r="AK266" s="649"/>
      <c r="AL266" s="649"/>
      <c r="AM266" s="649"/>
      <c r="AN266" s="649"/>
      <c r="AO266" s="649"/>
      <c r="AP266" s="649"/>
      <c r="AQ266" s="649"/>
      <c r="AR266" s="649"/>
      <c r="AS266" s="649"/>
      <c r="AT266" s="649"/>
      <c r="AU266" s="649"/>
      <c r="AV266" s="649"/>
      <c r="AW266" s="649"/>
      <c r="AX266" s="649"/>
      <c r="AY266" s="649"/>
      <c r="AZ266" s="649"/>
      <c r="BA266" s="649"/>
      <c r="BB266" s="649"/>
      <c r="BC266" s="649"/>
      <c r="BD266" s="649"/>
      <c r="BE266" s="649"/>
      <c r="BF266" s="649"/>
      <c r="BG266" s="649"/>
      <c r="BH266" s="649"/>
      <c r="BI266" s="649"/>
      <c r="BJ266" s="649"/>
      <c r="BK266" s="649"/>
      <c r="BL266" s="649"/>
      <c r="BM266" s="649"/>
      <c r="BN266" s="649"/>
      <c r="BO266" s="649"/>
      <c r="BP266" s="649"/>
      <c r="BQ266" s="649"/>
      <c r="BR266" s="649"/>
      <c r="BS266" s="649"/>
      <c r="BT266" s="649"/>
      <c r="BU266" s="649"/>
      <c r="BV266" s="649"/>
      <c r="BW266" s="649"/>
      <c r="BX266" s="649"/>
      <c r="BY266" s="649"/>
      <c r="BZ266" s="649"/>
      <c r="CA266" s="649"/>
      <c r="CB266" s="649"/>
      <c r="CC266" s="649"/>
      <c r="CD266" s="649"/>
      <c r="CE266" s="649"/>
      <c r="CF266" s="649"/>
      <c r="CG266" s="649"/>
      <c r="CH266" s="649"/>
      <c r="CI266" s="649"/>
      <c r="CJ266" s="649"/>
      <c r="CK266" s="649"/>
      <c r="CL266" s="649"/>
      <c r="CM266" s="649"/>
      <c r="CN266" s="649"/>
      <c r="CO266" s="649"/>
      <c r="CP266" s="649"/>
      <c r="CQ266" s="649"/>
      <c r="CR266" s="649"/>
      <c r="CS266" s="649"/>
      <c r="CT266" s="649"/>
      <c r="CU266" s="649"/>
      <c r="CV266" s="649"/>
      <c r="CW266" s="649"/>
      <c r="CX266" s="649"/>
      <c r="CY266" s="649"/>
      <c r="CZ266" s="649"/>
      <c r="DA266" s="214"/>
    </row>
    <row r="267" spans="1:105" s="16" customFormat="1" ht="15" hidden="1" customHeight="1" x14ac:dyDescent="0.3">
      <c r="A267" s="630"/>
      <c r="B267" s="631"/>
      <c r="C267" s="631"/>
      <c r="D267" s="631"/>
      <c r="E267" s="631"/>
      <c r="F267" s="631"/>
      <c r="G267" s="632"/>
      <c r="H267" s="584"/>
      <c r="I267" s="585"/>
      <c r="J267" s="585"/>
      <c r="K267" s="585"/>
      <c r="L267" s="585"/>
      <c r="M267" s="585"/>
      <c r="N267" s="585"/>
      <c r="O267" s="585"/>
      <c r="P267" s="585"/>
      <c r="Q267" s="585"/>
      <c r="R267" s="585"/>
      <c r="S267" s="585"/>
      <c r="T267" s="585"/>
      <c r="U267" s="585"/>
      <c r="V267" s="585"/>
      <c r="W267" s="585"/>
      <c r="X267" s="585"/>
      <c r="Y267" s="585"/>
      <c r="Z267" s="585"/>
      <c r="AA267" s="585"/>
      <c r="AB267" s="585"/>
      <c r="AC267" s="585"/>
      <c r="AD267" s="585"/>
      <c r="AE267" s="585"/>
      <c r="AF267" s="585"/>
      <c r="AG267" s="585"/>
      <c r="AH267" s="585"/>
      <c r="AI267" s="585"/>
      <c r="AJ267" s="585"/>
      <c r="AK267" s="585"/>
      <c r="AL267" s="585"/>
      <c r="AM267" s="585"/>
      <c r="AN267" s="585"/>
      <c r="AO267" s="585"/>
      <c r="AP267" s="585"/>
      <c r="AQ267" s="585"/>
      <c r="AR267" s="585"/>
      <c r="AS267" s="585"/>
      <c r="AT267" s="585"/>
      <c r="AU267" s="585"/>
      <c r="AV267" s="585"/>
      <c r="AW267" s="585"/>
      <c r="AX267" s="585"/>
      <c r="AY267" s="585"/>
      <c r="AZ267" s="585"/>
      <c r="BA267" s="585"/>
      <c r="BB267" s="586"/>
      <c r="BC267" s="544"/>
      <c r="BD267" s="545"/>
      <c r="BE267" s="545"/>
      <c r="BF267" s="545"/>
      <c r="BG267" s="545"/>
      <c r="BH267" s="545"/>
      <c r="BI267" s="545"/>
      <c r="BJ267" s="545"/>
      <c r="BK267" s="545"/>
      <c r="BL267" s="545"/>
      <c r="BM267" s="545"/>
      <c r="BN267" s="545"/>
      <c r="BO267" s="545"/>
      <c r="BP267" s="545"/>
      <c r="BQ267" s="545"/>
      <c r="BR267" s="546"/>
      <c r="BS267" s="544"/>
      <c r="BT267" s="545"/>
      <c r="BU267" s="545"/>
      <c r="BV267" s="545"/>
      <c r="BW267" s="545"/>
      <c r="BX267" s="545"/>
      <c r="BY267" s="545"/>
      <c r="BZ267" s="545"/>
      <c r="CA267" s="545"/>
      <c r="CB267" s="545"/>
      <c r="CC267" s="545"/>
      <c r="CD267" s="545"/>
      <c r="CE267" s="545"/>
      <c r="CF267" s="545"/>
      <c r="CG267" s="545"/>
      <c r="CH267" s="546"/>
      <c r="CI267" s="544"/>
      <c r="CJ267" s="545"/>
      <c r="CK267" s="545"/>
      <c r="CL267" s="545"/>
      <c r="CM267" s="545"/>
      <c r="CN267" s="545"/>
      <c r="CO267" s="545"/>
      <c r="CP267" s="545"/>
      <c r="CQ267" s="545"/>
      <c r="CR267" s="545"/>
      <c r="CS267" s="545"/>
      <c r="CT267" s="545"/>
      <c r="CU267" s="545"/>
      <c r="CV267" s="545"/>
      <c r="CW267" s="545"/>
      <c r="CX267" s="545"/>
      <c r="CY267" s="545"/>
      <c r="CZ267" s="546"/>
      <c r="DA267" s="214"/>
    </row>
    <row r="268" spans="1:105" s="16" customFormat="1" ht="15" hidden="1" customHeight="1" x14ac:dyDescent="0.3">
      <c r="A268" s="633" t="s">
        <v>292</v>
      </c>
      <c r="B268" s="634"/>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5"/>
      <c r="BC268" s="544" t="s">
        <v>4</v>
      </c>
      <c r="BD268" s="545"/>
      <c r="BE268" s="545"/>
      <c r="BF268" s="545"/>
      <c r="BG268" s="545"/>
      <c r="BH268" s="545"/>
      <c r="BI268" s="545"/>
      <c r="BJ268" s="545"/>
      <c r="BK268" s="545"/>
      <c r="BL268" s="545"/>
      <c r="BM268" s="545"/>
      <c r="BN268" s="545"/>
      <c r="BO268" s="545"/>
      <c r="BP268" s="545"/>
      <c r="BQ268" s="545"/>
      <c r="BR268" s="546"/>
      <c r="BS268" s="544" t="s">
        <v>4</v>
      </c>
      <c r="BT268" s="545"/>
      <c r="BU268" s="545"/>
      <c r="BV268" s="545"/>
      <c r="BW268" s="545"/>
      <c r="BX268" s="545"/>
      <c r="BY268" s="545"/>
      <c r="BZ268" s="545"/>
      <c r="CA268" s="545"/>
      <c r="CB268" s="545"/>
      <c r="CC268" s="545"/>
      <c r="CD268" s="545"/>
      <c r="CE268" s="545"/>
      <c r="CF268" s="545"/>
      <c r="CG268" s="545"/>
      <c r="CH268" s="546"/>
      <c r="CI268" s="544"/>
      <c r="CJ268" s="545"/>
      <c r="CK268" s="545"/>
      <c r="CL268" s="545"/>
      <c r="CM268" s="545"/>
      <c r="CN268" s="545"/>
      <c r="CO268" s="545"/>
      <c r="CP268" s="545"/>
      <c r="CQ268" s="545"/>
      <c r="CR268" s="545"/>
      <c r="CS268" s="545"/>
      <c r="CT268" s="545"/>
      <c r="CU268" s="545"/>
      <c r="CV268" s="545"/>
      <c r="CW268" s="545"/>
      <c r="CX268" s="545"/>
      <c r="CY268" s="545"/>
      <c r="CZ268" s="546"/>
      <c r="DA268" s="214"/>
    </row>
    <row r="269" spans="1:105" s="16" customFormat="1" ht="15" hidden="1" customHeight="1" x14ac:dyDescent="0.3">
      <c r="A269" s="553" t="s">
        <v>56</v>
      </c>
      <c r="B269" s="554"/>
      <c r="C269" s="554"/>
      <c r="D269" s="554"/>
      <c r="E269" s="554"/>
      <c r="F269" s="554"/>
      <c r="G269" s="554"/>
      <c r="H269" s="554"/>
      <c r="I269" s="554"/>
      <c r="J269" s="554"/>
      <c r="K269" s="554"/>
      <c r="L269" s="554"/>
      <c r="M269" s="554"/>
      <c r="N269" s="554"/>
      <c r="O269" s="554"/>
      <c r="P269" s="554"/>
      <c r="Q269" s="554"/>
      <c r="R269" s="554"/>
      <c r="S269" s="554"/>
      <c r="T269" s="554"/>
      <c r="U269" s="554"/>
      <c r="V269" s="554"/>
      <c r="W269" s="554"/>
      <c r="X269" s="554"/>
      <c r="Y269" s="554"/>
      <c r="Z269" s="554"/>
      <c r="AA269" s="554"/>
      <c r="AB269" s="554"/>
      <c r="AC269" s="554"/>
      <c r="AD269" s="554"/>
      <c r="AE269" s="554"/>
      <c r="AF269" s="554"/>
      <c r="AG269" s="554"/>
      <c r="AH269" s="554"/>
      <c r="AI269" s="554"/>
      <c r="AJ269" s="554"/>
      <c r="AK269" s="554"/>
      <c r="AL269" s="554"/>
      <c r="AM269" s="554"/>
      <c r="AN269" s="554"/>
      <c r="AO269" s="554"/>
      <c r="AP269" s="554"/>
      <c r="AQ269" s="554"/>
      <c r="AR269" s="554"/>
      <c r="AS269" s="554"/>
      <c r="AT269" s="554"/>
      <c r="AU269" s="554"/>
      <c r="AV269" s="554"/>
      <c r="AW269" s="554"/>
      <c r="AX269" s="554"/>
      <c r="AY269" s="554"/>
      <c r="AZ269" s="554"/>
      <c r="BA269" s="554"/>
      <c r="BB269" s="555"/>
      <c r="BC269" s="582" t="s">
        <v>4</v>
      </c>
      <c r="BD269" s="582"/>
      <c r="BE269" s="582"/>
      <c r="BF269" s="582"/>
      <c r="BG269" s="582"/>
      <c r="BH269" s="582"/>
      <c r="BI269" s="582"/>
      <c r="BJ269" s="582"/>
      <c r="BK269" s="582"/>
      <c r="BL269" s="582"/>
      <c r="BM269" s="582"/>
      <c r="BN269" s="582"/>
      <c r="BO269" s="582"/>
      <c r="BP269" s="582"/>
      <c r="BQ269" s="582"/>
      <c r="BR269" s="582"/>
      <c r="BS269" s="582" t="s">
        <v>4</v>
      </c>
      <c r="BT269" s="582"/>
      <c r="BU269" s="582"/>
      <c r="BV269" s="582"/>
      <c r="BW269" s="582"/>
      <c r="BX269" s="582"/>
      <c r="BY269" s="582"/>
      <c r="BZ269" s="582"/>
      <c r="CA269" s="582"/>
      <c r="CB269" s="582"/>
      <c r="CC269" s="582"/>
      <c r="CD269" s="582"/>
      <c r="CE269" s="582"/>
      <c r="CF269" s="582"/>
      <c r="CG269" s="582"/>
      <c r="CH269" s="582"/>
      <c r="CI269" s="611">
        <f>CI265</f>
        <v>0</v>
      </c>
      <c r="CJ269" s="560"/>
      <c r="CK269" s="560"/>
      <c r="CL269" s="560"/>
      <c r="CM269" s="560"/>
      <c r="CN269" s="560"/>
      <c r="CO269" s="560"/>
      <c r="CP269" s="560"/>
      <c r="CQ269" s="560"/>
      <c r="CR269" s="560"/>
      <c r="CS269" s="560"/>
      <c r="CT269" s="560"/>
      <c r="CU269" s="560"/>
      <c r="CV269" s="560"/>
      <c r="CW269" s="560"/>
      <c r="CX269" s="560"/>
      <c r="CY269" s="560"/>
      <c r="CZ269" s="560"/>
      <c r="DA269" s="220"/>
    </row>
    <row r="270" spans="1:105" s="16" customFormat="1" ht="15" hidden="1" customHeight="1" x14ac:dyDescent="0.3">
      <c r="A270" s="221"/>
      <c r="B270" s="221"/>
      <c r="C270" s="221"/>
      <c r="D270" s="221"/>
      <c r="E270" s="221"/>
      <c r="F270" s="221"/>
      <c r="G270" s="221"/>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14"/>
    </row>
    <row r="271" spans="1:105" s="20" customFormat="1" hidden="1" x14ac:dyDescent="0.25">
      <c r="A271" s="594" t="s">
        <v>282</v>
      </c>
      <c r="B271" s="594"/>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4"/>
      <c r="AL271" s="594"/>
      <c r="AM271" s="594"/>
      <c r="AN271" s="594"/>
      <c r="AO271" s="594"/>
      <c r="AP271" s="594"/>
      <c r="AQ271" s="594"/>
      <c r="AR271" s="594"/>
      <c r="AS271" s="594"/>
      <c r="AT271" s="594"/>
      <c r="AU271" s="594"/>
      <c r="AV271" s="594"/>
      <c r="AW271" s="594"/>
      <c r="AX271" s="594"/>
      <c r="AY271" s="594"/>
      <c r="AZ271" s="594"/>
      <c r="BA271" s="594"/>
      <c r="BB271" s="594"/>
      <c r="BC271" s="594"/>
      <c r="BD271" s="594"/>
      <c r="BE271" s="594"/>
      <c r="BF271" s="594"/>
      <c r="BG271" s="594"/>
      <c r="BH271" s="594"/>
      <c r="BI271" s="594"/>
      <c r="BJ271" s="594"/>
      <c r="BK271" s="594"/>
      <c r="BL271" s="594"/>
      <c r="BM271" s="594"/>
      <c r="BN271" s="594"/>
      <c r="BO271" s="594"/>
      <c r="BP271" s="594"/>
      <c r="BQ271" s="594"/>
      <c r="BR271" s="594"/>
      <c r="BS271" s="594"/>
      <c r="BT271" s="594"/>
      <c r="BU271" s="594"/>
      <c r="BV271" s="594"/>
      <c r="BW271" s="594"/>
      <c r="BX271" s="594"/>
      <c r="BY271" s="594"/>
      <c r="BZ271" s="594"/>
      <c r="CA271" s="594"/>
      <c r="CB271" s="594"/>
      <c r="CC271" s="594"/>
      <c r="CD271" s="594"/>
      <c r="CE271" s="594"/>
      <c r="CF271" s="594"/>
      <c r="CG271" s="594"/>
      <c r="CH271" s="594"/>
      <c r="CI271" s="594"/>
      <c r="CJ271" s="594"/>
      <c r="CK271" s="594"/>
      <c r="CL271" s="594"/>
      <c r="CM271" s="594"/>
      <c r="CN271" s="594"/>
      <c r="CO271" s="594"/>
      <c r="CP271" s="594"/>
      <c r="CQ271" s="594"/>
      <c r="CR271" s="594"/>
      <c r="CS271" s="594"/>
      <c r="CT271" s="594"/>
      <c r="CU271" s="594"/>
      <c r="CV271" s="594"/>
      <c r="CW271" s="594"/>
      <c r="CX271" s="594"/>
      <c r="CY271" s="594"/>
      <c r="CZ271" s="594"/>
    </row>
    <row r="272" spans="1:105" ht="6" hidden="1" customHeight="1" x14ac:dyDescent="0.25"/>
    <row r="273" spans="1:105" s="20" customFormat="1" hidden="1" x14ac:dyDescent="0.25">
      <c r="A273" s="20" t="s">
        <v>47</v>
      </c>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95"/>
      <c r="AS273" s="595"/>
      <c r="AT273" s="595"/>
      <c r="AU273" s="595"/>
      <c r="AV273" s="595"/>
      <c r="AW273" s="595"/>
      <c r="AX273" s="595"/>
      <c r="AY273" s="595"/>
      <c r="AZ273" s="595"/>
      <c r="BA273" s="595"/>
      <c r="BB273" s="595"/>
      <c r="BC273" s="595"/>
      <c r="BD273" s="595"/>
      <c r="BE273" s="595"/>
      <c r="BF273" s="595"/>
      <c r="BG273" s="595"/>
      <c r="BH273" s="595"/>
      <c r="BI273" s="595"/>
      <c r="BJ273" s="595"/>
      <c r="BK273" s="595"/>
      <c r="BL273" s="595"/>
      <c r="BM273" s="595"/>
      <c r="BN273" s="595"/>
      <c r="BO273" s="595"/>
      <c r="BP273" s="595"/>
      <c r="BQ273" s="595"/>
      <c r="BR273" s="595"/>
      <c r="BS273" s="595"/>
      <c r="BT273" s="595"/>
      <c r="BU273" s="595"/>
      <c r="BV273" s="595"/>
      <c r="BW273" s="595"/>
      <c r="BX273" s="595"/>
      <c r="BY273" s="595"/>
      <c r="BZ273" s="595"/>
      <c r="CA273" s="595"/>
      <c r="CB273" s="595"/>
      <c r="CC273" s="595"/>
      <c r="CD273" s="595"/>
      <c r="CE273" s="595"/>
      <c r="CF273" s="595"/>
      <c r="CG273" s="595"/>
      <c r="CH273" s="595"/>
      <c r="CI273" s="595"/>
      <c r="CJ273" s="595"/>
      <c r="CK273" s="595"/>
      <c r="CL273" s="595"/>
      <c r="CM273" s="595"/>
      <c r="CN273" s="595"/>
      <c r="CO273" s="595"/>
      <c r="CP273" s="595"/>
      <c r="CQ273" s="595"/>
      <c r="CR273" s="595"/>
      <c r="CS273" s="595"/>
      <c r="CT273" s="595"/>
      <c r="CU273" s="595"/>
      <c r="CV273" s="595"/>
      <c r="CW273" s="595"/>
      <c r="CX273" s="595"/>
      <c r="CY273" s="595"/>
      <c r="CZ273" s="595"/>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75" t="s">
        <v>49</v>
      </c>
      <c r="B275" s="476"/>
      <c r="C275" s="476"/>
      <c r="D275" s="476"/>
      <c r="E275" s="476"/>
      <c r="F275" s="476"/>
      <c r="G275" s="477"/>
      <c r="H275" s="475" t="s">
        <v>0</v>
      </c>
      <c r="I275" s="476"/>
      <c r="J275" s="476"/>
      <c r="K275" s="476"/>
      <c r="L275" s="476"/>
      <c r="M275" s="476"/>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7"/>
      <c r="BC275" s="606" t="s">
        <v>75</v>
      </c>
      <c r="BD275" s="606"/>
      <c r="BE275" s="606"/>
      <c r="BF275" s="606"/>
      <c r="BG275" s="606"/>
      <c r="BH275" s="606"/>
      <c r="BI275" s="606"/>
      <c r="BJ275" s="606"/>
      <c r="BK275" s="606"/>
      <c r="BL275" s="606"/>
      <c r="BM275" s="606"/>
      <c r="BN275" s="606"/>
      <c r="BO275" s="606"/>
      <c r="BP275" s="606"/>
      <c r="BQ275" s="606"/>
      <c r="BR275" s="606"/>
      <c r="BS275" s="606" t="s">
        <v>76</v>
      </c>
      <c r="BT275" s="606"/>
      <c r="BU275" s="606"/>
      <c r="BV275" s="606"/>
      <c r="BW275" s="606"/>
      <c r="BX275" s="606"/>
      <c r="BY275" s="606"/>
      <c r="BZ275" s="606"/>
      <c r="CA275" s="606"/>
      <c r="CB275" s="606"/>
      <c r="CC275" s="606"/>
      <c r="CD275" s="606"/>
      <c r="CE275" s="606"/>
      <c r="CF275" s="606"/>
      <c r="CG275" s="606"/>
      <c r="CH275" s="606"/>
      <c r="CI275" s="606" t="s">
        <v>77</v>
      </c>
      <c r="CJ275" s="606"/>
      <c r="CK275" s="606"/>
      <c r="CL275" s="606"/>
      <c r="CM275" s="606"/>
      <c r="CN275" s="606"/>
      <c r="CO275" s="606"/>
      <c r="CP275" s="606"/>
      <c r="CQ275" s="606"/>
      <c r="CR275" s="606"/>
      <c r="CS275" s="606"/>
      <c r="CT275" s="606"/>
      <c r="CU275" s="606"/>
      <c r="CV275" s="606"/>
      <c r="CW275" s="606"/>
      <c r="CX275" s="606"/>
      <c r="CY275" s="606"/>
      <c r="CZ275" s="606"/>
      <c r="DA275" s="218"/>
    </row>
    <row r="276" spans="1:105" s="15" customFormat="1" ht="13.2" hidden="1" x14ac:dyDescent="0.3">
      <c r="A276" s="591">
        <v>1</v>
      </c>
      <c r="B276" s="591"/>
      <c r="C276" s="591"/>
      <c r="D276" s="591"/>
      <c r="E276" s="591"/>
      <c r="F276" s="591"/>
      <c r="G276" s="591"/>
      <c r="H276" s="591">
        <v>2</v>
      </c>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1"/>
      <c r="AL276" s="591"/>
      <c r="AM276" s="591"/>
      <c r="AN276" s="591"/>
      <c r="AO276" s="591"/>
      <c r="AP276" s="591"/>
      <c r="AQ276" s="591"/>
      <c r="AR276" s="591"/>
      <c r="AS276" s="591"/>
      <c r="AT276" s="591"/>
      <c r="AU276" s="591"/>
      <c r="AV276" s="591"/>
      <c r="AW276" s="591"/>
      <c r="AX276" s="591"/>
      <c r="AY276" s="591"/>
      <c r="AZ276" s="591"/>
      <c r="BA276" s="591"/>
      <c r="BB276" s="591"/>
      <c r="BC276" s="591">
        <v>3</v>
      </c>
      <c r="BD276" s="591"/>
      <c r="BE276" s="591"/>
      <c r="BF276" s="591"/>
      <c r="BG276" s="591"/>
      <c r="BH276" s="591"/>
      <c r="BI276" s="591"/>
      <c r="BJ276" s="591"/>
      <c r="BK276" s="591"/>
      <c r="BL276" s="591"/>
      <c r="BM276" s="591"/>
      <c r="BN276" s="591"/>
      <c r="BO276" s="591"/>
      <c r="BP276" s="591"/>
      <c r="BQ276" s="591"/>
      <c r="BR276" s="591"/>
      <c r="BS276" s="591">
        <v>4</v>
      </c>
      <c r="BT276" s="591"/>
      <c r="BU276" s="591"/>
      <c r="BV276" s="591"/>
      <c r="BW276" s="591"/>
      <c r="BX276" s="591"/>
      <c r="BY276" s="591"/>
      <c r="BZ276" s="591"/>
      <c r="CA276" s="591"/>
      <c r="CB276" s="591"/>
      <c r="CC276" s="591"/>
      <c r="CD276" s="591"/>
      <c r="CE276" s="591"/>
      <c r="CF276" s="591"/>
      <c r="CG276" s="591"/>
      <c r="CH276" s="591"/>
      <c r="CI276" s="591">
        <v>5</v>
      </c>
      <c r="CJ276" s="591"/>
      <c r="CK276" s="591"/>
      <c r="CL276" s="591"/>
      <c r="CM276" s="591"/>
      <c r="CN276" s="591"/>
      <c r="CO276" s="591"/>
      <c r="CP276" s="591"/>
      <c r="CQ276" s="591"/>
      <c r="CR276" s="591"/>
      <c r="CS276" s="591"/>
      <c r="CT276" s="591"/>
      <c r="CU276" s="591"/>
      <c r="CV276" s="591"/>
      <c r="CW276" s="591"/>
      <c r="CX276" s="591"/>
      <c r="CY276" s="591"/>
      <c r="CZ276" s="591"/>
      <c r="DA276" s="219"/>
    </row>
    <row r="277" spans="1:105" s="16" customFormat="1" ht="15" hidden="1" customHeight="1" x14ac:dyDescent="0.3">
      <c r="A277" s="648" t="s">
        <v>258</v>
      </c>
      <c r="B277" s="649"/>
      <c r="C277" s="649"/>
      <c r="D277" s="649"/>
      <c r="E277" s="649"/>
      <c r="F277" s="649"/>
      <c r="G277" s="649"/>
      <c r="H277" s="649"/>
      <c r="I277" s="649"/>
      <c r="J277" s="649"/>
      <c r="K277" s="649"/>
      <c r="L277" s="649"/>
      <c r="M277" s="649"/>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649"/>
      <c r="AL277" s="649"/>
      <c r="AM277" s="649"/>
      <c r="AN277" s="649"/>
      <c r="AO277" s="649"/>
      <c r="AP277" s="649"/>
      <c r="AQ277" s="649"/>
      <c r="AR277" s="649"/>
      <c r="AS277" s="649"/>
      <c r="AT277" s="649"/>
      <c r="AU277" s="649"/>
      <c r="AV277" s="649"/>
      <c r="AW277" s="649"/>
      <c r="AX277" s="649"/>
      <c r="AY277" s="649"/>
      <c r="AZ277" s="649"/>
      <c r="BA277" s="649"/>
      <c r="BB277" s="649"/>
      <c r="BC277" s="649"/>
      <c r="BD277" s="649"/>
      <c r="BE277" s="649"/>
      <c r="BF277" s="649"/>
      <c r="BG277" s="649"/>
      <c r="BH277" s="649"/>
      <c r="BI277" s="649"/>
      <c r="BJ277" s="649"/>
      <c r="BK277" s="649"/>
      <c r="BL277" s="649"/>
      <c r="BM277" s="649"/>
      <c r="BN277" s="649"/>
      <c r="BO277" s="649"/>
      <c r="BP277" s="649"/>
      <c r="BQ277" s="649"/>
      <c r="BR277" s="649"/>
      <c r="BS277" s="649"/>
      <c r="BT277" s="649"/>
      <c r="BU277" s="649"/>
      <c r="BV277" s="649"/>
      <c r="BW277" s="649"/>
      <c r="BX277" s="649"/>
      <c r="BY277" s="649"/>
      <c r="BZ277" s="649"/>
      <c r="CA277" s="649"/>
      <c r="CB277" s="649"/>
      <c r="CC277" s="649"/>
      <c r="CD277" s="649"/>
      <c r="CE277" s="649"/>
      <c r="CF277" s="649"/>
      <c r="CG277" s="649"/>
      <c r="CH277" s="649"/>
      <c r="CI277" s="649"/>
      <c r="CJ277" s="649"/>
      <c r="CK277" s="649"/>
      <c r="CL277" s="649"/>
      <c r="CM277" s="649"/>
      <c r="CN277" s="649"/>
      <c r="CO277" s="649"/>
      <c r="CP277" s="649"/>
      <c r="CQ277" s="649"/>
      <c r="CR277" s="649"/>
      <c r="CS277" s="649"/>
      <c r="CT277" s="649"/>
      <c r="CU277" s="649"/>
      <c r="CV277" s="649"/>
      <c r="CW277" s="649"/>
      <c r="CX277" s="649"/>
      <c r="CY277" s="649"/>
      <c r="CZ277" s="649"/>
      <c r="DA277" s="214"/>
    </row>
    <row r="278" spans="1:105" s="16" customFormat="1" ht="15" hidden="1" customHeight="1" x14ac:dyDescent="0.3">
      <c r="A278" s="630"/>
      <c r="B278" s="631"/>
      <c r="C278" s="631"/>
      <c r="D278" s="631"/>
      <c r="E278" s="631"/>
      <c r="F278" s="631"/>
      <c r="G278" s="632"/>
      <c r="H278" s="584"/>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5"/>
      <c r="AL278" s="585"/>
      <c r="AM278" s="585"/>
      <c r="AN278" s="585"/>
      <c r="AO278" s="585"/>
      <c r="AP278" s="585"/>
      <c r="AQ278" s="585"/>
      <c r="AR278" s="585"/>
      <c r="AS278" s="585"/>
      <c r="AT278" s="585"/>
      <c r="AU278" s="585"/>
      <c r="AV278" s="585"/>
      <c r="AW278" s="585"/>
      <c r="AX278" s="585"/>
      <c r="AY278" s="585"/>
      <c r="AZ278" s="585"/>
      <c r="BA278" s="585"/>
      <c r="BB278" s="586"/>
      <c r="BC278" s="544"/>
      <c r="BD278" s="545"/>
      <c r="BE278" s="545"/>
      <c r="BF278" s="545"/>
      <c r="BG278" s="545"/>
      <c r="BH278" s="545"/>
      <c r="BI278" s="545"/>
      <c r="BJ278" s="545"/>
      <c r="BK278" s="545"/>
      <c r="BL278" s="545"/>
      <c r="BM278" s="545"/>
      <c r="BN278" s="545"/>
      <c r="BO278" s="545"/>
      <c r="BP278" s="545"/>
      <c r="BQ278" s="545"/>
      <c r="BR278" s="546"/>
      <c r="BS278" s="544"/>
      <c r="BT278" s="545"/>
      <c r="BU278" s="545"/>
      <c r="BV278" s="545"/>
      <c r="BW278" s="545"/>
      <c r="BX278" s="545"/>
      <c r="BY278" s="545"/>
      <c r="BZ278" s="545"/>
      <c r="CA278" s="545"/>
      <c r="CB278" s="545"/>
      <c r="CC278" s="545"/>
      <c r="CD278" s="545"/>
      <c r="CE278" s="545"/>
      <c r="CF278" s="545"/>
      <c r="CG278" s="545"/>
      <c r="CH278" s="546"/>
      <c r="CI278" s="544"/>
      <c r="CJ278" s="545"/>
      <c r="CK278" s="545"/>
      <c r="CL278" s="545"/>
      <c r="CM278" s="545"/>
      <c r="CN278" s="545"/>
      <c r="CO278" s="545"/>
      <c r="CP278" s="545"/>
      <c r="CQ278" s="545"/>
      <c r="CR278" s="545"/>
      <c r="CS278" s="545"/>
      <c r="CT278" s="545"/>
      <c r="CU278" s="545"/>
      <c r="CV278" s="545"/>
      <c r="CW278" s="545"/>
      <c r="CX278" s="545"/>
      <c r="CY278" s="545"/>
      <c r="CZ278" s="546"/>
      <c r="DA278" s="214"/>
    </row>
    <row r="279" spans="1:105" s="16" customFormat="1" ht="15" hidden="1" customHeight="1" x14ac:dyDescent="0.3">
      <c r="A279" s="633" t="s">
        <v>292</v>
      </c>
      <c r="B279" s="634"/>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34"/>
      <c r="AL279" s="634"/>
      <c r="AM279" s="634"/>
      <c r="AN279" s="634"/>
      <c r="AO279" s="634"/>
      <c r="AP279" s="634"/>
      <c r="AQ279" s="634"/>
      <c r="AR279" s="634"/>
      <c r="AS279" s="634"/>
      <c r="AT279" s="634"/>
      <c r="AU279" s="634"/>
      <c r="AV279" s="634"/>
      <c r="AW279" s="634"/>
      <c r="AX279" s="634"/>
      <c r="AY279" s="634"/>
      <c r="AZ279" s="634"/>
      <c r="BA279" s="634"/>
      <c r="BB279" s="635"/>
      <c r="BC279" s="544" t="s">
        <v>4</v>
      </c>
      <c r="BD279" s="545"/>
      <c r="BE279" s="545"/>
      <c r="BF279" s="545"/>
      <c r="BG279" s="545"/>
      <c r="BH279" s="545"/>
      <c r="BI279" s="545"/>
      <c r="BJ279" s="545"/>
      <c r="BK279" s="545"/>
      <c r="BL279" s="545"/>
      <c r="BM279" s="545"/>
      <c r="BN279" s="545"/>
      <c r="BO279" s="545"/>
      <c r="BP279" s="545"/>
      <c r="BQ279" s="545"/>
      <c r="BR279" s="546"/>
      <c r="BS279" s="544" t="s">
        <v>4</v>
      </c>
      <c r="BT279" s="545"/>
      <c r="BU279" s="545"/>
      <c r="BV279" s="545"/>
      <c r="BW279" s="545"/>
      <c r="BX279" s="545"/>
      <c r="BY279" s="545"/>
      <c r="BZ279" s="545"/>
      <c r="CA279" s="545"/>
      <c r="CB279" s="545"/>
      <c r="CC279" s="545"/>
      <c r="CD279" s="545"/>
      <c r="CE279" s="545"/>
      <c r="CF279" s="545"/>
      <c r="CG279" s="545"/>
      <c r="CH279" s="546"/>
      <c r="CI279" s="544"/>
      <c r="CJ279" s="545"/>
      <c r="CK279" s="545"/>
      <c r="CL279" s="545"/>
      <c r="CM279" s="545"/>
      <c r="CN279" s="545"/>
      <c r="CO279" s="545"/>
      <c r="CP279" s="545"/>
      <c r="CQ279" s="545"/>
      <c r="CR279" s="545"/>
      <c r="CS279" s="545"/>
      <c r="CT279" s="545"/>
      <c r="CU279" s="545"/>
      <c r="CV279" s="545"/>
      <c r="CW279" s="545"/>
      <c r="CX279" s="545"/>
      <c r="CY279" s="545"/>
      <c r="CZ279" s="546"/>
      <c r="DA279" s="214"/>
    </row>
    <row r="280" spans="1:105" s="16" customFormat="1" ht="15" hidden="1" customHeight="1" x14ac:dyDescent="0.3">
      <c r="A280" s="648" t="s">
        <v>258</v>
      </c>
      <c r="B280" s="649"/>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649"/>
      <c r="AM280" s="649"/>
      <c r="AN280" s="649"/>
      <c r="AO280" s="649"/>
      <c r="AP280" s="649"/>
      <c r="AQ280" s="649"/>
      <c r="AR280" s="649"/>
      <c r="AS280" s="649"/>
      <c r="AT280" s="649"/>
      <c r="AU280" s="649"/>
      <c r="AV280" s="649"/>
      <c r="AW280" s="649"/>
      <c r="AX280" s="649"/>
      <c r="AY280" s="649"/>
      <c r="AZ280" s="649"/>
      <c r="BA280" s="649"/>
      <c r="BB280" s="649"/>
      <c r="BC280" s="649"/>
      <c r="BD280" s="649"/>
      <c r="BE280" s="649"/>
      <c r="BF280" s="649"/>
      <c r="BG280" s="649"/>
      <c r="BH280" s="649"/>
      <c r="BI280" s="649"/>
      <c r="BJ280" s="649"/>
      <c r="BK280" s="649"/>
      <c r="BL280" s="649"/>
      <c r="BM280" s="649"/>
      <c r="BN280" s="649"/>
      <c r="BO280" s="649"/>
      <c r="BP280" s="649"/>
      <c r="BQ280" s="649"/>
      <c r="BR280" s="649"/>
      <c r="BS280" s="649"/>
      <c r="BT280" s="649"/>
      <c r="BU280" s="649"/>
      <c r="BV280" s="649"/>
      <c r="BW280" s="649"/>
      <c r="BX280" s="649"/>
      <c r="BY280" s="649"/>
      <c r="BZ280" s="649"/>
      <c r="CA280" s="649"/>
      <c r="CB280" s="649"/>
      <c r="CC280" s="649"/>
      <c r="CD280" s="649"/>
      <c r="CE280" s="649"/>
      <c r="CF280" s="649"/>
      <c r="CG280" s="649"/>
      <c r="CH280" s="649"/>
      <c r="CI280" s="649"/>
      <c r="CJ280" s="649"/>
      <c r="CK280" s="649"/>
      <c r="CL280" s="649"/>
      <c r="CM280" s="649"/>
      <c r="CN280" s="649"/>
      <c r="CO280" s="649"/>
      <c r="CP280" s="649"/>
      <c r="CQ280" s="649"/>
      <c r="CR280" s="649"/>
      <c r="CS280" s="649"/>
      <c r="CT280" s="649"/>
      <c r="CU280" s="649"/>
      <c r="CV280" s="649"/>
      <c r="CW280" s="649"/>
      <c r="CX280" s="649"/>
      <c r="CY280" s="649"/>
      <c r="CZ280" s="649"/>
      <c r="DA280" s="214"/>
    </row>
    <row r="281" spans="1:105" s="16" customFormat="1" ht="15" hidden="1" customHeight="1" x14ac:dyDescent="0.3">
      <c r="A281" s="630"/>
      <c r="B281" s="631"/>
      <c r="C281" s="631"/>
      <c r="D281" s="631"/>
      <c r="E281" s="631"/>
      <c r="F281" s="631"/>
      <c r="G281" s="632"/>
      <c r="H281" s="584"/>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5"/>
      <c r="AL281" s="585"/>
      <c r="AM281" s="585"/>
      <c r="AN281" s="585"/>
      <c r="AO281" s="585"/>
      <c r="AP281" s="585"/>
      <c r="AQ281" s="585"/>
      <c r="AR281" s="585"/>
      <c r="AS281" s="585"/>
      <c r="AT281" s="585"/>
      <c r="AU281" s="585"/>
      <c r="AV281" s="585"/>
      <c r="AW281" s="585"/>
      <c r="AX281" s="585"/>
      <c r="AY281" s="585"/>
      <c r="AZ281" s="585"/>
      <c r="BA281" s="585"/>
      <c r="BB281" s="586"/>
      <c r="BC281" s="544"/>
      <c r="BD281" s="545"/>
      <c r="BE281" s="545"/>
      <c r="BF281" s="545"/>
      <c r="BG281" s="545"/>
      <c r="BH281" s="545"/>
      <c r="BI281" s="545"/>
      <c r="BJ281" s="545"/>
      <c r="BK281" s="545"/>
      <c r="BL281" s="545"/>
      <c r="BM281" s="545"/>
      <c r="BN281" s="545"/>
      <c r="BO281" s="545"/>
      <c r="BP281" s="545"/>
      <c r="BQ281" s="545"/>
      <c r="BR281" s="546"/>
      <c r="BS281" s="544"/>
      <c r="BT281" s="545"/>
      <c r="BU281" s="545"/>
      <c r="BV281" s="545"/>
      <c r="BW281" s="545"/>
      <c r="BX281" s="545"/>
      <c r="BY281" s="545"/>
      <c r="BZ281" s="545"/>
      <c r="CA281" s="545"/>
      <c r="CB281" s="545"/>
      <c r="CC281" s="545"/>
      <c r="CD281" s="545"/>
      <c r="CE281" s="545"/>
      <c r="CF281" s="545"/>
      <c r="CG281" s="545"/>
      <c r="CH281" s="546"/>
      <c r="CI281" s="544"/>
      <c r="CJ281" s="545"/>
      <c r="CK281" s="545"/>
      <c r="CL281" s="545"/>
      <c r="CM281" s="545"/>
      <c r="CN281" s="545"/>
      <c r="CO281" s="545"/>
      <c r="CP281" s="545"/>
      <c r="CQ281" s="545"/>
      <c r="CR281" s="545"/>
      <c r="CS281" s="545"/>
      <c r="CT281" s="545"/>
      <c r="CU281" s="545"/>
      <c r="CV281" s="545"/>
      <c r="CW281" s="545"/>
      <c r="CX281" s="545"/>
      <c r="CY281" s="545"/>
      <c r="CZ281" s="546"/>
      <c r="DA281" s="214"/>
    </row>
    <row r="282" spans="1:105" s="16" customFormat="1" ht="15" hidden="1" customHeight="1" x14ac:dyDescent="0.3">
      <c r="A282" s="633" t="s">
        <v>292</v>
      </c>
      <c r="B282" s="634"/>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4"/>
      <c r="AL282" s="634"/>
      <c r="AM282" s="634"/>
      <c r="AN282" s="634"/>
      <c r="AO282" s="634"/>
      <c r="AP282" s="634"/>
      <c r="AQ282" s="634"/>
      <c r="AR282" s="634"/>
      <c r="AS282" s="634"/>
      <c r="AT282" s="634"/>
      <c r="AU282" s="634"/>
      <c r="AV282" s="634"/>
      <c r="AW282" s="634"/>
      <c r="AX282" s="634"/>
      <c r="AY282" s="634"/>
      <c r="AZ282" s="634"/>
      <c r="BA282" s="634"/>
      <c r="BB282" s="635"/>
      <c r="BC282" s="544" t="s">
        <v>4</v>
      </c>
      <c r="BD282" s="545"/>
      <c r="BE282" s="545"/>
      <c r="BF282" s="545"/>
      <c r="BG282" s="545"/>
      <c r="BH282" s="545"/>
      <c r="BI282" s="545"/>
      <c r="BJ282" s="545"/>
      <c r="BK282" s="545"/>
      <c r="BL282" s="545"/>
      <c r="BM282" s="545"/>
      <c r="BN282" s="545"/>
      <c r="BO282" s="545"/>
      <c r="BP282" s="545"/>
      <c r="BQ282" s="545"/>
      <c r="BR282" s="546"/>
      <c r="BS282" s="544" t="s">
        <v>4</v>
      </c>
      <c r="BT282" s="545"/>
      <c r="BU282" s="545"/>
      <c r="BV282" s="545"/>
      <c r="BW282" s="545"/>
      <c r="BX282" s="545"/>
      <c r="BY282" s="545"/>
      <c r="BZ282" s="545"/>
      <c r="CA282" s="545"/>
      <c r="CB282" s="545"/>
      <c r="CC282" s="545"/>
      <c r="CD282" s="545"/>
      <c r="CE282" s="545"/>
      <c r="CF282" s="545"/>
      <c r="CG282" s="545"/>
      <c r="CH282" s="546"/>
      <c r="CI282" s="544"/>
      <c r="CJ282" s="545"/>
      <c r="CK282" s="545"/>
      <c r="CL282" s="545"/>
      <c r="CM282" s="545"/>
      <c r="CN282" s="545"/>
      <c r="CO282" s="545"/>
      <c r="CP282" s="545"/>
      <c r="CQ282" s="545"/>
      <c r="CR282" s="545"/>
      <c r="CS282" s="545"/>
      <c r="CT282" s="545"/>
      <c r="CU282" s="545"/>
      <c r="CV282" s="545"/>
      <c r="CW282" s="545"/>
      <c r="CX282" s="545"/>
      <c r="CY282" s="545"/>
      <c r="CZ282" s="546"/>
      <c r="DA282" s="214"/>
    </row>
    <row r="283" spans="1:105" s="16" customFormat="1" ht="15" hidden="1" customHeight="1" x14ac:dyDescent="0.3">
      <c r="A283" s="553" t="s">
        <v>56</v>
      </c>
      <c r="B283" s="554"/>
      <c r="C283" s="554"/>
      <c r="D283" s="554"/>
      <c r="E283" s="554"/>
      <c r="F283" s="554"/>
      <c r="G283" s="554"/>
      <c r="H283" s="554"/>
      <c r="I283" s="554"/>
      <c r="J283" s="554"/>
      <c r="K283" s="554"/>
      <c r="L283" s="554"/>
      <c r="M283" s="554"/>
      <c r="N283" s="554"/>
      <c r="O283" s="554"/>
      <c r="P283" s="554"/>
      <c r="Q283" s="554"/>
      <c r="R283" s="554"/>
      <c r="S283" s="554"/>
      <c r="T283" s="554"/>
      <c r="U283" s="554"/>
      <c r="V283" s="554"/>
      <c r="W283" s="554"/>
      <c r="X283" s="554"/>
      <c r="Y283" s="554"/>
      <c r="Z283" s="554"/>
      <c r="AA283" s="554"/>
      <c r="AB283" s="554"/>
      <c r="AC283" s="554"/>
      <c r="AD283" s="554"/>
      <c r="AE283" s="554"/>
      <c r="AF283" s="554"/>
      <c r="AG283" s="554"/>
      <c r="AH283" s="554"/>
      <c r="AI283" s="554"/>
      <c r="AJ283" s="554"/>
      <c r="AK283" s="554"/>
      <c r="AL283" s="554"/>
      <c r="AM283" s="554"/>
      <c r="AN283" s="554"/>
      <c r="AO283" s="554"/>
      <c r="AP283" s="554"/>
      <c r="AQ283" s="554"/>
      <c r="AR283" s="554"/>
      <c r="AS283" s="554"/>
      <c r="AT283" s="554"/>
      <c r="AU283" s="554"/>
      <c r="AV283" s="554"/>
      <c r="AW283" s="554"/>
      <c r="AX283" s="554"/>
      <c r="AY283" s="554"/>
      <c r="AZ283" s="554"/>
      <c r="BA283" s="554"/>
      <c r="BB283" s="555"/>
      <c r="BC283" s="582" t="s">
        <v>4</v>
      </c>
      <c r="BD283" s="582"/>
      <c r="BE283" s="582"/>
      <c r="BF283" s="582"/>
      <c r="BG283" s="582"/>
      <c r="BH283" s="582"/>
      <c r="BI283" s="582"/>
      <c r="BJ283" s="582"/>
      <c r="BK283" s="582"/>
      <c r="BL283" s="582"/>
      <c r="BM283" s="582"/>
      <c r="BN283" s="582"/>
      <c r="BO283" s="582"/>
      <c r="BP283" s="582"/>
      <c r="BQ283" s="582"/>
      <c r="BR283" s="582"/>
      <c r="BS283" s="582" t="s">
        <v>4</v>
      </c>
      <c r="BT283" s="582"/>
      <c r="BU283" s="582"/>
      <c r="BV283" s="582"/>
      <c r="BW283" s="582"/>
      <c r="BX283" s="582"/>
      <c r="BY283" s="582"/>
      <c r="BZ283" s="582"/>
      <c r="CA283" s="582"/>
      <c r="CB283" s="582"/>
      <c r="CC283" s="582"/>
      <c r="CD283" s="582"/>
      <c r="CE283" s="582"/>
      <c r="CF283" s="582"/>
      <c r="CG283" s="582"/>
      <c r="CH283" s="582"/>
      <c r="CI283" s="582"/>
      <c r="CJ283" s="582"/>
      <c r="CK283" s="582"/>
      <c r="CL283" s="582"/>
      <c r="CM283" s="582"/>
      <c r="CN283" s="582"/>
      <c r="CO283" s="582"/>
      <c r="CP283" s="582"/>
      <c r="CQ283" s="582"/>
      <c r="CR283" s="582"/>
      <c r="CS283" s="582"/>
      <c r="CT283" s="582"/>
      <c r="CU283" s="582"/>
      <c r="CV283" s="582"/>
      <c r="CW283" s="582"/>
      <c r="CX283" s="582"/>
      <c r="CY283" s="582"/>
      <c r="CZ283" s="582"/>
      <c r="DA283" s="214"/>
    </row>
    <row r="284" spans="1:105" s="16" customFormat="1" ht="15" hidden="1" customHeight="1" x14ac:dyDescent="0.3">
      <c r="A284" s="221"/>
      <c r="B284" s="221"/>
      <c r="C284" s="221"/>
      <c r="D284" s="221"/>
      <c r="E284" s="221"/>
      <c r="F284" s="221"/>
      <c r="G284" s="221"/>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14"/>
    </row>
    <row r="285" spans="1:105" s="20" customFormat="1" ht="27" hidden="1" customHeight="1" x14ac:dyDescent="0.25">
      <c r="A285" s="524" t="s">
        <v>283</v>
      </c>
      <c r="B285" s="524"/>
      <c r="C285" s="524"/>
      <c r="D285" s="524"/>
      <c r="E285" s="524"/>
      <c r="F285" s="524"/>
      <c r="G285" s="524"/>
      <c r="H285" s="524"/>
      <c r="I285" s="524"/>
      <c r="J285" s="524"/>
      <c r="K285" s="524"/>
      <c r="L285" s="524"/>
      <c r="M285" s="524"/>
      <c r="N285" s="524"/>
      <c r="O285" s="524"/>
      <c r="P285" s="524"/>
      <c r="Q285" s="524"/>
      <c r="R285" s="524"/>
      <c r="S285" s="524"/>
      <c r="T285" s="524"/>
      <c r="U285" s="524"/>
      <c r="V285" s="524"/>
      <c r="W285" s="524"/>
      <c r="X285" s="524"/>
      <c r="Y285" s="524"/>
      <c r="Z285" s="524"/>
      <c r="AA285" s="524"/>
      <c r="AB285" s="524"/>
      <c r="AC285" s="524"/>
      <c r="AD285" s="524"/>
      <c r="AE285" s="524"/>
      <c r="AF285" s="524"/>
      <c r="AG285" s="524"/>
      <c r="AH285" s="524"/>
      <c r="AI285" s="524"/>
      <c r="AJ285" s="524"/>
      <c r="AK285" s="524"/>
      <c r="AL285" s="524"/>
      <c r="AM285" s="524"/>
      <c r="AN285" s="524"/>
      <c r="AO285" s="524"/>
      <c r="AP285" s="524"/>
      <c r="AQ285" s="524"/>
      <c r="AR285" s="524"/>
      <c r="AS285" s="524"/>
      <c r="AT285" s="524"/>
      <c r="AU285" s="524"/>
      <c r="AV285" s="524"/>
      <c r="AW285" s="524"/>
      <c r="AX285" s="524"/>
      <c r="AY285" s="524"/>
      <c r="AZ285" s="524"/>
      <c r="BA285" s="524"/>
      <c r="BB285" s="524"/>
      <c r="BC285" s="524"/>
      <c r="BD285" s="524"/>
      <c r="BE285" s="524"/>
      <c r="BF285" s="524"/>
      <c r="BG285" s="524"/>
      <c r="BH285" s="524"/>
      <c r="BI285" s="524"/>
      <c r="BJ285" s="524"/>
      <c r="BK285" s="524"/>
      <c r="BL285" s="524"/>
      <c r="BM285" s="524"/>
      <c r="BN285" s="524"/>
      <c r="BO285" s="524"/>
      <c r="BP285" s="524"/>
      <c r="BQ285" s="524"/>
      <c r="BR285" s="524"/>
      <c r="BS285" s="524"/>
      <c r="BT285" s="524"/>
      <c r="BU285" s="524"/>
      <c r="BV285" s="524"/>
      <c r="BW285" s="524"/>
      <c r="BX285" s="524"/>
      <c r="BY285" s="524"/>
      <c r="BZ285" s="524"/>
      <c r="CA285" s="524"/>
      <c r="CB285" s="524"/>
      <c r="CC285" s="524"/>
      <c r="CD285" s="524"/>
      <c r="CE285" s="524"/>
      <c r="CF285" s="524"/>
      <c r="CG285" s="524"/>
      <c r="CH285" s="524"/>
      <c r="CI285" s="524"/>
      <c r="CJ285" s="524"/>
      <c r="CK285" s="524"/>
      <c r="CL285" s="524"/>
      <c r="CM285" s="524"/>
      <c r="CN285" s="524"/>
      <c r="CO285" s="524"/>
      <c r="CP285" s="524"/>
      <c r="CQ285" s="524"/>
      <c r="CR285" s="524"/>
      <c r="CS285" s="524"/>
      <c r="CT285" s="524"/>
      <c r="CU285" s="524"/>
      <c r="CV285" s="524"/>
      <c r="CW285" s="524"/>
      <c r="CX285" s="524"/>
      <c r="CY285" s="524"/>
      <c r="CZ285" s="524"/>
    </row>
    <row r="286" spans="1:105" ht="6" hidden="1" customHeight="1" x14ac:dyDescent="0.25"/>
    <row r="287" spans="1:105" s="20" customFormat="1" hidden="1" x14ac:dyDescent="0.25">
      <c r="A287" s="20" t="s">
        <v>47</v>
      </c>
      <c r="W287" s="595" t="s">
        <v>856</v>
      </c>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595"/>
      <c r="CB287" s="595"/>
      <c r="CC287" s="595"/>
      <c r="CD287" s="595"/>
      <c r="CE287" s="595"/>
      <c r="CF287" s="595"/>
      <c r="CG287" s="595"/>
      <c r="CH287" s="595"/>
      <c r="CI287" s="595"/>
      <c r="CJ287" s="595"/>
      <c r="CK287" s="595"/>
      <c r="CL287" s="595"/>
      <c r="CM287" s="595"/>
      <c r="CN287" s="595"/>
      <c r="CO287" s="595"/>
      <c r="CP287" s="595"/>
      <c r="CQ287" s="595"/>
      <c r="CR287" s="595"/>
      <c r="CS287" s="595"/>
      <c r="CT287" s="595"/>
      <c r="CU287" s="595"/>
      <c r="CV287" s="595"/>
      <c r="CW287" s="595"/>
      <c r="CX287" s="595"/>
      <c r="CY287" s="595"/>
      <c r="CZ287" s="595"/>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6" t="s">
        <v>49</v>
      </c>
      <c r="B289" s="606"/>
      <c r="C289" s="606"/>
      <c r="D289" s="606"/>
      <c r="E289" s="606"/>
      <c r="F289" s="606"/>
      <c r="G289" s="606"/>
      <c r="H289" s="606" t="s">
        <v>0</v>
      </c>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6"/>
      <c r="AL289" s="606"/>
      <c r="AM289" s="606"/>
      <c r="AN289" s="606"/>
      <c r="AO289" s="606"/>
      <c r="AP289" s="606"/>
      <c r="AQ289" s="606"/>
      <c r="AR289" s="606"/>
      <c r="AS289" s="606"/>
      <c r="AT289" s="606"/>
      <c r="AU289" s="606"/>
      <c r="AV289" s="606"/>
      <c r="AW289" s="606"/>
      <c r="AX289" s="606"/>
      <c r="AY289" s="606"/>
      <c r="AZ289" s="606"/>
      <c r="BA289" s="606"/>
      <c r="BB289" s="606"/>
      <c r="BC289" s="606" t="s">
        <v>75</v>
      </c>
      <c r="BD289" s="606"/>
      <c r="BE289" s="606"/>
      <c r="BF289" s="606"/>
      <c r="BG289" s="606"/>
      <c r="BH289" s="606"/>
      <c r="BI289" s="606"/>
      <c r="BJ289" s="606"/>
      <c r="BK289" s="606"/>
      <c r="BL289" s="606"/>
      <c r="BM289" s="606"/>
      <c r="BN289" s="606"/>
      <c r="BO289" s="606"/>
      <c r="BP289" s="606"/>
      <c r="BQ289" s="606"/>
      <c r="BR289" s="606"/>
      <c r="BS289" s="606" t="s">
        <v>76</v>
      </c>
      <c r="BT289" s="606"/>
      <c r="BU289" s="606"/>
      <c r="BV289" s="606"/>
      <c r="BW289" s="606"/>
      <c r="BX289" s="606"/>
      <c r="BY289" s="606"/>
      <c r="BZ289" s="606"/>
      <c r="CA289" s="606"/>
      <c r="CB289" s="606"/>
      <c r="CC289" s="606"/>
      <c r="CD289" s="606"/>
      <c r="CE289" s="606"/>
      <c r="CF289" s="606"/>
      <c r="CG289" s="606"/>
      <c r="CH289" s="606"/>
      <c r="CI289" s="606" t="s">
        <v>77</v>
      </c>
      <c r="CJ289" s="606"/>
      <c r="CK289" s="606"/>
      <c r="CL289" s="606"/>
      <c r="CM289" s="606"/>
      <c r="CN289" s="606"/>
      <c r="CO289" s="606"/>
      <c r="CP289" s="606"/>
      <c r="CQ289" s="606"/>
      <c r="CR289" s="606"/>
      <c r="CS289" s="606"/>
      <c r="CT289" s="606"/>
      <c r="CU289" s="606"/>
      <c r="CV289" s="606"/>
      <c r="CW289" s="606"/>
      <c r="CX289" s="606"/>
      <c r="CY289" s="606"/>
      <c r="CZ289" s="606"/>
      <c r="DA289" s="218"/>
    </row>
    <row r="290" spans="1:105" s="15" customFormat="1" ht="13.2" hidden="1" x14ac:dyDescent="0.3">
      <c r="A290" s="591">
        <v>1</v>
      </c>
      <c r="B290" s="591"/>
      <c r="C290" s="591"/>
      <c r="D290" s="591"/>
      <c r="E290" s="591"/>
      <c r="F290" s="591"/>
      <c r="G290" s="591"/>
      <c r="H290" s="591">
        <v>2</v>
      </c>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1"/>
      <c r="AL290" s="591"/>
      <c r="AM290" s="591"/>
      <c r="AN290" s="591"/>
      <c r="AO290" s="591"/>
      <c r="AP290" s="591"/>
      <c r="AQ290" s="591"/>
      <c r="AR290" s="591"/>
      <c r="AS290" s="591"/>
      <c r="AT290" s="591"/>
      <c r="AU290" s="591"/>
      <c r="AV290" s="591"/>
      <c r="AW290" s="591"/>
      <c r="AX290" s="591"/>
      <c r="AY290" s="591"/>
      <c r="AZ290" s="591"/>
      <c r="BA290" s="591"/>
      <c r="BB290" s="591"/>
      <c r="BC290" s="591">
        <v>3</v>
      </c>
      <c r="BD290" s="591"/>
      <c r="BE290" s="591"/>
      <c r="BF290" s="591"/>
      <c r="BG290" s="591"/>
      <c r="BH290" s="591"/>
      <c r="BI290" s="591"/>
      <c r="BJ290" s="591"/>
      <c r="BK290" s="591"/>
      <c r="BL290" s="591"/>
      <c r="BM290" s="591"/>
      <c r="BN290" s="591"/>
      <c r="BO290" s="591"/>
      <c r="BP290" s="591"/>
      <c r="BQ290" s="591"/>
      <c r="BR290" s="591"/>
      <c r="BS290" s="591">
        <v>4</v>
      </c>
      <c r="BT290" s="591"/>
      <c r="BU290" s="591"/>
      <c r="BV290" s="591"/>
      <c r="BW290" s="591"/>
      <c r="BX290" s="591"/>
      <c r="BY290" s="591"/>
      <c r="BZ290" s="591"/>
      <c r="CA290" s="591"/>
      <c r="CB290" s="591"/>
      <c r="CC290" s="591"/>
      <c r="CD290" s="591"/>
      <c r="CE290" s="591"/>
      <c r="CF290" s="591"/>
      <c r="CG290" s="591"/>
      <c r="CH290" s="591"/>
      <c r="CI290" s="591">
        <v>5</v>
      </c>
      <c r="CJ290" s="591"/>
      <c r="CK290" s="591"/>
      <c r="CL290" s="591"/>
      <c r="CM290" s="591"/>
      <c r="CN290" s="591"/>
      <c r="CO290" s="591"/>
      <c r="CP290" s="591"/>
      <c r="CQ290" s="591"/>
      <c r="CR290" s="591"/>
      <c r="CS290" s="591"/>
      <c r="CT290" s="591"/>
      <c r="CU290" s="591"/>
      <c r="CV290" s="591"/>
      <c r="CW290" s="591"/>
      <c r="CX290" s="591"/>
      <c r="CY290" s="591"/>
      <c r="CZ290" s="591"/>
      <c r="DA290" s="219"/>
    </row>
    <row r="291" spans="1:105" s="16" customFormat="1" ht="15" hidden="1" customHeight="1" x14ac:dyDescent="0.3">
      <c r="A291" s="648" t="s">
        <v>258</v>
      </c>
      <c r="B291" s="649"/>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9"/>
      <c r="AL291" s="649"/>
      <c r="AM291" s="649"/>
      <c r="AN291" s="649"/>
      <c r="AO291" s="649"/>
      <c r="AP291" s="649"/>
      <c r="AQ291" s="649"/>
      <c r="AR291" s="649"/>
      <c r="AS291" s="649"/>
      <c r="AT291" s="649"/>
      <c r="AU291" s="649"/>
      <c r="AV291" s="649"/>
      <c r="AW291" s="649"/>
      <c r="AX291" s="649"/>
      <c r="AY291" s="649"/>
      <c r="AZ291" s="649"/>
      <c r="BA291" s="649"/>
      <c r="BB291" s="649"/>
      <c r="BC291" s="649"/>
      <c r="BD291" s="649"/>
      <c r="BE291" s="649"/>
      <c r="BF291" s="649"/>
      <c r="BG291" s="649"/>
      <c r="BH291" s="649"/>
      <c r="BI291" s="649"/>
      <c r="BJ291" s="649"/>
      <c r="BK291" s="649"/>
      <c r="BL291" s="649"/>
      <c r="BM291" s="649"/>
      <c r="BN291" s="649"/>
      <c r="BO291" s="649"/>
      <c r="BP291" s="649"/>
      <c r="BQ291" s="649"/>
      <c r="BR291" s="649"/>
      <c r="BS291" s="649"/>
      <c r="BT291" s="649"/>
      <c r="BU291" s="649"/>
      <c r="BV291" s="649"/>
      <c r="BW291" s="649"/>
      <c r="BX291" s="649"/>
      <c r="BY291" s="649"/>
      <c r="BZ291" s="649"/>
      <c r="CA291" s="649"/>
      <c r="CB291" s="649"/>
      <c r="CC291" s="649"/>
      <c r="CD291" s="649"/>
      <c r="CE291" s="649"/>
      <c r="CF291" s="649"/>
      <c r="CG291" s="649"/>
      <c r="CH291" s="649"/>
      <c r="CI291" s="649"/>
      <c r="CJ291" s="649"/>
      <c r="CK291" s="649"/>
      <c r="CL291" s="649"/>
      <c r="CM291" s="649"/>
      <c r="CN291" s="649"/>
      <c r="CO291" s="649"/>
      <c r="CP291" s="649"/>
      <c r="CQ291" s="649"/>
      <c r="CR291" s="649"/>
      <c r="CS291" s="649"/>
      <c r="CT291" s="649"/>
      <c r="CU291" s="649"/>
      <c r="CV291" s="649"/>
      <c r="CW291" s="649"/>
      <c r="CX291" s="649"/>
      <c r="CY291" s="649"/>
      <c r="CZ291" s="649"/>
      <c r="DA291" s="214"/>
    </row>
    <row r="292" spans="1:105" s="16" customFormat="1" ht="15" hidden="1" customHeight="1" x14ac:dyDescent="0.3">
      <c r="A292" s="630"/>
      <c r="B292" s="631"/>
      <c r="C292" s="631"/>
      <c r="D292" s="631"/>
      <c r="E292" s="631"/>
      <c r="F292" s="631"/>
      <c r="G292" s="632"/>
      <c r="H292" s="584"/>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5"/>
      <c r="AL292" s="585"/>
      <c r="AM292" s="585"/>
      <c r="AN292" s="585"/>
      <c r="AO292" s="585"/>
      <c r="AP292" s="585"/>
      <c r="AQ292" s="585"/>
      <c r="AR292" s="585"/>
      <c r="AS292" s="585"/>
      <c r="AT292" s="585"/>
      <c r="AU292" s="585"/>
      <c r="AV292" s="585"/>
      <c r="AW292" s="585"/>
      <c r="AX292" s="585"/>
      <c r="AY292" s="585"/>
      <c r="AZ292" s="585"/>
      <c r="BA292" s="585"/>
      <c r="BB292" s="586"/>
      <c r="BC292" s="544"/>
      <c r="BD292" s="545"/>
      <c r="BE292" s="545"/>
      <c r="BF292" s="545"/>
      <c r="BG292" s="545"/>
      <c r="BH292" s="545"/>
      <c r="BI292" s="545"/>
      <c r="BJ292" s="545"/>
      <c r="BK292" s="545"/>
      <c r="BL292" s="545"/>
      <c r="BM292" s="545"/>
      <c r="BN292" s="545"/>
      <c r="BO292" s="545"/>
      <c r="BP292" s="545"/>
      <c r="BQ292" s="545"/>
      <c r="BR292" s="546"/>
      <c r="BS292" s="544"/>
      <c r="BT292" s="545"/>
      <c r="BU292" s="545"/>
      <c r="BV292" s="545"/>
      <c r="BW292" s="545"/>
      <c r="BX292" s="545"/>
      <c r="BY292" s="545"/>
      <c r="BZ292" s="545"/>
      <c r="CA292" s="545"/>
      <c r="CB292" s="545"/>
      <c r="CC292" s="545"/>
      <c r="CD292" s="545"/>
      <c r="CE292" s="545"/>
      <c r="CF292" s="545"/>
      <c r="CG292" s="545"/>
      <c r="CH292" s="546"/>
      <c r="CI292" s="544"/>
      <c r="CJ292" s="545"/>
      <c r="CK292" s="545"/>
      <c r="CL292" s="545"/>
      <c r="CM292" s="545"/>
      <c r="CN292" s="545"/>
      <c r="CO292" s="545"/>
      <c r="CP292" s="545"/>
      <c r="CQ292" s="545"/>
      <c r="CR292" s="545"/>
      <c r="CS292" s="545"/>
      <c r="CT292" s="545"/>
      <c r="CU292" s="545"/>
      <c r="CV292" s="545"/>
      <c r="CW292" s="545"/>
      <c r="CX292" s="545"/>
      <c r="CY292" s="545"/>
      <c r="CZ292" s="546"/>
      <c r="DA292" s="214"/>
    </row>
    <row r="293" spans="1:105" s="16" customFormat="1" ht="15" hidden="1" customHeight="1" x14ac:dyDescent="0.3">
      <c r="A293" s="633" t="s">
        <v>292</v>
      </c>
      <c r="B293" s="634"/>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4"/>
      <c r="AL293" s="634"/>
      <c r="AM293" s="634"/>
      <c r="AN293" s="634"/>
      <c r="AO293" s="634"/>
      <c r="AP293" s="634"/>
      <c r="AQ293" s="634"/>
      <c r="AR293" s="634"/>
      <c r="AS293" s="634"/>
      <c r="AT293" s="634"/>
      <c r="AU293" s="634"/>
      <c r="AV293" s="634"/>
      <c r="AW293" s="634"/>
      <c r="AX293" s="634"/>
      <c r="AY293" s="634"/>
      <c r="AZ293" s="634"/>
      <c r="BA293" s="634"/>
      <c r="BB293" s="635"/>
      <c r="BC293" s="544" t="s">
        <v>4</v>
      </c>
      <c r="BD293" s="545"/>
      <c r="BE293" s="545"/>
      <c r="BF293" s="545"/>
      <c r="BG293" s="545"/>
      <c r="BH293" s="545"/>
      <c r="BI293" s="545"/>
      <c r="BJ293" s="545"/>
      <c r="BK293" s="545"/>
      <c r="BL293" s="545"/>
      <c r="BM293" s="545"/>
      <c r="BN293" s="545"/>
      <c r="BO293" s="545"/>
      <c r="BP293" s="545"/>
      <c r="BQ293" s="545"/>
      <c r="BR293" s="546"/>
      <c r="BS293" s="544" t="s">
        <v>4</v>
      </c>
      <c r="BT293" s="545"/>
      <c r="BU293" s="545"/>
      <c r="BV293" s="545"/>
      <c r="BW293" s="545"/>
      <c r="BX293" s="545"/>
      <c r="BY293" s="545"/>
      <c r="BZ293" s="545"/>
      <c r="CA293" s="545"/>
      <c r="CB293" s="545"/>
      <c r="CC293" s="545"/>
      <c r="CD293" s="545"/>
      <c r="CE293" s="545"/>
      <c r="CF293" s="545"/>
      <c r="CG293" s="545"/>
      <c r="CH293" s="546"/>
      <c r="CI293" s="544"/>
      <c r="CJ293" s="545"/>
      <c r="CK293" s="545"/>
      <c r="CL293" s="545"/>
      <c r="CM293" s="545"/>
      <c r="CN293" s="545"/>
      <c r="CO293" s="545"/>
      <c r="CP293" s="545"/>
      <c r="CQ293" s="545"/>
      <c r="CR293" s="545"/>
      <c r="CS293" s="545"/>
      <c r="CT293" s="545"/>
      <c r="CU293" s="545"/>
      <c r="CV293" s="545"/>
      <c r="CW293" s="545"/>
      <c r="CX293" s="545"/>
      <c r="CY293" s="545"/>
      <c r="CZ293" s="546"/>
      <c r="DA293" s="214"/>
    </row>
    <row r="294" spans="1:105" s="16" customFormat="1" ht="15" hidden="1" customHeight="1" x14ac:dyDescent="0.3">
      <c r="A294" s="648" t="s">
        <v>584</v>
      </c>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9"/>
      <c r="AL294" s="649"/>
      <c r="AM294" s="649"/>
      <c r="AN294" s="649"/>
      <c r="AO294" s="649"/>
      <c r="AP294" s="649"/>
      <c r="AQ294" s="649"/>
      <c r="AR294" s="649"/>
      <c r="AS294" s="649"/>
      <c r="AT294" s="649"/>
      <c r="AU294" s="649"/>
      <c r="AV294" s="649"/>
      <c r="AW294" s="649"/>
      <c r="AX294" s="649"/>
      <c r="AY294" s="649"/>
      <c r="AZ294" s="649"/>
      <c r="BA294" s="649"/>
      <c r="BB294" s="649"/>
      <c r="BC294" s="649"/>
      <c r="BD294" s="649"/>
      <c r="BE294" s="649"/>
      <c r="BF294" s="649"/>
      <c r="BG294" s="649"/>
      <c r="BH294" s="649"/>
      <c r="BI294" s="649"/>
      <c r="BJ294" s="649"/>
      <c r="BK294" s="649"/>
      <c r="BL294" s="649"/>
      <c r="BM294" s="649"/>
      <c r="BN294" s="649"/>
      <c r="BO294" s="649"/>
      <c r="BP294" s="649"/>
      <c r="BQ294" s="649"/>
      <c r="BR294" s="649"/>
      <c r="BS294" s="649"/>
      <c r="BT294" s="649"/>
      <c r="BU294" s="649"/>
      <c r="BV294" s="649"/>
      <c r="BW294" s="649"/>
      <c r="BX294" s="649"/>
      <c r="BY294" s="649"/>
      <c r="BZ294" s="649"/>
      <c r="CA294" s="649"/>
      <c r="CB294" s="649"/>
      <c r="CC294" s="649"/>
      <c r="CD294" s="649"/>
      <c r="CE294" s="649"/>
      <c r="CF294" s="649"/>
      <c r="CG294" s="649"/>
      <c r="CH294" s="649"/>
      <c r="CI294" s="649"/>
      <c r="CJ294" s="649"/>
      <c r="CK294" s="649"/>
      <c r="CL294" s="649"/>
      <c r="CM294" s="649"/>
      <c r="CN294" s="649"/>
      <c r="CO294" s="649"/>
      <c r="CP294" s="649"/>
      <c r="CQ294" s="649"/>
      <c r="CR294" s="649"/>
      <c r="CS294" s="649"/>
      <c r="CT294" s="649"/>
      <c r="CU294" s="649"/>
      <c r="CV294" s="649"/>
      <c r="CW294" s="649"/>
      <c r="CX294" s="649"/>
      <c r="CY294" s="649"/>
      <c r="CZ294" s="649"/>
      <c r="DA294" s="214"/>
    </row>
    <row r="295" spans="1:105" s="16" customFormat="1" ht="37.200000000000003" hidden="1" customHeight="1" x14ac:dyDescent="0.3">
      <c r="A295" s="630" t="s">
        <v>441</v>
      </c>
      <c r="B295" s="631"/>
      <c r="C295" s="631"/>
      <c r="D295" s="631"/>
      <c r="E295" s="631"/>
      <c r="F295" s="631"/>
      <c r="G295" s="632"/>
      <c r="H295" s="584" t="s">
        <v>857</v>
      </c>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6"/>
      <c r="BC295" s="544"/>
      <c r="BD295" s="545"/>
      <c r="BE295" s="545"/>
      <c r="BF295" s="545"/>
      <c r="BG295" s="545"/>
      <c r="BH295" s="545"/>
      <c r="BI295" s="545"/>
      <c r="BJ295" s="545"/>
      <c r="BK295" s="545"/>
      <c r="BL295" s="545"/>
      <c r="BM295" s="545"/>
      <c r="BN295" s="545"/>
      <c r="BO295" s="545"/>
      <c r="BP295" s="545"/>
      <c r="BQ295" s="545"/>
      <c r="BR295" s="546"/>
      <c r="BS295" s="544">
        <v>1</v>
      </c>
      <c r="BT295" s="545"/>
      <c r="BU295" s="545"/>
      <c r="BV295" s="545"/>
      <c r="BW295" s="545"/>
      <c r="BX295" s="545"/>
      <c r="BY295" s="545"/>
      <c r="BZ295" s="545"/>
      <c r="CA295" s="545"/>
      <c r="CB295" s="545"/>
      <c r="CC295" s="545"/>
      <c r="CD295" s="545"/>
      <c r="CE295" s="545"/>
      <c r="CF295" s="545"/>
      <c r="CG295" s="545"/>
      <c r="CH295" s="546"/>
      <c r="CI295" s="627"/>
      <c r="CJ295" s="628"/>
      <c r="CK295" s="628"/>
      <c r="CL295" s="628"/>
      <c r="CM295" s="628"/>
      <c r="CN295" s="628"/>
      <c r="CO295" s="628"/>
      <c r="CP295" s="628"/>
      <c r="CQ295" s="628"/>
      <c r="CR295" s="628"/>
      <c r="CS295" s="628"/>
      <c r="CT295" s="628"/>
      <c r="CU295" s="628"/>
      <c r="CV295" s="628"/>
      <c r="CW295" s="628"/>
      <c r="CX295" s="628"/>
      <c r="CY295" s="628"/>
      <c r="CZ295" s="629"/>
      <c r="DA295" s="214"/>
    </row>
    <row r="296" spans="1:105" s="16" customFormat="1" ht="15" hidden="1" customHeight="1" x14ac:dyDescent="0.3">
      <c r="A296" s="633" t="s">
        <v>292</v>
      </c>
      <c r="B296" s="634"/>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4"/>
      <c r="AL296" s="634"/>
      <c r="AM296" s="634"/>
      <c r="AN296" s="634"/>
      <c r="AO296" s="634"/>
      <c r="AP296" s="634"/>
      <c r="AQ296" s="634"/>
      <c r="AR296" s="634"/>
      <c r="AS296" s="634"/>
      <c r="AT296" s="634"/>
      <c r="AU296" s="634"/>
      <c r="AV296" s="634"/>
      <c r="AW296" s="634"/>
      <c r="AX296" s="634"/>
      <c r="AY296" s="634"/>
      <c r="AZ296" s="634"/>
      <c r="BA296" s="634"/>
      <c r="BB296" s="635"/>
      <c r="BC296" s="544" t="s">
        <v>4</v>
      </c>
      <c r="BD296" s="545"/>
      <c r="BE296" s="545"/>
      <c r="BF296" s="545"/>
      <c r="BG296" s="545"/>
      <c r="BH296" s="545"/>
      <c r="BI296" s="545"/>
      <c r="BJ296" s="545"/>
      <c r="BK296" s="545"/>
      <c r="BL296" s="545"/>
      <c r="BM296" s="545"/>
      <c r="BN296" s="545"/>
      <c r="BO296" s="545"/>
      <c r="BP296" s="545"/>
      <c r="BQ296" s="545"/>
      <c r="BR296" s="546"/>
      <c r="BS296" s="544" t="s">
        <v>4</v>
      </c>
      <c r="BT296" s="545"/>
      <c r="BU296" s="545"/>
      <c r="BV296" s="545"/>
      <c r="BW296" s="545"/>
      <c r="BX296" s="545"/>
      <c r="BY296" s="545"/>
      <c r="BZ296" s="545"/>
      <c r="CA296" s="545"/>
      <c r="CB296" s="545"/>
      <c r="CC296" s="545"/>
      <c r="CD296" s="545"/>
      <c r="CE296" s="545"/>
      <c r="CF296" s="545"/>
      <c r="CG296" s="545"/>
      <c r="CH296" s="546"/>
      <c r="CI296" s="636">
        <f>CI295</f>
        <v>0</v>
      </c>
      <c r="CJ296" s="654"/>
      <c r="CK296" s="654"/>
      <c r="CL296" s="654"/>
      <c r="CM296" s="654"/>
      <c r="CN296" s="654"/>
      <c r="CO296" s="654"/>
      <c r="CP296" s="654"/>
      <c r="CQ296" s="654"/>
      <c r="CR296" s="654"/>
      <c r="CS296" s="654"/>
      <c r="CT296" s="654"/>
      <c r="CU296" s="654"/>
      <c r="CV296" s="654"/>
      <c r="CW296" s="654"/>
      <c r="CX296" s="654"/>
      <c r="CY296" s="654"/>
      <c r="CZ296" s="655"/>
      <c r="DA296" s="214"/>
    </row>
    <row r="297" spans="1:105" s="16" customFormat="1" ht="15" hidden="1" customHeight="1" x14ac:dyDescent="0.3">
      <c r="A297" s="553" t="s">
        <v>56</v>
      </c>
      <c r="B297" s="554"/>
      <c r="C297" s="554"/>
      <c r="D297" s="554"/>
      <c r="E297" s="554"/>
      <c r="F297" s="554"/>
      <c r="G297" s="554"/>
      <c r="H297" s="554"/>
      <c r="I297" s="554"/>
      <c r="J297" s="554"/>
      <c r="K297" s="554"/>
      <c r="L297" s="554"/>
      <c r="M297" s="554"/>
      <c r="N297" s="554"/>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4"/>
      <c r="AL297" s="554"/>
      <c r="AM297" s="554"/>
      <c r="AN297" s="554"/>
      <c r="AO297" s="554"/>
      <c r="AP297" s="554"/>
      <c r="AQ297" s="554"/>
      <c r="AR297" s="554"/>
      <c r="AS297" s="554"/>
      <c r="AT297" s="554"/>
      <c r="AU297" s="554"/>
      <c r="AV297" s="554"/>
      <c r="AW297" s="554"/>
      <c r="AX297" s="554"/>
      <c r="AY297" s="554"/>
      <c r="AZ297" s="554"/>
      <c r="BA297" s="554"/>
      <c r="BB297" s="555"/>
      <c r="BC297" s="582" t="s">
        <v>4</v>
      </c>
      <c r="BD297" s="582"/>
      <c r="BE297" s="582"/>
      <c r="BF297" s="582"/>
      <c r="BG297" s="582"/>
      <c r="BH297" s="582"/>
      <c r="BI297" s="582"/>
      <c r="BJ297" s="582"/>
      <c r="BK297" s="582"/>
      <c r="BL297" s="582"/>
      <c r="BM297" s="582"/>
      <c r="BN297" s="582"/>
      <c r="BO297" s="582"/>
      <c r="BP297" s="582"/>
      <c r="BQ297" s="582"/>
      <c r="BR297" s="582"/>
      <c r="BS297" s="582" t="s">
        <v>4</v>
      </c>
      <c r="BT297" s="582"/>
      <c r="BU297" s="582"/>
      <c r="BV297" s="582"/>
      <c r="BW297" s="582"/>
      <c r="BX297" s="582"/>
      <c r="BY297" s="582"/>
      <c r="BZ297" s="582"/>
      <c r="CA297" s="582"/>
      <c r="CB297" s="582"/>
      <c r="CC297" s="582"/>
      <c r="CD297" s="582"/>
      <c r="CE297" s="582"/>
      <c r="CF297" s="582"/>
      <c r="CG297" s="582"/>
      <c r="CH297" s="582"/>
      <c r="CI297" s="611">
        <f>CI296</f>
        <v>0</v>
      </c>
      <c r="CJ297" s="611"/>
      <c r="CK297" s="611"/>
      <c r="CL297" s="611"/>
      <c r="CM297" s="611"/>
      <c r="CN297" s="611"/>
      <c r="CO297" s="611"/>
      <c r="CP297" s="611"/>
      <c r="CQ297" s="611"/>
      <c r="CR297" s="611"/>
      <c r="CS297" s="611"/>
      <c r="CT297" s="611"/>
      <c r="CU297" s="611"/>
      <c r="CV297" s="611"/>
      <c r="CW297" s="611"/>
      <c r="CX297" s="611"/>
      <c r="CY297" s="611"/>
      <c r="CZ297" s="611"/>
      <c r="DA297" s="214"/>
    </row>
    <row r="298" spans="1:105" ht="12" customHeight="1" x14ac:dyDescent="0.25"/>
    <row r="299" spans="1:105" s="20" customFormat="1" x14ac:dyDescent="0.25">
      <c r="A299" s="594" t="s">
        <v>284</v>
      </c>
      <c r="B299" s="594"/>
      <c r="C299" s="594"/>
      <c r="D299" s="594"/>
      <c r="E299" s="594"/>
      <c r="F299" s="594"/>
      <c r="G299" s="594"/>
      <c r="H299" s="594"/>
      <c r="I299" s="594"/>
      <c r="J299" s="594"/>
      <c r="K299" s="594"/>
      <c r="L299" s="594"/>
      <c r="M299" s="594"/>
      <c r="N299" s="594"/>
      <c r="O299" s="594"/>
      <c r="P299" s="594"/>
      <c r="Q299" s="594"/>
      <c r="R299" s="594"/>
      <c r="S299" s="594"/>
      <c r="T299" s="594"/>
      <c r="U299" s="594"/>
      <c r="V299" s="594"/>
      <c r="W299" s="594"/>
      <c r="X299" s="594"/>
      <c r="Y299" s="594"/>
      <c r="Z299" s="594"/>
      <c r="AA299" s="594"/>
      <c r="AB299" s="594"/>
      <c r="AC299" s="594"/>
      <c r="AD299" s="594"/>
      <c r="AE299" s="594"/>
      <c r="AF299" s="594"/>
      <c r="AG299" s="594"/>
      <c r="AH299" s="594"/>
      <c r="AI299" s="594"/>
      <c r="AJ299" s="594"/>
      <c r="AK299" s="594"/>
      <c r="AL299" s="594"/>
      <c r="AM299" s="594"/>
      <c r="AN299" s="594"/>
      <c r="AO299" s="594"/>
      <c r="AP299" s="594"/>
      <c r="AQ299" s="594"/>
      <c r="AR299" s="594"/>
      <c r="AS299" s="594"/>
      <c r="AT299" s="594"/>
      <c r="AU299" s="594"/>
      <c r="AV299" s="594"/>
      <c r="AW299" s="594"/>
      <c r="AX299" s="594"/>
      <c r="AY299" s="594"/>
      <c r="AZ299" s="594"/>
      <c r="BA299" s="594"/>
      <c r="BB299" s="594"/>
      <c r="BC299" s="594"/>
      <c r="BD299" s="594"/>
      <c r="BE299" s="594"/>
      <c r="BF299" s="594"/>
      <c r="BG299" s="594"/>
      <c r="BH299" s="594"/>
      <c r="BI299" s="594"/>
      <c r="BJ299" s="594"/>
      <c r="BK299" s="594"/>
      <c r="BL299" s="594"/>
      <c r="BM299" s="594"/>
      <c r="BN299" s="594"/>
      <c r="BO299" s="594"/>
      <c r="BP299" s="594"/>
      <c r="BQ299" s="594"/>
      <c r="BR299" s="594"/>
      <c r="BS299" s="594"/>
      <c r="BT299" s="594"/>
      <c r="BU299" s="594"/>
      <c r="BV299" s="594"/>
      <c r="BW299" s="594"/>
      <c r="BX299" s="594"/>
      <c r="BY299" s="594"/>
      <c r="BZ299" s="594"/>
      <c r="CA299" s="594"/>
      <c r="CB299" s="594"/>
      <c r="CC299" s="594"/>
      <c r="CD299" s="594"/>
      <c r="CE299" s="594"/>
      <c r="CF299" s="594"/>
      <c r="CG299" s="594"/>
      <c r="CH299" s="594"/>
      <c r="CI299" s="594"/>
      <c r="CJ299" s="594"/>
      <c r="CK299" s="594"/>
      <c r="CL299" s="594"/>
      <c r="CM299" s="594"/>
      <c r="CN299" s="594"/>
      <c r="CO299" s="594"/>
      <c r="CP299" s="594"/>
      <c r="CQ299" s="594"/>
      <c r="CR299" s="594"/>
      <c r="CS299" s="594"/>
      <c r="CT299" s="594"/>
      <c r="CU299" s="594"/>
      <c r="CV299" s="594"/>
      <c r="CW299" s="594"/>
      <c r="CX299" s="594"/>
      <c r="CY299" s="594"/>
      <c r="CZ299" s="594"/>
    </row>
    <row r="300" spans="1:105" ht="10.5" customHeight="1" x14ac:dyDescent="0.25"/>
    <row r="301" spans="1:105" s="20" customFormat="1" x14ac:dyDescent="0.25">
      <c r="A301" s="594" t="s">
        <v>285</v>
      </c>
      <c r="B301" s="594"/>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95" t="s">
        <v>587</v>
      </c>
      <c r="X303" s="595"/>
      <c r="Y303" s="595"/>
      <c r="Z303" s="595"/>
      <c r="AA303" s="595"/>
      <c r="AB303" s="595"/>
      <c r="AC303" s="595"/>
      <c r="AD303" s="595"/>
      <c r="AE303" s="595"/>
      <c r="AF303" s="595"/>
      <c r="AG303" s="595"/>
      <c r="AH303" s="595"/>
      <c r="AI303" s="595"/>
      <c r="AJ303" s="595"/>
      <c r="AK303" s="595"/>
      <c r="AL303" s="595"/>
      <c r="AM303" s="595"/>
      <c r="AN303" s="595"/>
      <c r="AO303" s="595"/>
      <c r="AP303" s="595"/>
      <c r="AQ303" s="595"/>
      <c r="AR303" s="595"/>
      <c r="AS303" s="595"/>
      <c r="AT303" s="595"/>
      <c r="AU303" s="595"/>
      <c r="AV303" s="595"/>
      <c r="AW303" s="595"/>
      <c r="AX303" s="595"/>
      <c r="AY303" s="595"/>
      <c r="AZ303" s="595"/>
      <c r="BA303" s="595"/>
      <c r="BB303" s="595"/>
      <c r="BC303" s="595"/>
      <c r="BD303" s="595"/>
      <c r="BE303" s="595"/>
      <c r="BF303" s="595"/>
      <c r="BG303" s="595"/>
      <c r="BH303" s="595"/>
      <c r="BI303" s="595"/>
      <c r="BJ303" s="595"/>
      <c r="BK303" s="595"/>
      <c r="BL303" s="595"/>
      <c r="BM303" s="595"/>
      <c r="BN303" s="595"/>
      <c r="BO303" s="595"/>
      <c r="BP303" s="595"/>
      <c r="BQ303" s="595"/>
      <c r="BR303" s="595"/>
      <c r="BS303" s="595"/>
      <c r="BT303" s="595"/>
      <c r="BU303" s="595"/>
      <c r="BV303" s="595"/>
      <c r="BW303" s="595"/>
      <c r="BX303" s="595"/>
      <c r="BY303" s="595"/>
      <c r="BZ303" s="595"/>
      <c r="CA303" s="595"/>
      <c r="CB303" s="595"/>
      <c r="CC303" s="595"/>
      <c r="CD303" s="595"/>
      <c r="CE303" s="595"/>
      <c r="CF303" s="595"/>
      <c r="CG303" s="595"/>
      <c r="CH303" s="595"/>
      <c r="CI303" s="595"/>
      <c r="CJ303" s="595"/>
      <c r="CK303" s="595"/>
      <c r="CL303" s="595"/>
      <c r="CM303" s="595"/>
      <c r="CN303" s="595"/>
      <c r="CO303" s="595"/>
      <c r="CP303" s="595"/>
      <c r="CQ303" s="595"/>
      <c r="CR303" s="595"/>
      <c r="CS303" s="595"/>
      <c r="CT303" s="595"/>
      <c r="CU303" s="595"/>
      <c r="CV303" s="595"/>
      <c r="CW303" s="595"/>
      <c r="CX303" s="595"/>
      <c r="CY303" s="595"/>
      <c r="CZ303" s="595"/>
      <c r="DA303" s="230">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75" t="s">
        <v>49</v>
      </c>
      <c r="B305" s="476"/>
      <c r="C305" s="476"/>
      <c r="D305" s="476"/>
      <c r="E305" s="476"/>
      <c r="F305" s="476"/>
      <c r="G305" s="477"/>
      <c r="H305" s="475" t="s">
        <v>78</v>
      </c>
      <c r="I305" s="476"/>
      <c r="J305" s="476"/>
      <c r="K305" s="476"/>
      <c r="L305" s="476"/>
      <c r="M305" s="476"/>
      <c r="N305" s="476"/>
      <c r="O305" s="476"/>
      <c r="P305" s="476"/>
      <c r="Q305" s="476"/>
      <c r="R305" s="476"/>
      <c r="S305" s="476"/>
      <c r="T305" s="476"/>
      <c r="U305" s="476"/>
      <c r="V305" s="476"/>
      <c r="W305" s="476"/>
      <c r="X305" s="476"/>
      <c r="Y305" s="476"/>
      <c r="Z305" s="476"/>
      <c r="AA305" s="476"/>
      <c r="AB305" s="476"/>
      <c r="AC305" s="476"/>
      <c r="AD305" s="476"/>
      <c r="AE305" s="476"/>
      <c r="AF305" s="476"/>
      <c r="AG305" s="476"/>
      <c r="AH305" s="476"/>
      <c r="AI305" s="476"/>
      <c r="AJ305" s="476"/>
      <c r="AK305" s="476"/>
      <c r="AL305" s="476"/>
      <c r="AM305" s="476"/>
      <c r="AN305" s="477"/>
      <c r="AO305" s="475" t="s">
        <v>82</v>
      </c>
      <c r="AP305" s="476"/>
      <c r="AQ305" s="476"/>
      <c r="AR305" s="476"/>
      <c r="AS305" s="476"/>
      <c r="AT305" s="476"/>
      <c r="AU305" s="476"/>
      <c r="AV305" s="476"/>
      <c r="AW305" s="476"/>
      <c r="AX305" s="476"/>
      <c r="AY305" s="476"/>
      <c r="AZ305" s="476"/>
      <c r="BA305" s="476"/>
      <c r="BB305" s="476"/>
      <c r="BC305" s="476"/>
      <c r="BD305" s="477"/>
      <c r="BE305" s="475" t="s">
        <v>83</v>
      </c>
      <c r="BF305" s="476"/>
      <c r="BG305" s="476"/>
      <c r="BH305" s="476"/>
      <c r="BI305" s="476"/>
      <c r="BJ305" s="476"/>
      <c r="BK305" s="476"/>
      <c r="BL305" s="476"/>
      <c r="BM305" s="476"/>
      <c r="BN305" s="476"/>
      <c r="BO305" s="476"/>
      <c r="BP305" s="476"/>
      <c r="BQ305" s="476"/>
      <c r="BR305" s="476"/>
      <c r="BS305" s="476"/>
      <c r="BT305" s="477"/>
      <c r="BU305" s="475" t="s">
        <v>84</v>
      </c>
      <c r="BV305" s="476"/>
      <c r="BW305" s="476"/>
      <c r="BX305" s="476"/>
      <c r="BY305" s="476"/>
      <c r="BZ305" s="476"/>
      <c r="CA305" s="476"/>
      <c r="CB305" s="476"/>
      <c r="CC305" s="476"/>
      <c r="CD305" s="476"/>
      <c r="CE305" s="476"/>
      <c r="CF305" s="476"/>
      <c r="CG305" s="476"/>
      <c r="CH305" s="476"/>
      <c r="CI305" s="476"/>
      <c r="CJ305" s="477"/>
      <c r="CK305" s="475" t="s">
        <v>61</v>
      </c>
      <c r="CL305" s="476"/>
      <c r="CM305" s="476"/>
      <c r="CN305" s="476"/>
      <c r="CO305" s="476"/>
      <c r="CP305" s="476"/>
      <c r="CQ305" s="476"/>
      <c r="CR305" s="476"/>
      <c r="CS305" s="476"/>
      <c r="CT305" s="476"/>
      <c r="CU305" s="476"/>
      <c r="CV305" s="476"/>
      <c r="CW305" s="476"/>
      <c r="CX305" s="476"/>
      <c r="CY305" s="476"/>
      <c r="CZ305" s="477"/>
      <c r="DA305" s="218"/>
    </row>
    <row r="306" spans="1:105" s="15" customFormat="1" ht="13.2" x14ac:dyDescent="0.3">
      <c r="A306" s="591">
        <v>1</v>
      </c>
      <c r="B306" s="591"/>
      <c r="C306" s="591"/>
      <c r="D306" s="591"/>
      <c r="E306" s="591"/>
      <c r="F306" s="591"/>
      <c r="G306" s="591"/>
      <c r="H306" s="591">
        <v>2</v>
      </c>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1"/>
      <c r="AL306" s="591"/>
      <c r="AM306" s="591"/>
      <c r="AN306" s="591"/>
      <c r="AO306" s="591">
        <v>3</v>
      </c>
      <c r="AP306" s="591"/>
      <c r="AQ306" s="591"/>
      <c r="AR306" s="591"/>
      <c r="AS306" s="591"/>
      <c r="AT306" s="591"/>
      <c r="AU306" s="591"/>
      <c r="AV306" s="591"/>
      <c r="AW306" s="591"/>
      <c r="AX306" s="591"/>
      <c r="AY306" s="591"/>
      <c r="AZ306" s="591"/>
      <c r="BA306" s="591"/>
      <c r="BB306" s="591"/>
      <c r="BC306" s="591"/>
      <c r="BD306" s="591"/>
      <c r="BE306" s="591">
        <v>4</v>
      </c>
      <c r="BF306" s="591"/>
      <c r="BG306" s="591"/>
      <c r="BH306" s="591"/>
      <c r="BI306" s="591"/>
      <c r="BJ306" s="591"/>
      <c r="BK306" s="591"/>
      <c r="BL306" s="591"/>
      <c r="BM306" s="591"/>
      <c r="BN306" s="591"/>
      <c r="BO306" s="591"/>
      <c r="BP306" s="591"/>
      <c r="BQ306" s="591"/>
      <c r="BR306" s="591"/>
      <c r="BS306" s="591"/>
      <c r="BT306" s="591"/>
      <c r="BU306" s="591">
        <v>5</v>
      </c>
      <c r="BV306" s="591"/>
      <c r="BW306" s="591"/>
      <c r="BX306" s="591"/>
      <c r="BY306" s="591"/>
      <c r="BZ306" s="591"/>
      <c r="CA306" s="591"/>
      <c r="CB306" s="591"/>
      <c r="CC306" s="591"/>
      <c r="CD306" s="591"/>
      <c r="CE306" s="591"/>
      <c r="CF306" s="591"/>
      <c r="CG306" s="591"/>
      <c r="CH306" s="591"/>
      <c r="CI306" s="591"/>
      <c r="CJ306" s="591"/>
      <c r="CK306" s="591">
        <v>6</v>
      </c>
      <c r="CL306" s="591"/>
      <c r="CM306" s="591"/>
      <c r="CN306" s="591"/>
      <c r="CO306" s="591"/>
      <c r="CP306" s="591"/>
      <c r="CQ306" s="591"/>
      <c r="CR306" s="591"/>
      <c r="CS306" s="591"/>
      <c r="CT306" s="591"/>
      <c r="CU306" s="591"/>
      <c r="CV306" s="591"/>
      <c r="CW306" s="591"/>
      <c r="CX306" s="591"/>
      <c r="CY306" s="591"/>
      <c r="CZ306" s="591"/>
      <c r="DA306" s="219"/>
    </row>
    <row r="307" spans="1:105" s="16" customFormat="1" ht="15" customHeight="1" x14ac:dyDescent="0.3">
      <c r="A307" s="656" t="s">
        <v>537</v>
      </c>
      <c r="B307" s="657"/>
      <c r="C307" s="657"/>
      <c r="D307" s="657"/>
      <c r="E307" s="657"/>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57"/>
      <c r="BQ307" s="657"/>
      <c r="BR307" s="657"/>
      <c r="BS307" s="657"/>
      <c r="BT307" s="657"/>
      <c r="BU307" s="657"/>
      <c r="BV307" s="657"/>
      <c r="BW307" s="657"/>
      <c r="BX307" s="657"/>
      <c r="BY307" s="657"/>
      <c r="BZ307" s="657"/>
      <c r="CA307" s="657"/>
      <c r="CB307" s="657"/>
      <c r="CC307" s="657"/>
      <c r="CD307" s="657"/>
      <c r="CE307" s="657"/>
      <c r="CF307" s="657"/>
      <c r="CG307" s="657"/>
      <c r="CH307" s="657"/>
      <c r="CI307" s="657"/>
      <c r="CJ307" s="657"/>
      <c r="CK307" s="657"/>
      <c r="CL307" s="657"/>
      <c r="CM307" s="657"/>
      <c r="CN307" s="657"/>
      <c r="CO307" s="657"/>
      <c r="CP307" s="657"/>
      <c r="CQ307" s="657"/>
      <c r="CR307" s="657"/>
      <c r="CS307" s="657"/>
      <c r="CT307" s="657"/>
      <c r="CU307" s="657"/>
      <c r="CV307" s="657"/>
      <c r="CW307" s="657"/>
      <c r="CX307" s="657"/>
      <c r="CY307" s="657"/>
      <c r="CZ307" s="658"/>
      <c r="DA307" s="214"/>
    </row>
    <row r="308" spans="1:105" s="16" customFormat="1" ht="58.5" customHeight="1" x14ac:dyDescent="0.3">
      <c r="A308" s="630" t="s">
        <v>441</v>
      </c>
      <c r="B308" s="631"/>
      <c r="C308" s="631"/>
      <c r="D308" s="631"/>
      <c r="E308" s="631"/>
      <c r="F308" s="631"/>
      <c r="G308" s="632"/>
      <c r="H308" s="584" t="s">
        <v>588</v>
      </c>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5"/>
      <c r="AL308" s="585"/>
      <c r="AM308" s="585"/>
      <c r="AN308" s="586"/>
      <c r="AO308" s="544">
        <v>22</v>
      </c>
      <c r="AP308" s="545"/>
      <c r="AQ308" s="545"/>
      <c r="AR308" s="545"/>
      <c r="AS308" s="545"/>
      <c r="AT308" s="545"/>
      <c r="AU308" s="545"/>
      <c r="AV308" s="545"/>
      <c r="AW308" s="545"/>
      <c r="AX308" s="545"/>
      <c r="AY308" s="545"/>
      <c r="AZ308" s="545"/>
      <c r="BA308" s="545"/>
      <c r="BB308" s="545"/>
      <c r="BC308" s="545"/>
      <c r="BD308" s="546"/>
      <c r="BE308" s="544">
        <v>11</v>
      </c>
      <c r="BF308" s="545"/>
      <c r="BG308" s="545"/>
      <c r="BH308" s="545"/>
      <c r="BI308" s="545"/>
      <c r="BJ308" s="545"/>
      <c r="BK308" s="545"/>
      <c r="BL308" s="545"/>
      <c r="BM308" s="545"/>
      <c r="BN308" s="545"/>
      <c r="BO308" s="545"/>
      <c r="BP308" s="545"/>
      <c r="BQ308" s="545"/>
      <c r="BR308" s="545"/>
      <c r="BS308" s="545"/>
      <c r="BT308" s="546"/>
      <c r="BU308" s="639">
        <f>CK308/BE308/AO308</f>
        <v>24.793388429752067</v>
      </c>
      <c r="BV308" s="640"/>
      <c r="BW308" s="640"/>
      <c r="BX308" s="640"/>
      <c r="BY308" s="640"/>
      <c r="BZ308" s="640"/>
      <c r="CA308" s="640"/>
      <c r="CB308" s="640"/>
      <c r="CC308" s="640"/>
      <c r="CD308" s="640"/>
      <c r="CE308" s="640"/>
      <c r="CF308" s="640"/>
      <c r="CG308" s="640"/>
      <c r="CH308" s="640"/>
      <c r="CI308" s="640"/>
      <c r="CJ308" s="641"/>
      <c r="CK308" s="627">
        <v>6000</v>
      </c>
      <c r="CL308" s="628"/>
      <c r="CM308" s="628"/>
      <c r="CN308" s="628"/>
      <c r="CO308" s="628"/>
      <c r="CP308" s="628"/>
      <c r="CQ308" s="628"/>
      <c r="CR308" s="628"/>
      <c r="CS308" s="628"/>
      <c r="CT308" s="628"/>
      <c r="CU308" s="628"/>
      <c r="CV308" s="628"/>
      <c r="CW308" s="628"/>
      <c r="CX308" s="628"/>
      <c r="CY308" s="628"/>
      <c r="CZ308" s="629"/>
      <c r="DA308" s="214"/>
    </row>
    <row r="309" spans="1:105" s="16" customFormat="1" ht="58.5" customHeight="1" x14ac:dyDescent="0.3">
      <c r="A309" s="630" t="s">
        <v>444</v>
      </c>
      <c r="B309" s="631"/>
      <c r="C309" s="631"/>
      <c r="D309" s="631"/>
      <c r="E309" s="631"/>
      <c r="F309" s="631"/>
      <c r="G309" s="632"/>
      <c r="H309" s="584" t="s">
        <v>589</v>
      </c>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5"/>
      <c r="AL309" s="585"/>
      <c r="AM309" s="585"/>
      <c r="AN309" s="586"/>
      <c r="AO309" s="544">
        <v>4</v>
      </c>
      <c r="AP309" s="545"/>
      <c r="AQ309" s="545"/>
      <c r="AR309" s="545"/>
      <c r="AS309" s="545"/>
      <c r="AT309" s="545"/>
      <c r="AU309" s="545"/>
      <c r="AV309" s="545"/>
      <c r="AW309" s="545"/>
      <c r="AX309" s="545"/>
      <c r="AY309" s="545"/>
      <c r="AZ309" s="545"/>
      <c r="BA309" s="545"/>
      <c r="BB309" s="545"/>
      <c r="BC309" s="545"/>
      <c r="BD309" s="546"/>
      <c r="BE309" s="544">
        <v>11</v>
      </c>
      <c r="BF309" s="545"/>
      <c r="BG309" s="545"/>
      <c r="BH309" s="545"/>
      <c r="BI309" s="545"/>
      <c r="BJ309" s="545"/>
      <c r="BK309" s="545"/>
      <c r="BL309" s="545"/>
      <c r="BM309" s="545"/>
      <c r="BN309" s="545"/>
      <c r="BO309" s="545"/>
      <c r="BP309" s="545"/>
      <c r="BQ309" s="545"/>
      <c r="BR309" s="545"/>
      <c r="BS309" s="545"/>
      <c r="BT309" s="546"/>
      <c r="BU309" s="639">
        <f t="shared" ref="BU309:BU312" si="2">CK309/BE309/AO309</f>
        <v>227.27272727272728</v>
      </c>
      <c r="BV309" s="640"/>
      <c r="BW309" s="640"/>
      <c r="BX309" s="640"/>
      <c r="BY309" s="640"/>
      <c r="BZ309" s="640"/>
      <c r="CA309" s="640"/>
      <c r="CB309" s="640"/>
      <c r="CC309" s="640"/>
      <c r="CD309" s="640"/>
      <c r="CE309" s="640"/>
      <c r="CF309" s="640"/>
      <c r="CG309" s="640"/>
      <c r="CH309" s="640"/>
      <c r="CI309" s="640"/>
      <c r="CJ309" s="641"/>
      <c r="CK309" s="627">
        <v>10000</v>
      </c>
      <c r="CL309" s="628"/>
      <c r="CM309" s="628"/>
      <c r="CN309" s="628"/>
      <c r="CO309" s="628"/>
      <c r="CP309" s="628"/>
      <c r="CQ309" s="628"/>
      <c r="CR309" s="628"/>
      <c r="CS309" s="628"/>
      <c r="CT309" s="628"/>
      <c r="CU309" s="628"/>
      <c r="CV309" s="628"/>
      <c r="CW309" s="628"/>
      <c r="CX309" s="628"/>
      <c r="CY309" s="628"/>
      <c r="CZ309" s="629"/>
      <c r="DA309" s="214"/>
    </row>
    <row r="310" spans="1:105" s="16" customFormat="1" ht="15" customHeight="1" x14ac:dyDescent="0.3">
      <c r="A310" s="630" t="s">
        <v>446</v>
      </c>
      <c r="B310" s="631"/>
      <c r="C310" s="631"/>
      <c r="D310" s="631"/>
      <c r="E310" s="631"/>
      <c r="F310" s="631"/>
      <c r="G310" s="632"/>
      <c r="H310" s="584" t="s">
        <v>590</v>
      </c>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5"/>
      <c r="AL310" s="585"/>
      <c r="AM310" s="585"/>
      <c r="AN310" s="586"/>
      <c r="AO310" s="544">
        <v>1</v>
      </c>
      <c r="AP310" s="545"/>
      <c r="AQ310" s="545"/>
      <c r="AR310" s="545"/>
      <c r="AS310" s="545"/>
      <c r="AT310" s="545"/>
      <c r="AU310" s="545"/>
      <c r="AV310" s="545"/>
      <c r="AW310" s="545"/>
      <c r="AX310" s="545"/>
      <c r="AY310" s="545"/>
      <c r="AZ310" s="545"/>
      <c r="BA310" s="545"/>
      <c r="BB310" s="545"/>
      <c r="BC310" s="545"/>
      <c r="BD310" s="546"/>
      <c r="BE310" s="544">
        <v>12</v>
      </c>
      <c r="BF310" s="545"/>
      <c r="BG310" s="545"/>
      <c r="BH310" s="545"/>
      <c r="BI310" s="545"/>
      <c r="BJ310" s="545"/>
      <c r="BK310" s="545"/>
      <c r="BL310" s="545"/>
      <c r="BM310" s="545"/>
      <c r="BN310" s="545"/>
      <c r="BO310" s="545"/>
      <c r="BP310" s="545"/>
      <c r="BQ310" s="545"/>
      <c r="BR310" s="545"/>
      <c r="BS310" s="545"/>
      <c r="BT310" s="546"/>
      <c r="BU310" s="639">
        <f t="shared" si="2"/>
        <v>583.33333333333337</v>
      </c>
      <c r="BV310" s="640"/>
      <c r="BW310" s="640"/>
      <c r="BX310" s="640"/>
      <c r="BY310" s="640"/>
      <c r="BZ310" s="640"/>
      <c r="CA310" s="640"/>
      <c r="CB310" s="640"/>
      <c r="CC310" s="640"/>
      <c r="CD310" s="640"/>
      <c r="CE310" s="640"/>
      <c r="CF310" s="640"/>
      <c r="CG310" s="640"/>
      <c r="CH310" s="640"/>
      <c r="CI310" s="640"/>
      <c r="CJ310" s="641"/>
      <c r="CK310" s="627">
        <v>7000</v>
      </c>
      <c r="CL310" s="628"/>
      <c r="CM310" s="628"/>
      <c r="CN310" s="628"/>
      <c r="CO310" s="628"/>
      <c r="CP310" s="628"/>
      <c r="CQ310" s="628"/>
      <c r="CR310" s="628"/>
      <c r="CS310" s="628"/>
      <c r="CT310" s="628"/>
      <c r="CU310" s="628"/>
      <c r="CV310" s="628"/>
      <c r="CW310" s="628"/>
      <c r="CX310" s="628"/>
      <c r="CY310" s="628"/>
      <c r="CZ310" s="629"/>
      <c r="DA310" s="214"/>
    </row>
    <row r="311" spans="1:105" s="16" customFormat="1" ht="15" customHeight="1" x14ac:dyDescent="0.3">
      <c r="A311" s="630" t="s">
        <v>551</v>
      </c>
      <c r="B311" s="631"/>
      <c r="C311" s="631"/>
      <c r="D311" s="631"/>
      <c r="E311" s="631"/>
      <c r="F311" s="631"/>
      <c r="G311" s="632"/>
      <c r="H311" s="584" t="s">
        <v>850</v>
      </c>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6"/>
      <c r="AO311" s="544">
        <v>2</v>
      </c>
      <c r="AP311" s="545"/>
      <c r="AQ311" s="545"/>
      <c r="AR311" s="545"/>
      <c r="AS311" s="545"/>
      <c r="AT311" s="545"/>
      <c r="AU311" s="545"/>
      <c r="AV311" s="545"/>
      <c r="AW311" s="545"/>
      <c r="AX311" s="545"/>
      <c r="AY311" s="545"/>
      <c r="AZ311" s="545"/>
      <c r="BA311" s="545"/>
      <c r="BB311" s="545"/>
      <c r="BC311" s="545"/>
      <c r="BD311" s="546"/>
      <c r="BE311" s="544">
        <v>1</v>
      </c>
      <c r="BF311" s="545"/>
      <c r="BG311" s="545"/>
      <c r="BH311" s="545"/>
      <c r="BI311" s="545"/>
      <c r="BJ311" s="545"/>
      <c r="BK311" s="545"/>
      <c r="BL311" s="545"/>
      <c r="BM311" s="545"/>
      <c r="BN311" s="545"/>
      <c r="BO311" s="545"/>
      <c r="BP311" s="545"/>
      <c r="BQ311" s="545"/>
      <c r="BR311" s="545"/>
      <c r="BS311" s="545"/>
      <c r="BT311" s="546"/>
      <c r="BU311" s="639">
        <f t="shared" si="2"/>
        <v>1500</v>
      </c>
      <c r="BV311" s="640"/>
      <c r="BW311" s="640"/>
      <c r="BX311" s="640"/>
      <c r="BY311" s="640"/>
      <c r="BZ311" s="640"/>
      <c r="CA311" s="640"/>
      <c r="CB311" s="640"/>
      <c r="CC311" s="640"/>
      <c r="CD311" s="640"/>
      <c r="CE311" s="640"/>
      <c r="CF311" s="640"/>
      <c r="CG311" s="640"/>
      <c r="CH311" s="640"/>
      <c r="CI311" s="640"/>
      <c r="CJ311" s="641"/>
      <c r="CK311" s="627">
        <v>3000</v>
      </c>
      <c r="CL311" s="628"/>
      <c r="CM311" s="628"/>
      <c r="CN311" s="628"/>
      <c r="CO311" s="628"/>
      <c r="CP311" s="628"/>
      <c r="CQ311" s="628"/>
      <c r="CR311" s="628"/>
      <c r="CS311" s="628"/>
      <c r="CT311" s="628"/>
      <c r="CU311" s="628"/>
      <c r="CV311" s="628"/>
      <c r="CW311" s="628"/>
      <c r="CX311" s="628"/>
      <c r="CY311" s="628"/>
      <c r="CZ311" s="629"/>
      <c r="DA311" s="214"/>
    </row>
    <row r="312" spans="1:105" s="16" customFormat="1" ht="31.2" customHeight="1" x14ac:dyDescent="0.3">
      <c r="A312" s="630" t="s">
        <v>599</v>
      </c>
      <c r="B312" s="631"/>
      <c r="C312" s="631"/>
      <c r="D312" s="631"/>
      <c r="E312" s="631"/>
      <c r="F312" s="631"/>
      <c r="G312" s="632"/>
      <c r="H312" s="584" t="s">
        <v>953</v>
      </c>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5"/>
      <c r="AL312" s="585"/>
      <c r="AM312" s="585"/>
      <c r="AN312" s="586"/>
      <c r="AO312" s="544">
        <v>1</v>
      </c>
      <c r="AP312" s="545"/>
      <c r="AQ312" s="545"/>
      <c r="AR312" s="545"/>
      <c r="AS312" s="545"/>
      <c r="AT312" s="545"/>
      <c r="AU312" s="545"/>
      <c r="AV312" s="545"/>
      <c r="AW312" s="545"/>
      <c r="AX312" s="545"/>
      <c r="AY312" s="545"/>
      <c r="AZ312" s="545"/>
      <c r="BA312" s="545"/>
      <c r="BB312" s="545"/>
      <c r="BC312" s="545"/>
      <c r="BD312" s="546"/>
      <c r="BE312" s="544">
        <v>12</v>
      </c>
      <c r="BF312" s="545"/>
      <c r="BG312" s="545"/>
      <c r="BH312" s="545"/>
      <c r="BI312" s="545"/>
      <c r="BJ312" s="545"/>
      <c r="BK312" s="545"/>
      <c r="BL312" s="545"/>
      <c r="BM312" s="545"/>
      <c r="BN312" s="545"/>
      <c r="BO312" s="545"/>
      <c r="BP312" s="545"/>
      <c r="BQ312" s="545"/>
      <c r="BR312" s="545"/>
      <c r="BS312" s="545"/>
      <c r="BT312" s="546"/>
      <c r="BU312" s="639">
        <f t="shared" si="2"/>
        <v>183.33333333333334</v>
      </c>
      <c r="BV312" s="640"/>
      <c r="BW312" s="640"/>
      <c r="BX312" s="640"/>
      <c r="BY312" s="640"/>
      <c r="BZ312" s="640"/>
      <c r="CA312" s="640"/>
      <c r="CB312" s="640"/>
      <c r="CC312" s="640"/>
      <c r="CD312" s="640"/>
      <c r="CE312" s="640"/>
      <c r="CF312" s="640"/>
      <c r="CG312" s="640"/>
      <c r="CH312" s="640"/>
      <c r="CI312" s="640"/>
      <c r="CJ312" s="641"/>
      <c r="CK312" s="627">
        <v>2200</v>
      </c>
      <c r="CL312" s="628"/>
      <c r="CM312" s="628"/>
      <c r="CN312" s="628"/>
      <c r="CO312" s="628"/>
      <c r="CP312" s="628"/>
      <c r="CQ312" s="628"/>
      <c r="CR312" s="628"/>
      <c r="CS312" s="628"/>
      <c r="CT312" s="628"/>
      <c r="CU312" s="628"/>
      <c r="CV312" s="628"/>
      <c r="CW312" s="628"/>
      <c r="CX312" s="628"/>
      <c r="CY312" s="628"/>
      <c r="CZ312" s="629"/>
      <c r="DA312" s="214"/>
    </row>
    <row r="313" spans="1:105" s="16" customFormat="1" ht="15" customHeight="1" x14ac:dyDescent="0.3">
      <c r="A313" s="553" t="s">
        <v>292</v>
      </c>
      <c r="B313" s="554"/>
      <c r="C313" s="554"/>
      <c r="D313" s="554"/>
      <c r="E313" s="554"/>
      <c r="F313" s="554"/>
      <c r="G313" s="554"/>
      <c r="H313" s="554"/>
      <c r="I313" s="554"/>
      <c r="J313" s="554"/>
      <c r="K313" s="554"/>
      <c r="L313" s="554"/>
      <c r="M313" s="554"/>
      <c r="N313" s="554"/>
      <c r="O313" s="554"/>
      <c r="P313" s="554"/>
      <c r="Q313" s="554"/>
      <c r="R313" s="554"/>
      <c r="S313" s="554"/>
      <c r="T313" s="554"/>
      <c r="U313" s="554"/>
      <c r="V313" s="554"/>
      <c r="W313" s="554"/>
      <c r="X313" s="554"/>
      <c r="Y313" s="554"/>
      <c r="Z313" s="554"/>
      <c r="AA313" s="554"/>
      <c r="AB313" s="554"/>
      <c r="AC313" s="554"/>
      <c r="AD313" s="554"/>
      <c r="AE313" s="554"/>
      <c r="AF313" s="554"/>
      <c r="AG313" s="554"/>
      <c r="AH313" s="554"/>
      <c r="AI313" s="554"/>
      <c r="AJ313" s="554"/>
      <c r="AK313" s="554"/>
      <c r="AL313" s="554"/>
      <c r="AM313" s="554"/>
      <c r="AN313" s="555"/>
      <c r="AO313" s="544" t="s">
        <v>4</v>
      </c>
      <c r="AP313" s="545"/>
      <c r="AQ313" s="545"/>
      <c r="AR313" s="545"/>
      <c r="AS313" s="545"/>
      <c r="AT313" s="545"/>
      <c r="AU313" s="545"/>
      <c r="AV313" s="545"/>
      <c r="AW313" s="545"/>
      <c r="AX313" s="545"/>
      <c r="AY313" s="545"/>
      <c r="AZ313" s="545"/>
      <c r="BA313" s="545"/>
      <c r="BB313" s="545"/>
      <c r="BC313" s="545"/>
      <c r="BD313" s="546"/>
      <c r="BE313" s="544" t="s">
        <v>4</v>
      </c>
      <c r="BF313" s="545"/>
      <c r="BG313" s="545"/>
      <c r="BH313" s="545"/>
      <c r="BI313" s="545"/>
      <c r="BJ313" s="545"/>
      <c r="BK313" s="545"/>
      <c r="BL313" s="545"/>
      <c r="BM313" s="545"/>
      <c r="BN313" s="545"/>
      <c r="BO313" s="545"/>
      <c r="BP313" s="545"/>
      <c r="BQ313" s="545"/>
      <c r="BR313" s="545"/>
      <c r="BS313" s="545"/>
      <c r="BT313" s="546"/>
      <c r="BU313" s="544" t="s">
        <v>4</v>
      </c>
      <c r="BV313" s="545"/>
      <c r="BW313" s="545"/>
      <c r="BX313" s="545"/>
      <c r="BY313" s="545"/>
      <c r="BZ313" s="545"/>
      <c r="CA313" s="545"/>
      <c r="CB313" s="545"/>
      <c r="CC313" s="545"/>
      <c r="CD313" s="545"/>
      <c r="CE313" s="545"/>
      <c r="CF313" s="545"/>
      <c r="CG313" s="545"/>
      <c r="CH313" s="545"/>
      <c r="CI313" s="545"/>
      <c r="CJ313" s="546"/>
      <c r="CK313" s="636">
        <f>SUM(CK308:CZ312)</f>
        <v>28200</v>
      </c>
      <c r="CL313" s="637"/>
      <c r="CM313" s="637"/>
      <c r="CN313" s="637"/>
      <c r="CO313" s="637"/>
      <c r="CP313" s="637"/>
      <c r="CQ313" s="637"/>
      <c r="CR313" s="637"/>
      <c r="CS313" s="637"/>
      <c r="CT313" s="637"/>
      <c r="CU313" s="637"/>
      <c r="CV313" s="637"/>
      <c r="CW313" s="637"/>
      <c r="CX313" s="637"/>
      <c r="CY313" s="637"/>
      <c r="CZ313" s="638"/>
      <c r="DA313" s="214"/>
    </row>
    <row r="314" spans="1:105" s="16" customFormat="1" ht="15" customHeight="1" x14ac:dyDescent="0.3">
      <c r="A314" s="656" t="s">
        <v>591</v>
      </c>
      <c r="B314" s="657"/>
      <c r="C314" s="657"/>
      <c r="D314" s="657"/>
      <c r="E314" s="657"/>
      <c r="F314" s="657"/>
      <c r="G314" s="657"/>
      <c r="H314" s="657"/>
      <c r="I314" s="657"/>
      <c r="J314" s="657"/>
      <c r="K314" s="657"/>
      <c r="L314" s="657"/>
      <c r="M314" s="657"/>
      <c r="N314" s="657"/>
      <c r="O314" s="657"/>
      <c r="P314" s="657"/>
      <c r="Q314" s="657"/>
      <c r="R314" s="657"/>
      <c r="S314" s="657"/>
      <c r="T314" s="657"/>
      <c r="U314" s="657"/>
      <c r="V314" s="657"/>
      <c r="W314" s="657"/>
      <c r="X314" s="657"/>
      <c r="Y314" s="657"/>
      <c r="Z314" s="657"/>
      <c r="AA314" s="657"/>
      <c r="AB314" s="657"/>
      <c r="AC314" s="657"/>
      <c r="AD314" s="657"/>
      <c r="AE314" s="657"/>
      <c r="AF314" s="657"/>
      <c r="AG314" s="657"/>
      <c r="AH314" s="657"/>
      <c r="AI314" s="657"/>
      <c r="AJ314" s="657"/>
      <c r="AK314" s="657"/>
      <c r="AL314" s="657"/>
      <c r="AM314" s="657"/>
      <c r="AN314" s="657"/>
      <c r="AO314" s="65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57"/>
      <c r="BQ314" s="657"/>
      <c r="BR314" s="657"/>
      <c r="BS314" s="657"/>
      <c r="BT314" s="657"/>
      <c r="BU314" s="657"/>
      <c r="BV314" s="657"/>
      <c r="BW314" s="657"/>
      <c r="BX314" s="657"/>
      <c r="BY314" s="657"/>
      <c r="BZ314" s="657"/>
      <c r="CA314" s="657"/>
      <c r="CB314" s="657"/>
      <c r="CC314" s="657"/>
      <c r="CD314" s="657"/>
      <c r="CE314" s="657"/>
      <c r="CF314" s="657"/>
      <c r="CG314" s="657"/>
      <c r="CH314" s="657"/>
      <c r="CI314" s="657"/>
      <c r="CJ314" s="657"/>
      <c r="CK314" s="657"/>
      <c r="CL314" s="657"/>
      <c r="CM314" s="657"/>
      <c r="CN314" s="657"/>
      <c r="CO314" s="657"/>
      <c r="CP314" s="657"/>
      <c r="CQ314" s="657"/>
      <c r="CR314" s="657"/>
      <c r="CS314" s="657"/>
      <c r="CT314" s="657"/>
      <c r="CU314" s="657"/>
      <c r="CV314" s="657"/>
      <c r="CW314" s="657"/>
      <c r="CX314" s="657"/>
      <c r="CY314" s="657"/>
      <c r="CZ314" s="658"/>
      <c r="DA314" s="214"/>
    </row>
    <row r="315" spans="1:105" s="16" customFormat="1" ht="51" customHeight="1" x14ac:dyDescent="0.3">
      <c r="A315" s="630" t="s">
        <v>441</v>
      </c>
      <c r="B315" s="631"/>
      <c r="C315" s="631"/>
      <c r="D315" s="631"/>
      <c r="E315" s="631"/>
      <c r="F315" s="631"/>
      <c r="G315" s="632"/>
      <c r="H315" s="584" t="s">
        <v>588</v>
      </c>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5"/>
      <c r="AL315" s="585"/>
      <c r="AM315" s="585"/>
      <c r="AN315" s="586"/>
      <c r="AO315" s="544">
        <v>22</v>
      </c>
      <c r="AP315" s="545"/>
      <c r="AQ315" s="545"/>
      <c r="AR315" s="545"/>
      <c r="AS315" s="545"/>
      <c r="AT315" s="545"/>
      <c r="AU315" s="545"/>
      <c r="AV315" s="545"/>
      <c r="AW315" s="545"/>
      <c r="AX315" s="545"/>
      <c r="AY315" s="545"/>
      <c r="AZ315" s="545"/>
      <c r="BA315" s="545"/>
      <c r="BB315" s="545"/>
      <c r="BC315" s="545"/>
      <c r="BD315" s="546"/>
      <c r="BE315" s="544">
        <v>12</v>
      </c>
      <c r="BF315" s="545"/>
      <c r="BG315" s="545"/>
      <c r="BH315" s="545"/>
      <c r="BI315" s="545"/>
      <c r="BJ315" s="545"/>
      <c r="BK315" s="545"/>
      <c r="BL315" s="545"/>
      <c r="BM315" s="545"/>
      <c r="BN315" s="545"/>
      <c r="BO315" s="545"/>
      <c r="BP315" s="545"/>
      <c r="BQ315" s="545"/>
      <c r="BR315" s="545"/>
      <c r="BS315" s="545"/>
      <c r="BT315" s="546"/>
      <c r="BU315" s="639">
        <f>CK315/BE315/AO315</f>
        <v>26.515151515151516</v>
      </c>
      <c r="BV315" s="640"/>
      <c r="BW315" s="640"/>
      <c r="BX315" s="640"/>
      <c r="BY315" s="640"/>
      <c r="BZ315" s="640"/>
      <c r="CA315" s="640"/>
      <c r="CB315" s="640"/>
      <c r="CC315" s="640"/>
      <c r="CD315" s="640"/>
      <c r="CE315" s="640"/>
      <c r="CF315" s="640"/>
      <c r="CG315" s="640"/>
      <c r="CH315" s="640"/>
      <c r="CI315" s="640"/>
      <c r="CJ315" s="641"/>
      <c r="CK315" s="627">
        <v>7000</v>
      </c>
      <c r="CL315" s="628"/>
      <c r="CM315" s="628"/>
      <c r="CN315" s="628"/>
      <c r="CO315" s="628"/>
      <c r="CP315" s="628"/>
      <c r="CQ315" s="628"/>
      <c r="CR315" s="628"/>
      <c r="CS315" s="628"/>
      <c r="CT315" s="628"/>
      <c r="CU315" s="628"/>
      <c r="CV315" s="628"/>
      <c r="CW315" s="628"/>
      <c r="CX315" s="628"/>
      <c r="CY315" s="628"/>
      <c r="CZ315" s="629"/>
      <c r="DA315" s="214"/>
    </row>
    <row r="316" spans="1:105" s="16" customFormat="1" ht="56.25" customHeight="1" x14ac:dyDescent="0.3">
      <c r="A316" s="630" t="s">
        <v>444</v>
      </c>
      <c r="B316" s="631"/>
      <c r="C316" s="631"/>
      <c r="D316" s="631"/>
      <c r="E316" s="631"/>
      <c r="F316" s="631"/>
      <c r="G316" s="632"/>
      <c r="H316" s="584" t="s">
        <v>589</v>
      </c>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5"/>
      <c r="AL316" s="585"/>
      <c r="AM316" s="585"/>
      <c r="AN316" s="586"/>
      <c r="AO316" s="544">
        <v>4</v>
      </c>
      <c r="AP316" s="545"/>
      <c r="AQ316" s="545"/>
      <c r="AR316" s="545"/>
      <c r="AS316" s="545"/>
      <c r="AT316" s="545"/>
      <c r="AU316" s="545"/>
      <c r="AV316" s="545"/>
      <c r="AW316" s="545"/>
      <c r="AX316" s="545"/>
      <c r="AY316" s="545"/>
      <c r="AZ316" s="545"/>
      <c r="BA316" s="545"/>
      <c r="BB316" s="545"/>
      <c r="BC316" s="545"/>
      <c r="BD316" s="546"/>
      <c r="BE316" s="544">
        <v>12</v>
      </c>
      <c r="BF316" s="545"/>
      <c r="BG316" s="545"/>
      <c r="BH316" s="545"/>
      <c r="BI316" s="545"/>
      <c r="BJ316" s="545"/>
      <c r="BK316" s="545"/>
      <c r="BL316" s="545"/>
      <c r="BM316" s="545"/>
      <c r="BN316" s="545"/>
      <c r="BO316" s="545"/>
      <c r="BP316" s="545"/>
      <c r="BQ316" s="545"/>
      <c r="BR316" s="545"/>
      <c r="BS316" s="545"/>
      <c r="BT316" s="546"/>
      <c r="BU316" s="639">
        <f>CK316/BE316/AO316</f>
        <v>187.5</v>
      </c>
      <c r="BV316" s="640"/>
      <c r="BW316" s="640"/>
      <c r="BX316" s="640"/>
      <c r="BY316" s="640"/>
      <c r="BZ316" s="640"/>
      <c r="CA316" s="640"/>
      <c r="CB316" s="640"/>
      <c r="CC316" s="640"/>
      <c r="CD316" s="640"/>
      <c r="CE316" s="640"/>
      <c r="CF316" s="640"/>
      <c r="CG316" s="640"/>
      <c r="CH316" s="640"/>
      <c r="CI316" s="640"/>
      <c r="CJ316" s="641"/>
      <c r="CK316" s="627">
        <v>9000</v>
      </c>
      <c r="CL316" s="628"/>
      <c r="CM316" s="628"/>
      <c r="CN316" s="628"/>
      <c r="CO316" s="628"/>
      <c r="CP316" s="628"/>
      <c r="CQ316" s="628"/>
      <c r="CR316" s="628"/>
      <c r="CS316" s="628"/>
      <c r="CT316" s="628"/>
      <c r="CU316" s="628"/>
      <c r="CV316" s="628"/>
      <c r="CW316" s="628"/>
      <c r="CX316" s="628"/>
      <c r="CY316" s="628"/>
      <c r="CZ316" s="629"/>
      <c r="DA316" s="214"/>
    </row>
    <row r="317" spans="1:105" s="16" customFormat="1" ht="56.25" customHeight="1" x14ac:dyDescent="0.3">
      <c r="A317" s="630" t="s">
        <v>446</v>
      </c>
      <c r="B317" s="631"/>
      <c r="C317" s="631"/>
      <c r="D317" s="631"/>
      <c r="E317" s="631"/>
      <c r="F317" s="631"/>
      <c r="G317" s="632"/>
      <c r="H317" s="584" t="s">
        <v>953</v>
      </c>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5"/>
      <c r="AL317" s="585"/>
      <c r="AM317" s="585"/>
      <c r="AN317" s="586"/>
      <c r="AO317" s="544">
        <v>1</v>
      </c>
      <c r="AP317" s="545"/>
      <c r="AQ317" s="545"/>
      <c r="AR317" s="545"/>
      <c r="AS317" s="545"/>
      <c r="AT317" s="545"/>
      <c r="AU317" s="545"/>
      <c r="AV317" s="545"/>
      <c r="AW317" s="545"/>
      <c r="AX317" s="545"/>
      <c r="AY317" s="545"/>
      <c r="AZ317" s="545"/>
      <c r="BA317" s="545"/>
      <c r="BB317" s="545"/>
      <c r="BC317" s="545"/>
      <c r="BD317" s="546"/>
      <c r="BE317" s="544">
        <v>1</v>
      </c>
      <c r="BF317" s="545"/>
      <c r="BG317" s="545"/>
      <c r="BH317" s="545"/>
      <c r="BI317" s="545"/>
      <c r="BJ317" s="545"/>
      <c r="BK317" s="545"/>
      <c r="BL317" s="545"/>
      <c r="BM317" s="545"/>
      <c r="BN317" s="545"/>
      <c r="BO317" s="545"/>
      <c r="BP317" s="545"/>
      <c r="BQ317" s="545"/>
      <c r="BR317" s="545"/>
      <c r="BS317" s="545"/>
      <c r="BT317" s="546"/>
      <c r="BU317" s="639">
        <f>CK317/BE317/AO317</f>
        <v>2200</v>
      </c>
      <c r="BV317" s="640"/>
      <c r="BW317" s="640"/>
      <c r="BX317" s="640"/>
      <c r="BY317" s="640"/>
      <c r="BZ317" s="640"/>
      <c r="CA317" s="640"/>
      <c r="CB317" s="640"/>
      <c r="CC317" s="640"/>
      <c r="CD317" s="640"/>
      <c r="CE317" s="640"/>
      <c r="CF317" s="640"/>
      <c r="CG317" s="640"/>
      <c r="CH317" s="640"/>
      <c r="CI317" s="640"/>
      <c r="CJ317" s="641"/>
      <c r="CK317" s="627">
        <v>2200</v>
      </c>
      <c r="CL317" s="628"/>
      <c r="CM317" s="628"/>
      <c r="CN317" s="628"/>
      <c r="CO317" s="628"/>
      <c r="CP317" s="628"/>
      <c r="CQ317" s="628"/>
      <c r="CR317" s="628"/>
      <c r="CS317" s="628"/>
      <c r="CT317" s="628"/>
      <c r="CU317" s="628"/>
      <c r="CV317" s="628"/>
      <c r="CW317" s="628"/>
      <c r="CX317" s="628"/>
      <c r="CY317" s="628"/>
      <c r="CZ317" s="629"/>
      <c r="DA317" s="214"/>
    </row>
    <row r="318" spans="1:105" s="16" customFormat="1" ht="15" customHeight="1" x14ac:dyDescent="0.3">
      <c r="A318" s="553" t="s">
        <v>292</v>
      </c>
      <c r="B318" s="554"/>
      <c r="C318" s="554"/>
      <c r="D318" s="554"/>
      <c r="E318" s="554"/>
      <c r="F318" s="554"/>
      <c r="G318" s="554"/>
      <c r="H318" s="554"/>
      <c r="I318" s="554"/>
      <c r="J318" s="554"/>
      <c r="K318" s="554"/>
      <c r="L318" s="554"/>
      <c r="M318" s="554"/>
      <c r="N318" s="554"/>
      <c r="O318" s="554"/>
      <c r="P318" s="554"/>
      <c r="Q318" s="554"/>
      <c r="R318" s="554"/>
      <c r="S318" s="554"/>
      <c r="T318" s="554"/>
      <c r="U318" s="554"/>
      <c r="V318" s="554"/>
      <c r="W318" s="554"/>
      <c r="X318" s="554"/>
      <c r="Y318" s="554"/>
      <c r="Z318" s="554"/>
      <c r="AA318" s="554"/>
      <c r="AB318" s="554"/>
      <c r="AC318" s="554"/>
      <c r="AD318" s="554"/>
      <c r="AE318" s="554"/>
      <c r="AF318" s="554"/>
      <c r="AG318" s="554"/>
      <c r="AH318" s="554"/>
      <c r="AI318" s="554"/>
      <c r="AJ318" s="554"/>
      <c r="AK318" s="554"/>
      <c r="AL318" s="554"/>
      <c r="AM318" s="554"/>
      <c r="AN318" s="555"/>
      <c r="AO318" s="544" t="s">
        <v>4</v>
      </c>
      <c r="AP318" s="545"/>
      <c r="AQ318" s="545"/>
      <c r="AR318" s="545"/>
      <c r="AS318" s="545"/>
      <c r="AT318" s="545"/>
      <c r="AU318" s="545"/>
      <c r="AV318" s="545"/>
      <c r="AW318" s="545"/>
      <c r="AX318" s="545"/>
      <c r="AY318" s="545"/>
      <c r="AZ318" s="545"/>
      <c r="BA318" s="545"/>
      <c r="BB318" s="545"/>
      <c r="BC318" s="545"/>
      <c r="BD318" s="546"/>
      <c r="BE318" s="544" t="s">
        <v>4</v>
      </c>
      <c r="BF318" s="545"/>
      <c r="BG318" s="545"/>
      <c r="BH318" s="545"/>
      <c r="BI318" s="545"/>
      <c r="BJ318" s="545"/>
      <c r="BK318" s="545"/>
      <c r="BL318" s="545"/>
      <c r="BM318" s="545"/>
      <c r="BN318" s="545"/>
      <c r="BO318" s="545"/>
      <c r="BP318" s="545"/>
      <c r="BQ318" s="545"/>
      <c r="BR318" s="545"/>
      <c r="BS318" s="545"/>
      <c r="BT318" s="546"/>
      <c r="BU318" s="544" t="s">
        <v>4</v>
      </c>
      <c r="BV318" s="545"/>
      <c r="BW318" s="545"/>
      <c r="BX318" s="545"/>
      <c r="BY318" s="545"/>
      <c r="BZ318" s="545"/>
      <c r="CA318" s="545"/>
      <c r="CB318" s="545"/>
      <c r="CC318" s="545"/>
      <c r="CD318" s="545"/>
      <c r="CE318" s="545"/>
      <c r="CF318" s="545"/>
      <c r="CG318" s="545"/>
      <c r="CH318" s="545"/>
      <c r="CI318" s="545"/>
      <c r="CJ318" s="546"/>
      <c r="CK318" s="636">
        <f>SUM(CK315:CZ317)</f>
        <v>18200</v>
      </c>
      <c r="CL318" s="654"/>
      <c r="CM318" s="654"/>
      <c r="CN318" s="654"/>
      <c r="CO318" s="654"/>
      <c r="CP318" s="654"/>
      <c r="CQ318" s="654"/>
      <c r="CR318" s="654"/>
      <c r="CS318" s="654"/>
      <c r="CT318" s="654"/>
      <c r="CU318" s="654"/>
      <c r="CV318" s="654"/>
      <c r="CW318" s="654"/>
      <c r="CX318" s="654"/>
      <c r="CY318" s="654"/>
      <c r="CZ318" s="655"/>
      <c r="DA318" s="214"/>
    </row>
    <row r="319" spans="1:105" s="16" customFormat="1" ht="27" customHeight="1" x14ac:dyDescent="0.3">
      <c r="A319" s="553" t="s">
        <v>56</v>
      </c>
      <c r="B319" s="554"/>
      <c r="C319" s="554"/>
      <c r="D319" s="554"/>
      <c r="E319" s="554"/>
      <c r="F319" s="554"/>
      <c r="G319" s="554"/>
      <c r="H319" s="554"/>
      <c r="I319" s="554"/>
      <c r="J319" s="554"/>
      <c r="K319" s="554"/>
      <c r="L319" s="554"/>
      <c r="M319" s="554"/>
      <c r="N319" s="554"/>
      <c r="O319" s="554"/>
      <c r="P319" s="554"/>
      <c r="Q319" s="554"/>
      <c r="R319" s="554"/>
      <c r="S319" s="554"/>
      <c r="T319" s="554"/>
      <c r="U319" s="554"/>
      <c r="V319" s="554"/>
      <c r="W319" s="554"/>
      <c r="X319" s="554"/>
      <c r="Y319" s="554"/>
      <c r="Z319" s="554"/>
      <c r="AA319" s="554"/>
      <c r="AB319" s="554"/>
      <c r="AC319" s="554"/>
      <c r="AD319" s="554"/>
      <c r="AE319" s="554"/>
      <c r="AF319" s="554"/>
      <c r="AG319" s="554"/>
      <c r="AH319" s="554"/>
      <c r="AI319" s="554"/>
      <c r="AJ319" s="554"/>
      <c r="AK319" s="554"/>
      <c r="AL319" s="554"/>
      <c r="AM319" s="554"/>
      <c r="AN319" s="555"/>
      <c r="AO319" s="544" t="s">
        <v>4</v>
      </c>
      <c r="AP319" s="545"/>
      <c r="AQ319" s="545"/>
      <c r="AR319" s="545"/>
      <c r="AS319" s="545"/>
      <c r="AT319" s="545"/>
      <c r="AU319" s="545"/>
      <c r="AV319" s="545"/>
      <c r="AW319" s="545"/>
      <c r="AX319" s="545"/>
      <c r="AY319" s="545"/>
      <c r="AZ319" s="545"/>
      <c r="BA319" s="545"/>
      <c r="BB319" s="545"/>
      <c r="BC319" s="545"/>
      <c r="BD319" s="546"/>
      <c r="BE319" s="544" t="s">
        <v>4</v>
      </c>
      <c r="BF319" s="545"/>
      <c r="BG319" s="545"/>
      <c r="BH319" s="545"/>
      <c r="BI319" s="545"/>
      <c r="BJ319" s="545"/>
      <c r="BK319" s="545"/>
      <c r="BL319" s="545"/>
      <c r="BM319" s="545"/>
      <c r="BN319" s="545"/>
      <c r="BO319" s="545"/>
      <c r="BP319" s="545"/>
      <c r="BQ319" s="545"/>
      <c r="BR319" s="545"/>
      <c r="BS319" s="545"/>
      <c r="BT319" s="546"/>
      <c r="BU319" s="544" t="s">
        <v>4</v>
      </c>
      <c r="BV319" s="545"/>
      <c r="BW319" s="545"/>
      <c r="BX319" s="545"/>
      <c r="BY319" s="545"/>
      <c r="BZ319" s="545"/>
      <c r="CA319" s="545"/>
      <c r="CB319" s="545"/>
      <c r="CC319" s="545"/>
      <c r="CD319" s="545"/>
      <c r="CE319" s="545"/>
      <c r="CF319" s="545"/>
      <c r="CG319" s="545"/>
      <c r="CH319" s="545"/>
      <c r="CI319" s="545"/>
      <c r="CJ319" s="546"/>
      <c r="CK319" s="636">
        <f>CK313+CK318</f>
        <v>46400</v>
      </c>
      <c r="CL319" s="654"/>
      <c r="CM319" s="654"/>
      <c r="CN319" s="654"/>
      <c r="CO319" s="654"/>
      <c r="CP319" s="654"/>
      <c r="CQ319" s="654"/>
      <c r="CR319" s="654"/>
      <c r="CS319" s="654"/>
      <c r="CT319" s="654"/>
      <c r="CU319" s="654"/>
      <c r="CV319" s="654"/>
      <c r="CW319" s="654"/>
      <c r="CX319" s="654"/>
      <c r="CY319" s="654"/>
      <c r="CZ319" s="655"/>
      <c r="DA319" s="220"/>
    </row>
    <row r="320" spans="1:105" ht="10.5" hidden="1" customHeight="1" x14ac:dyDescent="0.25"/>
    <row r="321" spans="1:105" s="20" customFormat="1" hidden="1" x14ac:dyDescent="0.25">
      <c r="A321" s="594" t="s">
        <v>286</v>
      </c>
      <c r="B321" s="594"/>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4"/>
      <c r="AL321" s="594"/>
      <c r="AM321" s="594"/>
      <c r="AN321" s="594"/>
      <c r="AO321" s="594"/>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4"/>
      <c r="BM321" s="594"/>
      <c r="BN321" s="594"/>
      <c r="BO321" s="594"/>
      <c r="BP321" s="594"/>
      <c r="BQ321" s="594"/>
      <c r="BR321" s="594"/>
      <c r="BS321" s="594"/>
      <c r="BT321" s="594"/>
      <c r="BU321" s="594"/>
      <c r="BV321" s="594"/>
      <c r="BW321" s="594"/>
      <c r="BX321" s="594"/>
      <c r="BY321" s="594"/>
      <c r="BZ321" s="594"/>
      <c r="CA321" s="594"/>
      <c r="CB321" s="594"/>
      <c r="CC321" s="594"/>
      <c r="CD321" s="594"/>
      <c r="CE321" s="594"/>
      <c r="CF321" s="594"/>
      <c r="CG321" s="594"/>
      <c r="CH321" s="594"/>
      <c r="CI321" s="594"/>
      <c r="CJ321" s="594"/>
      <c r="CK321" s="594"/>
      <c r="CL321" s="594"/>
      <c r="CM321" s="594"/>
      <c r="CN321" s="594"/>
      <c r="CO321" s="594"/>
      <c r="CP321" s="594"/>
      <c r="CQ321" s="594"/>
      <c r="CR321" s="594"/>
      <c r="CS321" s="594"/>
      <c r="CT321" s="594"/>
      <c r="CU321" s="594"/>
      <c r="CV321" s="594"/>
      <c r="CW321" s="594"/>
      <c r="CX321" s="594"/>
      <c r="CY321" s="594"/>
      <c r="CZ321" s="594"/>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95"/>
      <c r="X323" s="595"/>
      <c r="Y323" s="595"/>
      <c r="Z323" s="595"/>
      <c r="AA323" s="595"/>
      <c r="AB323" s="595"/>
      <c r="AC323" s="595"/>
      <c r="AD323" s="595"/>
      <c r="AE323" s="595"/>
      <c r="AF323" s="595"/>
      <c r="AG323" s="595"/>
      <c r="AH323" s="595"/>
      <c r="AI323" s="595"/>
      <c r="AJ323" s="595"/>
      <c r="AK323" s="595"/>
      <c r="AL323" s="595"/>
      <c r="AM323" s="595"/>
      <c r="AN323" s="595"/>
      <c r="AO323" s="595"/>
      <c r="AP323" s="595"/>
      <c r="AQ323" s="595"/>
      <c r="AR323" s="595"/>
      <c r="AS323" s="595"/>
      <c r="AT323" s="595"/>
      <c r="AU323" s="595"/>
      <c r="AV323" s="595"/>
      <c r="AW323" s="595"/>
      <c r="AX323" s="595"/>
      <c r="AY323" s="595"/>
      <c r="AZ323" s="595"/>
      <c r="BA323" s="595"/>
      <c r="BB323" s="595"/>
      <c r="BC323" s="595"/>
      <c r="BD323" s="595"/>
      <c r="BE323" s="595"/>
      <c r="BF323" s="595"/>
      <c r="BG323" s="595"/>
      <c r="BH323" s="595"/>
      <c r="BI323" s="595"/>
      <c r="BJ323" s="595"/>
      <c r="BK323" s="595"/>
      <c r="BL323" s="595"/>
      <c r="BM323" s="595"/>
      <c r="BN323" s="595"/>
      <c r="BO323" s="595"/>
      <c r="BP323" s="595"/>
      <c r="BQ323" s="595"/>
      <c r="BR323" s="595"/>
      <c r="BS323" s="595"/>
      <c r="BT323" s="595"/>
      <c r="BU323" s="595"/>
      <c r="BV323" s="595"/>
      <c r="BW323" s="595"/>
      <c r="BX323" s="595"/>
      <c r="BY323" s="595"/>
      <c r="BZ323" s="595"/>
      <c r="CA323" s="595"/>
      <c r="CB323" s="595"/>
      <c r="CC323" s="595"/>
      <c r="CD323" s="595"/>
      <c r="CE323" s="595"/>
      <c r="CF323" s="595"/>
      <c r="CG323" s="595"/>
      <c r="CH323" s="595"/>
      <c r="CI323" s="595"/>
      <c r="CJ323" s="595"/>
      <c r="CK323" s="595"/>
      <c r="CL323" s="595"/>
      <c r="CM323" s="595"/>
      <c r="CN323" s="595"/>
      <c r="CO323" s="595"/>
      <c r="CP323" s="595"/>
      <c r="CQ323" s="595"/>
      <c r="CR323" s="595"/>
      <c r="CS323" s="595"/>
      <c r="CT323" s="595"/>
      <c r="CU323" s="595"/>
      <c r="CV323" s="595"/>
      <c r="CW323" s="595"/>
      <c r="CX323" s="595"/>
      <c r="CY323" s="595"/>
      <c r="CZ323" s="595"/>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6" t="s">
        <v>49</v>
      </c>
      <c r="B325" s="606"/>
      <c r="C325" s="606"/>
      <c r="D325" s="606"/>
      <c r="E325" s="606"/>
      <c r="F325" s="606"/>
      <c r="G325" s="606"/>
      <c r="H325" s="606" t="s">
        <v>78</v>
      </c>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6"/>
      <c r="AL325" s="606"/>
      <c r="AM325" s="606"/>
      <c r="AN325" s="606"/>
      <c r="AO325" s="606"/>
      <c r="AP325" s="606"/>
      <c r="AQ325" s="606"/>
      <c r="AR325" s="606"/>
      <c r="AS325" s="606"/>
      <c r="AT325" s="606"/>
      <c r="AU325" s="606"/>
      <c r="AV325" s="606"/>
      <c r="AW325" s="606"/>
      <c r="AX325" s="606"/>
      <c r="AY325" s="606"/>
      <c r="AZ325" s="606"/>
      <c r="BA325" s="606"/>
      <c r="BB325" s="606"/>
      <c r="BC325" s="597" t="s">
        <v>85</v>
      </c>
      <c r="BD325" s="598"/>
      <c r="BE325" s="598"/>
      <c r="BF325" s="598"/>
      <c r="BG325" s="598"/>
      <c r="BH325" s="598"/>
      <c r="BI325" s="598"/>
      <c r="BJ325" s="598"/>
      <c r="BK325" s="598"/>
      <c r="BL325" s="598"/>
      <c r="BM325" s="598"/>
      <c r="BN325" s="598"/>
      <c r="BO325" s="598"/>
      <c r="BP325" s="598"/>
      <c r="BQ325" s="598"/>
      <c r="BR325" s="599"/>
      <c r="BS325" s="597" t="s">
        <v>86</v>
      </c>
      <c r="BT325" s="598"/>
      <c r="BU325" s="598"/>
      <c r="BV325" s="598"/>
      <c r="BW325" s="598"/>
      <c r="BX325" s="598"/>
      <c r="BY325" s="598"/>
      <c r="BZ325" s="598"/>
      <c r="CA325" s="598"/>
      <c r="CB325" s="598"/>
      <c r="CC325" s="598"/>
      <c r="CD325" s="598"/>
      <c r="CE325" s="598"/>
      <c r="CF325" s="598"/>
      <c r="CG325" s="598"/>
      <c r="CH325" s="599"/>
      <c r="CI325" s="597" t="s">
        <v>87</v>
      </c>
      <c r="CJ325" s="598"/>
      <c r="CK325" s="598"/>
      <c r="CL325" s="598"/>
      <c r="CM325" s="598"/>
      <c r="CN325" s="598"/>
      <c r="CO325" s="598"/>
      <c r="CP325" s="598"/>
      <c r="CQ325" s="598"/>
      <c r="CR325" s="598"/>
      <c r="CS325" s="598"/>
      <c r="CT325" s="598"/>
      <c r="CU325" s="598"/>
      <c r="CV325" s="598"/>
      <c r="CW325" s="598"/>
      <c r="CX325" s="598"/>
      <c r="CY325" s="598"/>
      <c r="CZ325" s="599"/>
      <c r="DA325" s="218"/>
    </row>
    <row r="326" spans="1:105" s="15" customFormat="1" ht="13.2" hidden="1" x14ac:dyDescent="0.3">
      <c r="A326" s="591">
        <v>1</v>
      </c>
      <c r="B326" s="591"/>
      <c r="C326" s="591"/>
      <c r="D326" s="591"/>
      <c r="E326" s="591"/>
      <c r="F326" s="591"/>
      <c r="G326" s="591"/>
      <c r="H326" s="591">
        <v>2</v>
      </c>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1"/>
      <c r="AL326" s="591"/>
      <c r="AM326" s="591"/>
      <c r="AN326" s="591"/>
      <c r="AO326" s="591"/>
      <c r="AP326" s="591"/>
      <c r="AQ326" s="591"/>
      <c r="AR326" s="591"/>
      <c r="AS326" s="591"/>
      <c r="AT326" s="591"/>
      <c r="AU326" s="591"/>
      <c r="AV326" s="591"/>
      <c r="AW326" s="591"/>
      <c r="AX326" s="591"/>
      <c r="AY326" s="591"/>
      <c r="AZ326" s="591"/>
      <c r="BA326" s="591"/>
      <c r="BB326" s="591"/>
      <c r="BC326" s="591">
        <v>3</v>
      </c>
      <c r="BD326" s="591"/>
      <c r="BE326" s="591"/>
      <c r="BF326" s="591"/>
      <c r="BG326" s="591"/>
      <c r="BH326" s="591"/>
      <c r="BI326" s="591"/>
      <c r="BJ326" s="591"/>
      <c r="BK326" s="591"/>
      <c r="BL326" s="591"/>
      <c r="BM326" s="591"/>
      <c r="BN326" s="591"/>
      <c r="BO326" s="591"/>
      <c r="BP326" s="591"/>
      <c r="BQ326" s="591"/>
      <c r="BR326" s="591"/>
      <c r="BS326" s="591">
        <v>4</v>
      </c>
      <c r="BT326" s="591"/>
      <c r="BU326" s="591"/>
      <c r="BV326" s="591"/>
      <c r="BW326" s="591"/>
      <c r="BX326" s="591"/>
      <c r="BY326" s="591"/>
      <c r="BZ326" s="591"/>
      <c r="CA326" s="591"/>
      <c r="CB326" s="591"/>
      <c r="CC326" s="591"/>
      <c r="CD326" s="591"/>
      <c r="CE326" s="591"/>
      <c r="CF326" s="591"/>
      <c r="CG326" s="591"/>
      <c r="CH326" s="591"/>
      <c r="CI326" s="591">
        <v>5</v>
      </c>
      <c r="CJ326" s="591"/>
      <c r="CK326" s="591"/>
      <c r="CL326" s="591"/>
      <c r="CM326" s="591"/>
      <c r="CN326" s="591"/>
      <c r="CO326" s="591"/>
      <c r="CP326" s="591"/>
      <c r="CQ326" s="591"/>
      <c r="CR326" s="591"/>
      <c r="CS326" s="591"/>
      <c r="CT326" s="591"/>
      <c r="CU326" s="591"/>
      <c r="CV326" s="591"/>
      <c r="CW326" s="591"/>
      <c r="CX326" s="591"/>
      <c r="CY326" s="591"/>
      <c r="CZ326" s="591"/>
      <c r="DA326" s="219"/>
    </row>
    <row r="327" spans="1:105" s="16" customFormat="1" ht="15" hidden="1" customHeight="1" x14ac:dyDescent="0.3">
      <c r="A327" s="648" t="s">
        <v>258</v>
      </c>
      <c r="B327" s="649"/>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9"/>
      <c r="AL327" s="649"/>
      <c r="AM327" s="649"/>
      <c r="AN327" s="649"/>
      <c r="AO327" s="649"/>
      <c r="AP327" s="649"/>
      <c r="AQ327" s="649"/>
      <c r="AR327" s="649"/>
      <c r="AS327" s="649"/>
      <c r="AT327" s="649"/>
      <c r="AU327" s="649"/>
      <c r="AV327" s="649"/>
      <c r="AW327" s="649"/>
      <c r="AX327" s="649"/>
      <c r="AY327" s="649"/>
      <c r="AZ327" s="649"/>
      <c r="BA327" s="649"/>
      <c r="BB327" s="649"/>
      <c r="BC327" s="649"/>
      <c r="BD327" s="649"/>
      <c r="BE327" s="649"/>
      <c r="BF327" s="649"/>
      <c r="BG327" s="649"/>
      <c r="BH327" s="649"/>
      <c r="BI327" s="649"/>
      <c r="BJ327" s="649"/>
      <c r="BK327" s="649"/>
      <c r="BL327" s="649"/>
      <c r="BM327" s="649"/>
      <c r="BN327" s="649"/>
      <c r="BO327" s="649"/>
      <c r="BP327" s="649"/>
      <c r="BQ327" s="649"/>
      <c r="BR327" s="649"/>
      <c r="BS327" s="649"/>
      <c r="BT327" s="649"/>
      <c r="BU327" s="649"/>
      <c r="BV327" s="649"/>
      <c r="BW327" s="649"/>
      <c r="BX327" s="649"/>
      <c r="BY327" s="649"/>
      <c r="BZ327" s="649"/>
      <c r="CA327" s="649"/>
      <c r="CB327" s="649"/>
      <c r="CC327" s="649"/>
      <c r="CD327" s="649"/>
      <c r="CE327" s="649"/>
      <c r="CF327" s="649"/>
      <c r="CG327" s="649"/>
      <c r="CH327" s="649"/>
      <c r="CI327" s="649"/>
      <c r="CJ327" s="649"/>
      <c r="CK327" s="649"/>
      <c r="CL327" s="649"/>
      <c r="CM327" s="649"/>
      <c r="CN327" s="649"/>
      <c r="CO327" s="649"/>
      <c r="CP327" s="649"/>
      <c r="CQ327" s="649"/>
      <c r="CR327" s="649"/>
      <c r="CS327" s="649"/>
      <c r="CT327" s="649"/>
      <c r="CU327" s="649"/>
      <c r="CV327" s="649"/>
      <c r="CW327" s="649"/>
      <c r="CX327" s="649"/>
      <c r="CY327" s="649"/>
      <c r="CZ327" s="649"/>
      <c r="DA327" s="214"/>
    </row>
    <row r="328" spans="1:105" s="16" customFormat="1" ht="15" hidden="1" customHeight="1" x14ac:dyDescent="0.3">
      <c r="A328" s="630"/>
      <c r="B328" s="631"/>
      <c r="C328" s="631"/>
      <c r="D328" s="631"/>
      <c r="E328" s="631"/>
      <c r="F328" s="631"/>
      <c r="G328" s="632"/>
      <c r="H328" s="584"/>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5"/>
      <c r="AL328" s="585"/>
      <c r="AM328" s="585"/>
      <c r="AN328" s="585"/>
      <c r="AO328" s="585"/>
      <c r="AP328" s="585"/>
      <c r="AQ328" s="585"/>
      <c r="AR328" s="585"/>
      <c r="AS328" s="585"/>
      <c r="AT328" s="585"/>
      <c r="AU328" s="585"/>
      <c r="AV328" s="585"/>
      <c r="AW328" s="585"/>
      <c r="AX328" s="585"/>
      <c r="AY328" s="585"/>
      <c r="AZ328" s="585"/>
      <c r="BA328" s="585"/>
      <c r="BB328" s="586"/>
      <c r="BC328" s="544"/>
      <c r="BD328" s="545"/>
      <c r="BE328" s="545"/>
      <c r="BF328" s="545"/>
      <c r="BG328" s="545"/>
      <c r="BH328" s="545"/>
      <c r="BI328" s="545"/>
      <c r="BJ328" s="545"/>
      <c r="BK328" s="545"/>
      <c r="BL328" s="545"/>
      <c r="BM328" s="545"/>
      <c r="BN328" s="545"/>
      <c r="BO328" s="545"/>
      <c r="BP328" s="545"/>
      <c r="BQ328" s="545"/>
      <c r="BR328" s="546"/>
      <c r="BS328" s="544"/>
      <c r="BT328" s="545"/>
      <c r="BU328" s="545"/>
      <c r="BV328" s="545"/>
      <c r="BW328" s="545"/>
      <c r="BX328" s="545"/>
      <c r="BY328" s="545"/>
      <c r="BZ328" s="545"/>
      <c r="CA328" s="545"/>
      <c r="CB328" s="545"/>
      <c r="CC328" s="545"/>
      <c r="CD328" s="545"/>
      <c r="CE328" s="545"/>
      <c r="CF328" s="545"/>
      <c r="CG328" s="545"/>
      <c r="CH328" s="546"/>
      <c r="CI328" s="544"/>
      <c r="CJ328" s="545"/>
      <c r="CK328" s="545"/>
      <c r="CL328" s="545"/>
      <c r="CM328" s="545"/>
      <c r="CN328" s="545"/>
      <c r="CO328" s="545"/>
      <c r="CP328" s="545"/>
      <c r="CQ328" s="545"/>
      <c r="CR328" s="545"/>
      <c r="CS328" s="545"/>
      <c r="CT328" s="545"/>
      <c r="CU328" s="545"/>
      <c r="CV328" s="545"/>
      <c r="CW328" s="545"/>
      <c r="CX328" s="545"/>
      <c r="CY328" s="545"/>
      <c r="CZ328" s="546"/>
      <c r="DA328" s="214"/>
    </row>
    <row r="329" spans="1:105" s="16" customFormat="1" ht="15" hidden="1" customHeight="1" x14ac:dyDescent="0.3">
      <c r="A329" s="633" t="s">
        <v>292</v>
      </c>
      <c r="B329" s="634"/>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4"/>
      <c r="AL329" s="634"/>
      <c r="AM329" s="634"/>
      <c r="AN329" s="634"/>
      <c r="AO329" s="634"/>
      <c r="AP329" s="634"/>
      <c r="AQ329" s="634"/>
      <c r="AR329" s="634"/>
      <c r="AS329" s="634"/>
      <c r="AT329" s="634"/>
      <c r="AU329" s="634"/>
      <c r="AV329" s="634"/>
      <c r="AW329" s="634"/>
      <c r="AX329" s="634"/>
      <c r="AY329" s="634"/>
      <c r="AZ329" s="634"/>
      <c r="BA329" s="634"/>
      <c r="BB329" s="635"/>
      <c r="BC329" s="582" t="s">
        <v>4</v>
      </c>
      <c r="BD329" s="582"/>
      <c r="BE329" s="582"/>
      <c r="BF329" s="582"/>
      <c r="BG329" s="582"/>
      <c r="BH329" s="582"/>
      <c r="BI329" s="582"/>
      <c r="BJ329" s="582"/>
      <c r="BK329" s="582"/>
      <c r="BL329" s="582"/>
      <c r="BM329" s="582"/>
      <c r="BN329" s="582"/>
      <c r="BO329" s="582"/>
      <c r="BP329" s="582"/>
      <c r="BQ329" s="582"/>
      <c r="BR329" s="582"/>
      <c r="BS329" s="582" t="s">
        <v>4</v>
      </c>
      <c r="BT329" s="582"/>
      <c r="BU329" s="582"/>
      <c r="BV329" s="582"/>
      <c r="BW329" s="582"/>
      <c r="BX329" s="582"/>
      <c r="BY329" s="582"/>
      <c r="BZ329" s="582"/>
      <c r="CA329" s="582"/>
      <c r="CB329" s="582"/>
      <c r="CC329" s="582"/>
      <c r="CD329" s="582"/>
      <c r="CE329" s="582"/>
      <c r="CF329" s="582"/>
      <c r="CG329" s="582"/>
      <c r="CH329" s="582"/>
      <c r="CI329" s="544"/>
      <c r="CJ329" s="545"/>
      <c r="CK329" s="545"/>
      <c r="CL329" s="545"/>
      <c r="CM329" s="545"/>
      <c r="CN329" s="545"/>
      <c r="CO329" s="545"/>
      <c r="CP329" s="545"/>
      <c r="CQ329" s="545"/>
      <c r="CR329" s="545"/>
      <c r="CS329" s="545"/>
      <c r="CT329" s="545"/>
      <c r="CU329" s="545"/>
      <c r="CV329" s="545"/>
      <c r="CW329" s="545"/>
      <c r="CX329" s="545"/>
      <c r="CY329" s="545"/>
      <c r="CZ329" s="546"/>
      <c r="DA329" s="214"/>
    </row>
    <row r="330" spans="1:105" s="16" customFormat="1" ht="15" hidden="1" customHeight="1" x14ac:dyDescent="0.3">
      <c r="A330" s="648" t="s">
        <v>258</v>
      </c>
      <c r="B330" s="649"/>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9"/>
      <c r="AL330" s="649"/>
      <c r="AM330" s="649"/>
      <c r="AN330" s="649"/>
      <c r="AO330" s="649"/>
      <c r="AP330" s="649"/>
      <c r="AQ330" s="649"/>
      <c r="AR330" s="649"/>
      <c r="AS330" s="649"/>
      <c r="AT330" s="649"/>
      <c r="AU330" s="649"/>
      <c r="AV330" s="649"/>
      <c r="AW330" s="649"/>
      <c r="AX330" s="649"/>
      <c r="AY330" s="649"/>
      <c r="AZ330" s="649"/>
      <c r="BA330" s="649"/>
      <c r="BB330" s="649"/>
      <c r="BC330" s="649"/>
      <c r="BD330" s="649"/>
      <c r="BE330" s="649"/>
      <c r="BF330" s="649"/>
      <c r="BG330" s="649"/>
      <c r="BH330" s="649"/>
      <c r="BI330" s="649"/>
      <c r="BJ330" s="649"/>
      <c r="BK330" s="649"/>
      <c r="BL330" s="649"/>
      <c r="BM330" s="649"/>
      <c r="BN330" s="649"/>
      <c r="BO330" s="649"/>
      <c r="BP330" s="649"/>
      <c r="BQ330" s="649"/>
      <c r="BR330" s="649"/>
      <c r="BS330" s="649"/>
      <c r="BT330" s="649"/>
      <c r="BU330" s="649"/>
      <c r="BV330" s="649"/>
      <c r="BW330" s="649"/>
      <c r="BX330" s="649"/>
      <c r="BY330" s="649"/>
      <c r="BZ330" s="649"/>
      <c r="CA330" s="649"/>
      <c r="CB330" s="649"/>
      <c r="CC330" s="649"/>
      <c r="CD330" s="649"/>
      <c r="CE330" s="649"/>
      <c r="CF330" s="649"/>
      <c r="CG330" s="649"/>
      <c r="CH330" s="649"/>
      <c r="CI330" s="649"/>
      <c r="CJ330" s="649"/>
      <c r="CK330" s="649"/>
      <c r="CL330" s="649"/>
      <c r="CM330" s="649"/>
      <c r="CN330" s="649"/>
      <c r="CO330" s="649"/>
      <c r="CP330" s="649"/>
      <c r="CQ330" s="649"/>
      <c r="CR330" s="649"/>
      <c r="CS330" s="649"/>
      <c r="CT330" s="649"/>
      <c r="CU330" s="649"/>
      <c r="CV330" s="649"/>
      <c r="CW330" s="649"/>
      <c r="CX330" s="649"/>
      <c r="CY330" s="649"/>
      <c r="CZ330" s="649"/>
      <c r="DA330" s="214"/>
    </row>
    <row r="331" spans="1:105" s="16" customFormat="1" ht="15" hidden="1" customHeight="1" x14ac:dyDescent="0.3">
      <c r="A331" s="630"/>
      <c r="B331" s="631"/>
      <c r="C331" s="631"/>
      <c r="D331" s="631"/>
      <c r="E331" s="631"/>
      <c r="F331" s="631"/>
      <c r="G331" s="632"/>
      <c r="H331" s="584"/>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5"/>
      <c r="AL331" s="585"/>
      <c r="AM331" s="585"/>
      <c r="AN331" s="585"/>
      <c r="AO331" s="585"/>
      <c r="AP331" s="585"/>
      <c r="AQ331" s="585"/>
      <c r="AR331" s="585"/>
      <c r="AS331" s="585"/>
      <c r="AT331" s="585"/>
      <c r="AU331" s="585"/>
      <c r="AV331" s="585"/>
      <c r="AW331" s="585"/>
      <c r="AX331" s="585"/>
      <c r="AY331" s="585"/>
      <c r="AZ331" s="585"/>
      <c r="BA331" s="585"/>
      <c r="BB331" s="586"/>
      <c r="BC331" s="544"/>
      <c r="BD331" s="545"/>
      <c r="BE331" s="545"/>
      <c r="BF331" s="545"/>
      <c r="BG331" s="545"/>
      <c r="BH331" s="545"/>
      <c r="BI331" s="545"/>
      <c r="BJ331" s="545"/>
      <c r="BK331" s="545"/>
      <c r="BL331" s="545"/>
      <c r="BM331" s="545"/>
      <c r="BN331" s="545"/>
      <c r="BO331" s="545"/>
      <c r="BP331" s="545"/>
      <c r="BQ331" s="545"/>
      <c r="BR331" s="546"/>
      <c r="BS331" s="544"/>
      <c r="BT331" s="545"/>
      <c r="BU331" s="545"/>
      <c r="BV331" s="545"/>
      <c r="BW331" s="545"/>
      <c r="BX331" s="545"/>
      <c r="BY331" s="545"/>
      <c r="BZ331" s="545"/>
      <c r="CA331" s="545"/>
      <c r="CB331" s="545"/>
      <c r="CC331" s="545"/>
      <c r="CD331" s="545"/>
      <c r="CE331" s="545"/>
      <c r="CF331" s="545"/>
      <c r="CG331" s="545"/>
      <c r="CH331" s="546"/>
      <c r="CI331" s="544"/>
      <c r="CJ331" s="545"/>
      <c r="CK331" s="545"/>
      <c r="CL331" s="545"/>
      <c r="CM331" s="545"/>
      <c r="CN331" s="545"/>
      <c r="CO331" s="545"/>
      <c r="CP331" s="545"/>
      <c r="CQ331" s="545"/>
      <c r="CR331" s="545"/>
      <c r="CS331" s="545"/>
      <c r="CT331" s="545"/>
      <c r="CU331" s="545"/>
      <c r="CV331" s="545"/>
      <c r="CW331" s="545"/>
      <c r="CX331" s="545"/>
      <c r="CY331" s="545"/>
      <c r="CZ331" s="546"/>
      <c r="DA331" s="214"/>
    </row>
    <row r="332" spans="1:105" s="16" customFormat="1" ht="15" hidden="1" customHeight="1" x14ac:dyDescent="0.3">
      <c r="A332" s="633" t="s">
        <v>292</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4"/>
      <c r="AL332" s="634"/>
      <c r="AM332" s="634"/>
      <c r="AN332" s="634"/>
      <c r="AO332" s="634"/>
      <c r="AP332" s="634"/>
      <c r="AQ332" s="634"/>
      <c r="AR332" s="634"/>
      <c r="AS332" s="634"/>
      <c r="AT332" s="634"/>
      <c r="AU332" s="634"/>
      <c r="AV332" s="634"/>
      <c r="AW332" s="634"/>
      <c r="AX332" s="634"/>
      <c r="AY332" s="634"/>
      <c r="AZ332" s="634"/>
      <c r="BA332" s="634"/>
      <c r="BB332" s="635"/>
      <c r="BC332" s="582" t="s">
        <v>4</v>
      </c>
      <c r="BD332" s="582"/>
      <c r="BE332" s="582"/>
      <c r="BF332" s="582"/>
      <c r="BG332" s="582"/>
      <c r="BH332" s="582"/>
      <c r="BI332" s="582"/>
      <c r="BJ332" s="582"/>
      <c r="BK332" s="582"/>
      <c r="BL332" s="582"/>
      <c r="BM332" s="582"/>
      <c r="BN332" s="582"/>
      <c r="BO332" s="582"/>
      <c r="BP332" s="582"/>
      <c r="BQ332" s="582"/>
      <c r="BR332" s="582"/>
      <c r="BS332" s="582" t="s">
        <v>4</v>
      </c>
      <c r="BT332" s="582"/>
      <c r="BU332" s="582"/>
      <c r="BV332" s="582"/>
      <c r="BW332" s="582"/>
      <c r="BX332" s="582"/>
      <c r="BY332" s="582"/>
      <c r="BZ332" s="582"/>
      <c r="CA332" s="582"/>
      <c r="CB332" s="582"/>
      <c r="CC332" s="582"/>
      <c r="CD332" s="582"/>
      <c r="CE332" s="582"/>
      <c r="CF332" s="582"/>
      <c r="CG332" s="582"/>
      <c r="CH332" s="582"/>
      <c r="CI332" s="544"/>
      <c r="CJ332" s="545"/>
      <c r="CK332" s="545"/>
      <c r="CL332" s="545"/>
      <c r="CM332" s="545"/>
      <c r="CN332" s="545"/>
      <c r="CO332" s="545"/>
      <c r="CP332" s="545"/>
      <c r="CQ332" s="545"/>
      <c r="CR332" s="545"/>
      <c r="CS332" s="545"/>
      <c r="CT332" s="545"/>
      <c r="CU332" s="545"/>
      <c r="CV332" s="545"/>
      <c r="CW332" s="545"/>
      <c r="CX332" s="545"/>
      <c r="CY332" s="545"/>
      <c r="CZ332" s="546"/>
      <c r="DA332" s="214"/>
    </row>
    <row r="333" spans="1:105" s="16" customFormat="1" ht="15" hidden="1" customHeight="1" x14ac:dyDescent="0.3">
      <c r="A333" s="553" t="s">
        <v>56</v>
      </c>
      <c r="B333" s="554"/>
      <c r="C333" s="554"/>
      <c r="D333" s="554"/>
      <c r="E333" s="554"/>
      <c r="F333" s="554"/>
      <c r="G333" s="554"/>
      <c r="H333" s="554"/>
      <c r="I333" s="554"/>
      <c r="J333" s="554"/>
      <c r="K333" s="554"/>
      <c r="L333" s="554"/>
      <c r="M333" s="554"/>
      <c r="N333" s="554"/>
      <c r="O333" s="554"/>
      <c r="P333" s="554"/>
      <c r="Q333" s="554"/>
      <c r="R333" s="554"/>
      <c r="S333" s="554"/>
      <c r="T333" s="554"/>
      <c r="U333" s="554"/>
      <c r="V333" s="554"/>
      <c r="W333" s="554"/>
      <c r="X333" s="554"/>
      <c r="Y333" s="554"/>
      <c r="Z333" s="554"/>
      <c r="AA333" s="554"/>
      <c r="AB333" s="554"/>
      <c r="AC333" s="554"/>
      <c r="AD333" s="554"/>
      <c r="AE333" s="554"/>
      <c r="AF333" s="554"/>
      <c r="AG333" s="554"/>
      <c r="AH333" s="554"/>
      <c r="AI333" s="554"/>
      <c r="AJ333" s="554"/>
      <c r="AK333" s="554"/>
      <c r="AL333" s="554"/>
      <c r="AM333" s="554"/>
      <c r="AN333" s="554"/>
      <c r="AO333" s="554"/>
      <c r="AP333" s="554"/>
      <c r="AQ333" s="554"/>
      <c r="AR333" s="554"/>
      <c r="AS333" s="554"/>
      <c r="AT333" s="554"/>
      <c r="AU333" s="554"/>
      <c r="AV333" s="554"/>
      <c r="AW333" s="554"/>
      <c r="AX333" s="554"/>
      <c r="AY333" s="554"/>
      <c r="AZ333" s="554"/>
      <c r="BA333" s="554"/>
      <c r="BB333" s="555"/>
      <c r="BC333" s="582" t="s">
        <v>4</v>
      </c>
      <c r="BD333" s="582"/>
      <c r="BE333" s="582"/>
      <c r="BF333" s="582"/>
      <c r="BG333" s="582"/>
      <c r="BH333" s="582"/>
      <c r="BI333" s="582"/>
      <c r="BJ333" s="582"/>
      <c r="BK333" s="582"/>
      <c r="BL333" s="582"/>
      <c r="BM333" s="582"/>
      <c r="BN333" s="582"/>
      <c r="BO333" s="582"/>
      <c r="BP333" s="582"/>
      <c r="BQ333" s="582"/>
      <c r="BR333" s="582"/>
      <c r="BS333" s="582" t="s">
        <v>4</v>
      </c>
      <c r="BT333" s="582"/>
      <c r="BU333" s="582"/>
      <c r="BV333" s="582"/>
      <c r="BW333" s="582"/>
      <c r="BX333" s="582"/>
      <c r="BY333" s="582"/>
      <c r="BZ333" s="582"/>
      <c r="CA333" s="582"/>
      <c r="CB333" s="582"/>
      <c r="CC333" s="582"/>
      <c r="CD333" s="582"/>
      <c r="CE333" s="582"/>
      <c r="CF333" s="582"/>
      <c r="CG333" s="582"/>
      <c r="CH333" s="582"/>
      <c r="CI333" s="582"/>
      <c r="CJ333" s="582"/>
      <c r="CK333" s="582"/>
      <c r="CL333" s="582"/>
      <c r="CM333" s="582"/>
      <c r="CN333" s="582"/>
      <c r="CO333" s="582"/>
      <c r="CP333" s="582"/>
      <c r="CQ333" s="582"/>
      <c r="CR333" s="582"/>
      <c r="CS333" s="582"/>
      <c r="CT333" s="582"/>
      <c r="CU333" s="582"/>
      <c r="CV333" s="582"/>
      <c r="CW333" s="582"/>
      <c r="CX333" s="582"/>
      <c r="CY333" s="582"/>
      <c r="CZ333" s="582"/>
      <c r="DA333" s="214"/>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594" t="s">
        <v>286</v>
      </c>
      <c r="B335" s="594"/>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4"/>
      <c r="AL335" s="594"/>
      <c r="AM335" s="594"/>
      <c r="AN335" s="594"/>
      <c r="AO335" s="594"/>
      <c r="AP335" s="594"/>
      <c r="AQ335" s="594"/>
      <c r="AR335" s="594"/>
      <c r="AS335" s="594"/>
      <c r="AT335" s="594"/>
      <c r="AU335" s="594"/>
      <c r="AV335" s="594"/>
      <c r="AW335" s="594"/>
      <c r="AX335" s="594"/>
      <c r="AY335" s="594"/>
      <c r="AZ335" s="594"/>
      <c r="BA335" s="594"/>
      <c r="BB335" s="594"/>
      <c r="BC335" s="594"/>
      <c r="BD335" s="594"/>
      <c r="BE335" s="594"/>
      <c r="BF335" s="594"/>
      <c r="BG335" s="594"/>
      <c r="BH335" s="594"/>
      <c r="BI335" s="594"/>
      <c r="BJ335" s="594"/>
      <c r="BK335" s="594"/>
      <c r="BL335" s="594"/>
      <c r="BM335" s="594"/>
      <c r="BN335" s="594"/>
      <c r="BO335" s="594"/>
      <c r="BP335" s="594"/>
      <c r="BQ335" s="594"/>
      <c r="BR335" s="594"/>
      <c r="BS335" s="594"/>
      <c r="BT335" s="594"/>
      <c r="BU335" s="594"/>
      <c r="BV335" s="594"/>
      <c r="BW335" s="594"/>
      <c r="BX335" s="594"/>
      <c r="BY335" s="594"/>
      <c r="BZ335" s="594"/>
      <c r="CA335" s="594"/>
      <c r="CB335" s="594"/>
      <c r="CC335" s="594"/>
      <c r="CD335" s="594"/>
      <c r="CE335" s="594"/>
      <c r="CF335" s="594"/>
      <c r="CG335" s="594"/>
      <c r="CH335" s="594"/>
      <c r="CI335" s="594"/>
      <c r="CJ335" s="594"/>
      <c r="CK335" s="594"/>
      <c r="CL335" s="594"/>
      <c r="CM335" s="594"/>
      <c r="CN335" s="594"/>
      <c r="CO335" s="594"/>
      <c r="CP335" s="594"/>
      <c r="CQ335" s="594"/>
      <c r="CR335" s="594"/>
      <c r="CS335" s="594"/>
      <c r="CT335" s="594"/>
      <c r="CU335" s="594"/>
      <c r="CV335" s="594"/>
      <c r="CW335" s="594"/>
      <c r="CX335" s="594"/>
      <c r="CY335" s="594"/>
      <c r="CZ335" s="594"/>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595" t="s">
        <v>587</v>
      </c>
      <c r="X337" s="595"/>
      <c r="Y337" s="595"/>
      <c r="Z337" s="595"/>
      <c r="AA337" s="595"/>
      <c r="AB337" s="595"/>
      <c r="AC337" s="595"/>
      <c r="AD337" s="595"/>
      <c r="AE337" s="595"/>
      <c r="AF337" s="595"/>
      <c r="AG337" s="595"/>
      <c r="AH337" s="595"/>
      <c r="AI337" s="595"/>
      <c r="AJ337" s="595"/>
      <c r="AK337" s="595"/>
      <c r="AL337" s="595"/>
      <c r="AM337" s="595"/>
      <c r="AN337" s="595"/>
      <c r="AO337" s="595"/>
      <c r="AP337" s="595"/>
      <c r="AQ337" s="595"/>
      <c r="AR337" s="595"/>
      <c r="AS337" s="595"/>
      <c r="AT337" s="595"/>
      <c r="AU337" s="595"/>
      <c r="AV337" s="595"/>
      <c r="AW337" s="595"/>
      <c r="AX337" s="595"/>
      <c r="AY337" s="595"/>
      <c r="AZ337" s="595"/>
      <c r="BA337" s="595"/>
      <c r="BB337" s="595"/>
      <c r="BC337" s="595"/>
      <c r="BD337" s="595"/>
      <c r="BE337" s="595"/>
      <c r="BF337" s="595"/>
      <c r="BG337" s="595"/>
      <c r="BH337" s="595"/>
      <c r="BI337" s="595"/>
      <c r="BJ337" s="595"/>
      <c r="BK337" s="595"/>
      <c r="BL337" s="595"/>
      <c r="BM337" s="595"/>
      <c r="BN337" s="595"/>
      <c r="BO337" s="595"/>
      <c r="BP337" s="595"/>
      <c r="BQ337" s="595"/>
      <c r="BR337" s="595"/>
      <c r="BS337" s="595"/>
      <c r="BT337" s="595"/>
      <c r="BU337" s="595"/>
      <c r="BV337" s="595"/>
      <c r="BW337" s="595"/>
      <c r="BX337" s="595"/>
      <c r="BY337" s="595"/>
      <c r="BZ337" s="595"/>
      <c r="CA337" s="595"/>
      <c r="CB337" s="595"/>
      <c r="CC337" s="595"/>
      <c r="CD337" s="595"/>
      <c r="CE337" s="595"/>
      <c r="CF337" s="595"/>
      <c r="CG337" s="595"/>
      <c r="CH337" s="595"/>
      <c r="CI337" s="595"/>
      <c r="CJ337" s="595"/>
      <c r="CK337" s="595"/>
      <c r="CL337" s="595"/>
      <c r="CM337" s="595"/>
      <c r="CN337" s="595"/>
      <c r="CO337" s="595"/>
      <c r="CP337" s="595"/>
      <c r="CQ337" s="595"/>
      <c r="CR337" s="595"/>
      <c r="CS337" s="595"/>
      <c r="CT337" s="595"/>
      <c r="CU337" s="595"/>
      <c r="CV337" s="595"/>
      <c r="CW337" s="595"/>
      <c r="CX337" s="595"/>
      <c r="CY337" s="595"/>
      <c r="CZ337" s="595"/>
      <c r="DA337" s="230">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75" t="s">
        <v>49</v>
      </c>
      <c r="B339" s="476"/>
      <c r="C339" s="476"/>
      <c r="D339" s="476"/>
      <c r="E339" s="476"/>
      <c r="F339" s="476"/>
      <c r="G339" s="477"/>
      <c r="H339" s="475" t="s">
        <v>0</v>
      </c>
      <c r="I339" s="476"/>
      <c r="J339" s="476"/>
      <c r="K339" s="476"/>
      <c r="L339" s="476"/>
      <c r="M339" s="476"/>
      <c r="N339" s="476"/>
      <c r="O339" s="476"/>
      <c r="P339" s="476"/>
      <c r="Q339" s="476"/>
      <c r="R339" s="476"/>
      <c r="S339" s="476"/>
      <c r="T339" s="476"/>
      <c r="U339" s="476"/>
      <c r="V339" s="476"/>
      <c r="W339" s="476"/>
      <c r="X339" s="476"/>
      <c r="Y339" s="476"/>
      <c r="Z339" s="476"/>
      <c r="AA339" s="476"/>
      <c r="AB339" s="476"/>
      <c r="AC339" s="476"/>
      <c r="AD339" s="476"/>
      <c r="AE339" s="476"/>
      <c r="AF339" s="476"/>
      <c r="AG339" s="476"/>
      <c r="AH339" s="476"/>
      <c r="AI339" s="476"/>
      <c r="AJ339" s="476"/>
      <c r="AK339" s="476"/>
      <c r="AL339" s="476"/>
      <c r="AM339" s="476"/>
      <c r="AN339" s="476"/>
      <c r="AO339" s="476"/>
      <c r="AP339" s="476"/>
      <c r="AQ339" s="476"/>
      <c r="AR339" s="476"/>
      <c r="AS339" s="476"/>
      <c r="AT339" s="476"/>
      <c r="AU339" s="476"/>
      <c r="AV339" s="476"/>
      <c r="AW339" s="476"/>
      <c r="AX339" s="476"/>
      <c r="AY339" s="476"/>
      <c r="AZ339" s="476"/>
      <c r="BA339" s="476"/>
      <c r="BB339" s="477"/>
      <c r="BC339" s="597" t="s">
        <v>94</v>
      </c>
      <c r="BD339" s="598"/>
      <c r="BE339" s="598"/>
      <c r="BF339" s="598"/>
      <c r="BG339" s="598"/>
      <c r="BH339" s="598"/>
      <c r="BI339" s="598"/>
      <c r="BJ339" s="598"/>
      <c r="BK339" s="598"/>
      <c r="BL339" s="598"/>
      <c r="BM339" s="598"/>
      <c r="BN339" s="598"/>
      <c r="BO339" s="598"/>
      <c r="BP339" s="598"/>
      <c r="BQ339" s="598"/>
      <c r="BR339" s="599"/>
      <c r="BS339" s="597" t="s">
        <v>310</v>
      </c>
      <c r="BT339" s="598"/>
      <c r="BU339" s="598"/>
      <c r="BV339" s="598"/>
      <c r="BW339" s="598"/>
      <c r="BX339" s="598"/>
      <c r="BY339" s="598"/>
      <c r="BZ339" s="598"/>
      <c r="CA339" s="598"/>
      <c r="CB339" s="598"/>
      <c r="CC339" s="598"/>
      <c r="CD339" s="598"/>
      <c r="CE339" s="598"/>
      <c r="CF339" s="598"/>
      <c r="CG339" s="598"/>
      <c r="CH339" s="599"/>
      <c r="CI339" s="597" t="s">
        <v>309</v>
      </c>
      <c r="CJ339" s="598"/>
      <c r="CK339" s="598"/>
      <c r="CL339" s="598"/>
      <c r="CM339" s="598"/>
      <c r="CN339" s="598"/>
      <c r="CO339" s="598"/>
      <c r="CP339" s="598"/>
      <c r="CQ339" s="598"/>
      <c r="CR339" s="598"/>
      <c r="CS339" s="598"/>
      <c r="CT339" s="598"/>
      <c r="CU339" s="598"/>
      <c r="CV339" s="598"/>
      <c r="CW339" s="598"/>
      <c r="CX339" s="598"/>
      <c r="CY339" s="598"/>
      <c r="CZ339" s="599"/>
    </row>
    <row r="340" spans="1:105" s="20" customFormat="1" hidden="1" x14ac:dyDescent="0.25">
      <c r="A340" s="591">
        <v>1</v>
      </c>
      <c r="B340" s="591"/>
      <c r="C340" s="591"/>
      <c r="D340" s="591"/>
      <c r="E340" s="591"/>
      <c r="F340" s="591"/>
      <c r="G340" s="591"/>
      <c r="H340" s="591">
        <v>2</v>
      </c>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1"/>
      <c r="AL340" s="591"/>
      <c r="AM340" s="591"/>
      <c r="AN340" s="591"/>
      <c r="AO340" s="591"/>
      <c r="AP340" s="591"/>
      <c r="AQ340" s="591"/>
      <c r="AR340" s="591"/>
      <c r="AS340" s="591"/>
      <c r="AT340" s="591"/>
      <c r="AU340" s="591"/>
      <c r="AV340" s="591"/>
      <c r="AW340" s="591"/>
      <c r="AX340" s="591"/>
      <c r="AY340" s="591"/>
      <c r="AZ340" s="591"/>
      <c r="BA340" s="591"/>
      <c r="BB340" s="591"/>
      <c r="BC340" s="591">
        <v>3</v>
      </c>
      <c r="BD340" s="591"/>
      <c r="BE340" s="591"/>
      <c r="BF340" s="591"/>
      <c r="BG340" s="591"/>
      <c r="BH340" s="591"/>
      <c r="BI340" s="591"/>
      <c r="BJ340" s="591"/>
      <c r="BK340" s="591"/>
      <c r="BL340" s="591"/>
      <c r="BM340" s="591"/>
      <c r="BN340" s="591"/>
      <c r="BO340" s="591"/>
      <c r="BP340" s="591"/>
      <c r="BQ340" s="591"/>
      <c r="BR340" s="591"/>
      <c r="BS340" s="591">
        <v>4</v>
      </c>
      <c r="BT340" s="591"/>
      <c r="BU340" s="591"/>
      <c r="BV340" s="591"/>
      <c r="BW340" s="591"/>
      <c r="BX340" s="591"/>
      <c r="BY340" s="591"/>
      <c r="BZ340" s="591"/>
      <c r="CA340" s="591"/>
      <c r="CB340" s="591"/>
      <c r="CC340" s="591"/>
      <c r="CD340" s="591"/>
      <c r="CE340" s="591"/>
      <c r="CF340" s="591"/>
      <c r="CG340" s="591"/>
      <c r="CH340" s="591"/>
      <c r="CI340" s="591">
        <v>5</v>
      </c>
      <c r="CJ340" s="591"/>
      <c r="CK340" s="591"/>
      <c r="CL340" s="591"/>
      <c r="CM340" s="591"/>
      <c r="CN340" s="591"/>
      <c r="CO340" s="591"/>
      <c r="CP340" s="591"/>
      <c r="CQ340" s="591"/>
      <c r="CR340" s="591"/>
      <c r="CS340" s="591"/>
      <c r="CT340" s="591"/>
      <c r="CU340" s="591"/>
      <c r="CV340" s="591"/>
      <c r="CW340" s="591"/>
      <c r="CX340" s="591"/>
      <c r="CY340" s="591"/>
      <c r="CZ340" s="591"/>
    </row>
    <row r="341" spans="1:105" s="20" customFormat="1" hidden="1" x14ac:dyDescent="0.25">
      <c r="A341" s="656" t="s">
        <v>537</v>
      </c>
      <c r="B341" s="657"/>
      <c r="C341" s="657"/>
      <c r="D341" s="657"/>
      <c r="E341" s="657"/>
      <c r="F341" s="657"/>
      <c r="G341" s="657"/>
      <c r="H341" s="657"/>
      <c r="I341" s="657"/>
      <c r="J341" s="657"/>
      <c r="K341" s="657"/>
      <c r="L341" s="657"/>
      <c r="M341" s="657"/>
      <c r="N341" s="657"/>
      <c r="O341" s="657"/>
      <c r="P341" s="657"/>
      <c r="Q341" s="657"/>
      <c r="R341" s="657"/>
      <c r="S341" s="657"/>
      <c r="T341" s="657"/>
      <c r="U341" s="657"/>
      <c r="V341" s="657"/>
      <c r="W341" s="657"/>
      <c r="X341" s="657"/>
      <c r="Y341" s="657"/>
      <c r="Z341" s="657"/>
      <c r="AA341" s="657"/>
      <c r="AB341" s="657"/>
      <c r="AC341" s="657"/>
      <c r="AD341" s="657"/>
      <c r="AE341" s="657"/>
      <c r="AF341" s="657"/>
      <c r="AG341" s="657"/>
      <c r="AH341" s="657"/>
      <c r="AI341" s="657"/>
      <c r="AJ341" s="657"/>
      <c r="AK341" s="657"/>
      <c r="AL341" s="657"/>
      <c r="AM341" s="657"/>
      <c r="AN341" s="657"/>
      <c r="AO341" s="65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57"/>
      <c r="BQ341" s="657"/>
      <c r="BR341" s="657"/>
      <c r="BS341" s="657"/>
      <c r="BT341" s="657"/>
      <c r="BU341" s="657"/>
      <c r="BV341" s="657"/>
      <c r="BW341" s="657"/>
      <c r="BX341" s="657"/>
      <c r="BY341" s="657"/>
      <c r="BZ341" s="657"/>
      <c r="CA341" s="657"/>
      <c r="CB341" s="657"/>
      <c r="CC341" s="657"/>
      <c r="CD341" s="657"/>
      <c r="CE341" s="657"/>
      <c r="CF341" s="657"/>
      <c r="CG341" s="657"/>
      <c r="CH341" s="657"/>
      <c r="CI341" s="657"/>
      <c r="CJ341" s="657"/>
      <c r="CK341" s="657"/>
      <c r="CL341" s="657"/>
      <c r="CM341" s="657"/>
      <c r="CN341" s="657"/>
      <c r="CO341" s="657"/>
      <c r="CP341" s="657"/>
      <c r="CQ341" s="657"/>
      <c r="CR341" s="657"/>
      <c r="CS341" s="657"/>
      <c r="CT341" s="657"/>
      <c r="CU341" s="657"/>
      <c r="CV341" s="657"/>
      <c r="CW341" s="657"/>
      <c r="CX341" s="657"/>
      <c r="CY341" s="657"/>
      <c r="CZ341" s="658"/>
    </row>
    <row r="342" spans="1:105" s="20" customFormat="1" ht="26.25" hidden="1" customHeight="1" x14ac:dyDescent="0.25">
      <c r="A342" s="630" t="s">
        <v>441</v>
      </c>
      <c r="B342" s="631"/>
      <c r="C342" s="631"/>
      <c r="D342" s="631"/>
      <c r="E342" s="631"/>
      <c r="F342" s="631"/>
      <c r="G342" s="632"/>
      <c r="H342" s="584" t="s">
        <v>592</v>
      </c>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5"/>
      <c r="AL342" s="585"/>
      <c r="AM342" s="585"/>
      <c r="AN342" s="585"/>
      <c r="AO342" s="705"/>
      <c r="AP342" s="705"/>
      <c r="AQ342" s="705"/>
      <c r="AR342" s="705"/>
      <c r="AS342" s="705"/>
      <c r="AT342" s="705"/>
      <c r="AU342" s="705"/>
      <c r="AV342" s="705"/>
      <c r="AW342" s="705"/>
      <c r="AX342" s="705"/>
      <c r="AY342" s="705"/>
      <c r="AZ342" s="705"/>
      <c r="BA342" s="705"/>
      <c r="BB342" s="706"/>
      <c r="BC342" s="675">
        <v>1</v>
      </c>
      <c r="BD342" s="676"/>
      <c r="BE342" s="676"/>
      <c r="BF342" s="676"/>
      <c r="BG342" s="676"/>
      <c r="BH342" s="676"/>
      <c r="BI342" s="676"/>
      <c r="BJ342" s="676"/>
      <c r="BK342" s="676"/>
      <c r="BL342" s="676"/>
      <c r="BM342" s="676"/>
      <c r="BN342" s="676"/>
      <c r="BO342" s="676"/>
      <c r="BP342" s="676"/>
      <c r="BQ342" s="676"/>
      <c r="BR342" s="677"/>
      <c r="BS342" s="627">
        <f>CI342/BC342</f>
        <v>0</v>
      </c>
      <c r="BT342" s="628"/>
      <c r="BU342" s="628"/>
      <c r="BV342" s="628"/>
      <c r="BW342" s="628"/>
      <c r="BX342" s="628"/>
      <c r="BY342" s="628"/>
      <c r="BZ342" s="628"/>
      <c r="CA342" s="628"/>
      <c r="CB342" s="628"/>
      <c r="CC342" s="628"/>
      <c r="CD342" s="628"/>
      <c r="CE342" s="628"/>
      <c r="CF342" s="628"/>
      <c r="CG342" s="628"/>
      <c r="CH342" s="629"/>
      <c r="CI342" s="627"/>
      <c r="CJ342" s="628"/>
      <c r="CK342" s="628"/>
      <c r="CL342" s="628"/>
      <c r="CM342" s="628"/>
      <c r="CN342" s="628"/>
      <c r="CO342" s="628"/>
      <c r="CP342" s="628"/>
      <c r="CQ342" s="628"/>
      <c r="CR342" s="628"/>
      <c r="CS342" s="628"/>
      <c r="CT342" s="628"/>
      <c r="CU342" s="628"/>
      <c r="CV342" s="628"/>
      <c r="CW342" s="628"/>
      <c r="CX342" s="628"/>
      <c r="CY342" s="628"/>
      <c r="CZ342" s="629"/>
    </row>
    <row r="343" spans="1:105" s="20" customFormat="1" hidden="1" x14ac:dyDescent="0.25">
      <c r="A343" s="633" t="s">
        <v>292</v>
      </c>
      <c r="B343" s="634"/>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34"/>
      <c r="AL343" s="634"/>
      <c r="AM343" s="634"/>
      <c r="AN343" s="634"/>
      <c r="AO343" s="634"/>
      <c r="AP343" s="634"/>
      <c r="AQ343" s="634"/>
      <c r="AR343" s="634"/>
      <c r="AS343" s="634"/>
      <c r="AT343" s="634"/>
      <c r="AU343" s="634"/>
      <c r="AV343" s="634"/>
      <c r="AW343" s="634"/>
      <c r="AX343" s="634"/>
      <c r="AY343" s="634"/>
      <c r="AZ343" s="634"/>
      <c r="BA343" s="634"/>
      <c r="BB343" s="635"/>
      <c r="BC343" s="544" t="s">
        <v>4</v>
      </c>
      <c r="BD343" s="545"/>
      <c r="BE343" s="545"/>
      <c r="BF343" s="545"/>
      <c r="BG343" s="545"/>
      <c r="BH343" s="545"/>
      <c r="BI343" s="545"/>
      <c r="BJ343" s="545"/>
      <c r="BK343" s="545"/>
      <c r="BL343" s="545"/>
      <c r="BM343" s="545"/>
      <c r="BN343" s="545"/>
      <c r="BO343" s="545"/>
      <c r="BP343" s="545"/>
      <c r="BQ343" s="545"/>
      <c r="BR343" s="546"/>
      <c r="BS343" s="544" t="s">
        <v>4</v>
      </c>
      <c r="BT343" s="545"/>
      <c r="BU343" s="545"/>
      <c r="BV343" s="545"/>
      <c r="BW343" s="545"/>
      <c r="BX343" s="545"/>
      <c r="BY343" s="545"/>
      <c r="BZ343" s="545"/>
      <c r="CA343" s="545"/>
      <c r="CB343" s="545"/>
      <c r="CC343" s="545"/>
      <c r="CD343" s="545"/>
      <c r="CE343" s="545"/>
      <c r="CF343" s="545"/>
      <c r="CG343" s="545"/>
      <c r="CH343" s="546"/>
      <c r="CI343" s="636">
        <f>SUM(CI342)</f>
        <v>0</v>
      </c>
      <c r="CJ343" s="637"/>
      <c r="CK343" s="637"/>
      <c r="CL343" s="637"/>
      <c r="CM343" s="637"/>
      <c r="CN343" s="637"/>
      <c r="CO343" s="637"/>
      <c r="CP343" s="637"/>
      <c r="CQ343" s="637"/>
      <c r="CR343" s="637"/>
      <c r="CS343" s="637"/>
      <c r="CT343" s="637"/>
      <c r="CU343" s="637"/>
      <c r="CV343" s="637"/>
      <c r="CW343" s="637"/>
      <c r="CX343" s="637"/>
      <c r="CY343" s="637"/>
      <c r="CZ343" s="638"/>
    </row>
    <row r="344" spans="1:105" s="20" customFormat="1" hidden="1" x14ac:dyDescent="0.25">
      <c r="A344" s="553" t="s">
        <v>56</v>
      </c>
      <c r="B344" s="554"/>
      <c r="C344" s="554"/>
      <c r="D344" s="554"/>
      <c r="E344" s="554"/>
      <c r="F344" s="554"/>
      <c r="G344" s="554"/>
      <c r="H344" s="554"/>
      <c r="I344" s="554"/>
      <c r="J344" s="554"/>
      <c r="K344" s="554"/>
      <c r="L344" s="554"/>
      <c r="M344" s="554"/>
      <c r="N344" s="554"/>
      <c r="O344" s="554"/>
      <c r="P344" s="554"/>
      <c r="Q344" s="554"/>
      <c r="R344" s="554"/>
      <c r="S344" s="554"/>
      <c r="T344" s="554"/>
      <c r="U344" s="554"/>
      <c r="V344" s="554"/>
      <c r="W344" s="554"/>
      <c r="X344" s="554"/>
      <c r="Y344" s="554"/>
      <c r="Z344" s="554"/>
      <c r="AA344" s="554"/>
      <c r="AB344" s="554"/>
      <c r="AC344" s="554"/>
      <c r="AD344" s="554"/>
      <c r="AE344" s="554"/>
      <c r="AF344" s="554"/>
      <c r="AG344" s="554"/>
      <c r="AH344" s="554"/>
      <c r="AI344" s="554"/>
      <c r="AJ344" s="554"/>
      <c r="AK344" s="554"/>
      <c r="AL344" s="554"/>
      <c r="AM344" s="554"/>
      <c r="AN344" s="554"/>
      <c r="AO344" s="554"/>
      <c r="AP344" s="554"/>
      <c r="AQ344" s="554"/>
      <c r="AR344" s="554"/>
      <c r="AS344" s="554"/>
      <c r="AT344" s="554"/>
      <c r="AU344" s="554"/>
      <c r="AV344" s="554"/>
      <c r="AW344" s="554"/>
      <c r="AX344" s="554"/>
      <c r="AY344" s="554"/>
      <c r="AZ344" s="554"/>
      <c r="BA344" s="554"/>
      <c r="BB344" s="555"/>
      <c r="BC344" s="544" t="s">
        <v>4</v>
      </c>
      <c r="BD344" s="545"/>
      <c r="BE344" s="545"/>
      <c r="BF344" s="545"/>
      <c r="BG344" s="545"/>
      <c r="BH344" s="545"/>
      <c r="BI344" s="545"/>
      <c r="BJ344" s="545"/>
      <c r="BK344" s="545"/>
      <c r="BL344" s="545"/>
      <c r="BM344" s="545"/>
      <c r="BN344" s="545"/>
      <c r="BO344" s="545"/>
      <c r="BP344" s="545"/>
      <c r="BQ344" s="545"/>
      <c r="BR344" s="546"/>
      <c r="BS344" s="544" t="s">
        <v>4</v>
      </c>
      <c r="BT344" s="545"/>
      <c r="BU344" s="545"/>
      <c r="BV344" s="545"/>
      <c r="BW344" s="545"/>
      <c r="BX344" s="545"/>
      <c r="BY344" s="545"/>
      <c r="BZ344" s="545"/>
      <c r="CA344" s="545"/>
      <c r="CB344" s="545"/>
      <c r="CC344" s="545"/>
      <c r="CD344" s="545"/>
      <c r="CE344" s="545"/>
      <c r="CF344" s="545"/>
      <c r="CG344" s="545"/>
      <c r="CH344" s="546"/>
      <c r="CI344" s="636">
        <f>CI343+CI323+CI317</f>
        <v>0</v>
      </c>
      <c r="CJ344" s="637"/>
      <c r="CK344" s="637"/>
      <c r="CL344" s="637"/>
      <c r="CM344" s="637"/>
      <c r="CN344" s="637"/>
      <c r="CO344" s="637"/>
      <c r="CP344" s="637"/>
      <c r="CQ344" s="637"/>
      <c r="CR344" s="637"/>
      <c r="CS344" s="637"/>
      <c r="CT344" s="637"/>
      <c r="CU344" s="637"/>
      <c r="CV344" s="637"/>
      <c r="CW344" s="637"/>
      <c r="CX344" s="637"/>
      <c r="CY344" s="637"/>
      <c r="CZ344" s="638"/>
    </row>
    <row r="345" spans="1:105" s="20" customFormat="1" hidden="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9"/>
      <c r="CL345" s="229"/>
      <c r="CM345" s="229"/>
      <c r="CN345" s="229"/>
      <c r="CO345" s="229"/>
      <c r="CP345" s="229"/>
      <c r="CQ345" s="229"/>
      <c r="CR345" s="229"/>
      <c r="CS345" s="229"/>
      <c r="CT345" s="229"/>
      <c r="CU345" s="229"/>
      <c r="CV345" s="229"/>
      <c r="CW345" s="229"/>
      <c r="CX345" s="229"/>
      <c r="CY345" s="229"/>
      <c r="CZ345" s="229"/>
    </row>
    <row r="346" spans="1:105" s="20" customFormat="1" x14ac:dyDescent="0.25">
      <c r="A346" s="594" t="s">
        <v>287</v>
      </c>
      <c r="B346" s="594"/>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4"/>
      <c r="AL346" s="594"/>
      <c r="AM346" s="594"/>
      <c r="AN346" s="594"/>
      <c r="AO346" s="594"/>
      <c r="AP346" s="594"/>
      <c r="AQ346" s="594"/>
      <c r="AR346" s="594"/>
      <c r="AS346" s="594"/>
      <c r="AT346" s="594"/>
      <c r="AU346" s="594"/>
      <c r="AV346" s="594"/>
      <c r="AW346" s="594"/>
      <c r="AX346" s="594"/>
      <c r="AY346" s="594"/>
      <c r="AZ346" s="594"/>
      <c r="BA346" s="594"/>
      <c r="BB346" s="594"/>
      <c r="BC346" s="594"/>
      <c r="BD346" s="594"/>
      <c r="BE346" s="594"/>
      <c r="BF346" s="594"/>
      <c r="BG346" s="594"/>
      <c r="BH346" s="594"/>
      <c r="BI346" s="594"/>
      <c r="BJ346" s="594"/>
      <c r="BK346" s="594"/>
      <c r="BL346" s="594"/>
      <c r="BM346" s="594"/>
      <c r="BN346" s="594"/>
      <c r="BO346" s="594"/>
      <c r="BP346" s="594"/>
      <c r="BQ346" s="594"/>
      <c r="BR346" s="594"/>
      <c r="BS346" s="594"/>
      <c r="BT346" s="594"/>
      <c r="BU346" s="594"/>
      <c r="BV346" s="594"/>
      <c r="BW346" s="594"/>
      <c r="BX346" s="594"/>
      <c r="BY346" s="594"/>
      <c r="BZ346" s="594"/>
      <c r="CA346" s="594"/>
      <c r="CB346" s="594"/>
      <c r="CC346" s="594"/>
      <c r="CD346" s="594"/>
      <c r="CE346" s="594"/>
      <c r="CF346" s="594"/>
      <c r="CG346" s="594"/>
      <c r="CH346" s="594"/>
      <c r="CI346" s="594"/>
      <c r="CJ346" s="594"/>
      <c r="CK346" s="594"/>
      <c r="CL346" s="594"/>
      <c r="CM346" s="594"/>
      <c r="CN346" s="594"/>
      <c r="CO346" s="594"/>
      <c r="CP346" s="594"/>
      <c r="CQ346" s="594"/>
      <c r="CR346" s="594"/>
      <c r="CS346" s="594"/>
      <c r="CT346" s="594"/>
      <c r="CU346" s="594"/>
      <c r="CV346" s="594"/>
      <c r="CW346" s="594"/>
      <c r="CX346" s="594"/>
      <c r="CY346" s="594"/>
      <c r="CZ346" s="594"/>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95" t="s">
        <v>587</v>
      </c>
      <c r="X348" s="595"/>
      <c r="Y348" s="595"/>
      <c r="Z348" s="595"/>
      <c r="AA348" s="595"/>
      <c r="AB348" s="595"/>
      <c r="AC348" s="595"/>
      <c r="AD348" s="595"/>
      <c r="AE348" s="595"/>
      <c r="AF348" s="595"/>
      <c r="AG348" s="595"/>
      <c r="AH348" s="595"/>
      <c r="AI348" s="595"/>
      <c r="AJ348" s="595"/>
      <c r="AK348" s="595"/>
      <c r="AL348" s="595"/>
      <c r="AM348" s="595"/>
      <c r="AN348" s="595"/>
      <c r="AO348" s="595"/>
      <c r="AP348" s="595"/>
      <c r="AQ348" s="595"/>
      <c r="AR348" s="595"/>
      <c r="AS348" s="595"/>
      <c r="AT348" s="595"/>
      <c r="AU348" s="595"/>
      <c r="AV348" s="595"/>
      <c r="AW348" s="595"/>
      <c r="AX348" s="595"/>
      <c r="AY348" s="595"/>
      <c r="AZ348" s="595"/>
      <c r="BA348" s="595"/>
      <c r="BB348" s="595"/>
      <c r="BC348" s="595"/>
      <c r="BD348" s="595"/>
      <c r="BE348" s="595"/>
      <c r="BF348" s="595"/>
      <c r="BG348" s="595"/>
      <c r="BH348" s="595"/>
      <c r="BI348" s="595"/>
      <c r="BJ348" s="595"/>
      <c r="BK348" s="595"/>
      <c r="BL348" s="595"/>
      <c r="BM348" s="595"/>
      <c r="BN348" s="595"/>
      <c r="BO348" s="595"/>
      <c r="BP348" s="595"/>
      <c r="BQ348" s="595"/>
      <c r="BR348" s="595"/>
      <c r="BS348" s="595"/>
      <c r="BT348" s="595"/>
      <c r="BU348" s="595"/>
      <c r="BV348" s="595"/>
      <c r="BW348" s="595"/>
      <c r="BX348" s="595"/>
      <c r="BY348" s="595"/>
      <c r="BZ348" s="595"/>
      <c r="CA348" s="595"/>
      <c r="CB348" s="595"/>
      <c r="CC348" s="595"/>
      <c r="CD348" s="595"/>
      <c r="CE348" s="595"/>
      <c r="CF348" s="595"/>
      <c r="CG348" s="595"/>
      <c r="CH348" s="595"/>
      <c r="CI348" s="595"/>
      <c r="CJ348" s="595"/>
      <c r="CK348" s="595"/>
      <c r="CL348" s="595"/>
      <c r="CM348" s="595"/>
      <c r="CN348" s="595"/>
      <c r="CO348" s="595"/>
      <c r="CP348" s="595"/>
      <c r="CQ348" s="595"/>
      <c r="CR348" s="595"/>
      <c r="CS348" s="595"/>
      <c r="CT348" s="595"/>
      <c r="CU348" s="595"/>
      <c r="CV348" s="595"/>
      <c r="CW348" s="595"/>
      <c r="CX348" s="595"/>
      <c r="CY348" s="595"/>
      <c r="CZ348" s="595"/>
      <c r="DA348" s="230">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75" t="s">
        <v>49</v>
      </c>
      <c r="B350" s="476"/>
      <c r="C350" s="476"/>
      <c r="D350" s="476"/>
      <c r="E350" s="476"/>
      <c r="F350" s="476"/>
      <c r="G350" s="477"/>
      <c r="H350" s="475" t="s">
        <v>0</v>
      </c>
      <c r="I350" s="476"/>
      <c r="J350" s="476"/>
      <c r="K350" s="476"/>
      <c r="L350" s="476"/>
      <c r="M350" s="476"/>
      <c r="N350" s="476"/>
      <c r="O350" s="476"/>
      <c r="P350" s="476"/>
      <c r="Q350" s="476"/>
      <c r="R350" s="476"/>
      <c r="S350" s="476"/>
      <c r="T350" s="476"/>
      <c r="U350" s="476"/>
      <c r="V350" s="476"/>
      <c r="W350" s="476"/>
      <c r="X350" s="476"/>
      <c r="Y350" s="476"/>
      <c r="Z350" s="476"/>
      <c r="AA350" s="476"/>
      <c r="AB350" s="476"/>
      <c r="AC350" s="476"/>
      <c r="AD350" s="476"/>
      <c r="AE350" s="476"/>
      <c r="AF350" s="476"/>
      <c r="AG350" s="476"/>
      <c r="AH350" s="476"/>
      <c r="AI350" s="476"/>
      <c r="AJ350" s="476"/>
      <c r="AK350" s="476"/>
      <c r="AL350" s="476"/>
      <c r="AM350" s="476"/>
      <c r="AN350" s="477"/>
      <c r="AO350" s="475" t="s">
        <v>88</v>
      </c>
      <c r="AP350" s="476"/>
      <c r="AQ350" s="476"/>
      <c r="AR350" s="476"/>
      <c r="AS350" s="476"/>
      <c r="AT350" s="476"/>
      <c r="AU350" s="476"/>
      <c r="AV350" s="476"/>
      <c r="AW350" s="476"/>
      <c r="AX350" s="476"/>
      <c r="AY350" s="476"/>
      <c r="AZ350" s="476"/>
      <c r="BA350" s="476"/>
      <c r="BB350" s="476"/>
      <c r="BC350" s="476"/>
      <c r="BD350" s="477"/>
      <c r="BE350" s="475" t="s">
        <v>89</v>
      </c>
      <c r="BF350" s="476"/>
      <c r="BG350" s="476"/>
      <c r="BH350" s="476"/>
      <c r="BI350" s="476"/>
      <c r="BJ350" s="476"/>
      <c r="BK350" s="476"/>
      <c r="BL350" s="476"/>
      <c r="BM350" s="476"/>
      <c r="BN350" s="476"/>
      <c r="BO350" s="476"/>
      <c r="BP350" s="476"/>
      <c r="BQ350" s="476"/>
      <c r="BR350" s="476"/>
      <c r="BS350" s="476"/>
      <c r="BT350" s="477"/>
      <c r="BU350" s="475" t="s">
        <v>90</v>
      </c>
      <c r="BV350" s="476"/>
      <c r="BW350" s="476"/>
      <c r="BX350" s="476"/>
      <c r="BY350" s="476"/>
      <c r="BZ350" s="476"/>
      <c r="CA350" s="476"/>
      <c r="CB350" s="476"/>
      <c r="CC350" s="476"/>
      <c r="CD350" s="476"/>
      <c r="CE350" s="476"/>
      <c r="CF350" s="476"/>
      <c r="CG350" s="476"/>
      <c r="CH350" s="476"/>
      <c r="CI350" s="476"/>
      <c r="CJ350" s="477"/>
      <c r="CK350" s="475" t="s">
        <v>98</v>
      </c>
      <c r="CL350" s="476"/>
      <c r="CM350" s="476"/>
      <c r="CN350" s="476"/>
      <c r="CO350" s="476"/>
      <c r="CP350" s="476"/>
      <c r="CQ350" s="476"/>
      <c r="CR350" s="476"/>
      <c r="CS350" s="476"/>
      <c r="CT350" s="476"/>
      <c r="CU350" s="476"/>
      <c r="CV350" s="476"/>
      <c r="CW350" s="476"/>
      <c r="CX350" s="476"/>
      <c r="CY350" s="476"/>
      <c r="CZ350" s="477"/>
      <c r="DA350" s="218"/>
    </row>
    <row r="351" spans="1:105" s="15" customFormat="1" ht="13.2" x14ac:dyDescent="0.3">
      <c r="A351" s="591">
        <v>1</v>
      </c>
      <c r="B351" s="591"/>
      <c r="C351" s="591"/>
      <c r="D351" s="591"/>
      <c r="E351" s="591"/>
      <c r="F351" s="591"/>
      <c r="G351" s="591"/>
      <c r="H351" s="591">
        <v>2</v>
      </c>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1"/>
      <c r="AL351" s="591"/>
      <c r="AM351" s="591"/>
      <c r="AN351" s="591"/>
      <c r="AO351" s="591">
        <v>3</v>
      </c>
      <c r="AP351" s="591"/>
      <c r="AQ351" s="591"/>
      <c r="AR351" s="591"/>
      <c r="AS351" s="591"/>
      <c r="AT351" s="591"/>
      <c r="AU351" s="591"/>
      <c r="AV351" s="591"/>
      <c r="AW351" s="591"/>
      <c r="AX351" s="591"/>
      <c r="AY351" s="591"/>
      <c r="AZ351" s="591"/>
      <c r="BA351" s="591"/>
      <c r="BB351" s="591"/>
      <c r="BC351" s="591"/>
      <c r="BD351" s="591"/>
      <c r="BE351" s="591">
        <v>4</v>
      </c>
      <c r="BF351" s="591"/>
      <c r="BG351" s="591"/>
      <c r="BH351" s="591"/>
      <c r="BI351" s="591"/>
      <c r="BJ351" s="591"/>
      <c r="BK351" s="591"/>
      <c r="BL351" s="591"/>
      <c r="BM351" s="591"/>
      <c r="BN351" s="591"/>
      <c r="BO351" s="591"/>
      <c r="BP351" s="591"/>
      <c r="BQ351" s="591"/>
      <c r="BR351" s="591"/>
      <c r="BS351" s="591"/>
      <c r="BT351" s="591"/>
      <c r="BU351" s="591">
        <v>5</v>
      </c>
      <c r="BV351" s="591"/>
      <c r="BW351" s="591"/>
      <c r="BX351" s="591"/>
      <c r="BY351" s="591"/>
      <c r="BZ351" s="591"/>
      <c r="CA351" s="591"/>
      <c r="CB351" s="591"/>
      <c r="CC351" s="591"/>
      <c r="CD351" s="591"/>
      <c r="CE351" s="591"/>
      <c r="CF351" s="591"/>
      <c r="CG351" s="591"/>
      <c r="CH351" s="591"/>
      <c r="CI351" s="591"/>
      <c r="CJ351" s="591"/>
      <c r="CK351" s="591">
        <v>6</v>
      </c>
      <c r="CL351" s="591"/>
      <c r="CM351" s="591"/>
      <c r="CN351" s="591"/>
      <c r="CO351" s="591"/>
      <c r="CP351" s="591"/>
      <c r="CQ351" s="591"/>
      <c r="CR351" s="591"/>
      <c r="CS351" s="591"/>
      <c r="CT351" s="591"/>
      <c r="CU351" s="591"/>
      <c r="CV351" s="591"/>
      <c r="CW351" s="591"/>
      <c r="CX351" s="591"/>
      <c r="CY351" s="591"/>
      <c r="CZ351" s="591"/>
      <c r="DA351" s="219"/>
    </row>
    <row r="352" spans="1:105" s="16" customFormat="1" ht="15" customHeight="1" x14ac:dyDescent="0.3">
      <c r="A352" s="656" t="s">
        <v>537</v>
      </c>
      <c r="B352" s="657"/>
      <c r="C352" s="657"/>
      <c r="D352" s="657"/>
      <c r="E352" s="657"/>
      <c r="F352" s="657"/>
      <c r="G352" s="657"/>
      <c r="H352" s="657"/>
      <c r="I352" s="657"/>
      <c r="J352" s="657"/>
      <c r="K352" s="657"/>
      <c r="L352" s="657"/>
      <c r="M352" s="657"/>
      <c r="N352" s="657"/>
      <c r="O352" s="657"/>
      <c r="P352" s="657"/>
      <c r="Q352" s="657"/>
      <c r="R352" s="657"/>
      <c r="S352" s="657"/>
      <c r="T352" s="657"/>
      <c r="U352" s="657"/>
      <c r="V352" s="657"/>
      <c r="W352" s="657"/>
      <c r="X352" s="657"/>
      <c r="Y352" s="657"/>
      <c r="Z352" s="657"/>
      <c r="AA352" s="657"/>
      <c r="AB352" s="657"/>
      <c r="AC352" s="657"/>
      <c r="AD352" s="657"/>
      <c r="AE352" s="657"/>
      <c r="AF352" s="657"/>
      <c r="AG352" s="657"/>
      <c r="AH352" s="657"/>
      <c r="AI352" s="657"/>
      <c r="AJ352" s="657"/>
      <c r="AK352" s="657"/>
      <c r="AL352" s="657"/>
      <c r="AM352" s="657"/>
      <c r="AN352" s="657"/>
      <c r="AO352" s="65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57"/>
      <c r="BQ352" s="657"/>
      <c r="BR352" s="657"/>
      <c r="BS352" s="657"/>
      <c r="BT352" s="657"/>
      <c r="BU352" s="657"/>
      <c r="BV352" s="657"/>
      <c r="BW352" s="657"/>
      <c r="BX352" s="657"/>
      <c r="BY352" s="657"/>
      <c r="BZ352" s="657"/>
      <c r="CA352" s="657"/>
      <c r="CB352" s="657"/>
      <c r="CC352" s="657"/>
      <c r="CD352" s="657"/>
      <c r="CE352" s="657"/>
      <c r="CF352" s="657"/>
      <c r="CG352" s="657"/>
      <c r="CH352" s="657"/>
      <c r="CI352" s="657"/>
      <c r="CJ352" s="657"/>
      <c r="CK352" s="657"/>
      <c r="CL352" s="657"/>
      <c r="CM352" s="657"/>
      <c r="CN352" s="657"/>
      <c r="CO352" s="657"/>
      <c r="CP352" s="657"/>
      <c r="CQ352" s="657"/>
      <c r="CR352" s="657"/>
      <c r="CS352" s="657"/>
      <c r="CT352" s="657"/>
      <c r="CU352" s="657"/>
      <c r="CV352" s="657"/>
      <c r="CW352" s="657"/>
      <c r="CX352" s="657"/>
      <c r="CY352" s="657"/>
      <c r="CZ352" s="658"/>
      <c r="DA352" s="214"/>
    </row>
    <row r="353" spans="1:105" s="16" customFormat="1" ht="15" hidden="1" customHeight="1" x14ac:dyDescent="0.3">
      <c r="A353" s="630" t="s">
        <v>441</v>
      </c>
      <c r="B353" s="631"/>
      <c r="C353" s="631"/>
      <c r="D353" s="631"/>
      <c r="E353" s="631"/>
      <c r="F353" s="631"/>
      <c r="G353" s="632"/>
      <c r="H353" s="584" t="s">
        <v>593</v>
      </c>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5"/>
      <c r="AL353" s="585"/>
      <c r="AM353" s="585"/>
      <c r="AN353" s="586"/>
      <c r="AO353" s="627"/>
      <c r="AP353" s="628"/>
      <c r="AQ353" s="628"/>
      <c r="AR353" s="628"/>
      <c r="AS353" s="628"/>
      <c r="AT353" s="628"/>
      <c r="AU353" s="628"/>
      <c r="AV353" s="628"/>
      <c r="AW353" s="628"/>
      <c r="AX353" s="628"/>
      <c r="AY353" s="628"/>
      <c r="AZ353" s="628"/>
      <c r="BA353" s="628"/>
      <c r="BB353" s="628"/>
      <c r="BC353" s="628"/>
      <c r="BD353" s="629"/>
      <c r="BE353" s="627"/>
      <c r="BF353" s="628"/>
      <c r="BG353" s="628"/>
      <c r="BH353" s="628"/>
      <c r="BI353" s="628"/>
      <c r="BJ353" s="628"/>
      <c r="BK353" s="628"/>
      <c r="BL353" s="628"/>
      <c r="BM353" s="628"/>
      <c r="BN353" s="628"/>
      <c r="BO353" s="628"/>
      <c r="BP353" s="628"/>
      <c r="BQ353" s="628"/>
      <c r="BR353" s="628"/>
      <c r="BS353" s="628"/>
      <c r="BT353" s="629"/>
      <c r="BU353" s="696"/>
      <c r="BV353" s="697"/>
      <c r="BW353" s="697"/>
      <c r="BX353" s="697"/>
      <c r="BY353" s="697"/>
      <c r="BZ353" s="697"/>
      <c r="CA353" s="697"/>
      <c r="CB353" s="697"/>
      <c r="CC353" s="697"/>
      <c r="CD353" s="697"/>
      <c r="CE353" s="697"/>
      <c r="CF353" s="697"/>
      <c r="CG353" s="697"/>
      <c r="CH353" s="697"/>
      <c r="CI353" s="697"/>
      <c r="CJ353" s="698"/>
      <c r="CK353" s="627"/>
      <c r="CL353" s="628"/>
      <c r="CM353" s="628"/>
      <c r="CN353" s="628"/>
      <c r="CO353" s="628"/>
      <c r="CP353" s="628"/>
      <c r="CQ353" s="628"/>
      <c r="CR353" s="628"/>
      <c r="CS353" s="628"/>
      <c r="CT353" s="628"/>
      <c r="CU353" s="628"/>
      <c r="CV353" s="628"/>
      <c r="CW353" s="628"/>
      <c r="CX353" s="628"/>
      <c r="CY353" s="628"/>
      <c r="CZ353" s="629"/>
      <c r="DA353" s="214"/>
    </row>
    <row r="354" spans="1:105" s="16" customFormat="1" ht="15" hidden="1" customHeight="1" x14ac:dyDescent="0.3">
      <c r="A354" s="630" t="s">
        <v>444</v>
      </c>
      <c r="B354" s="631"/>
      <c r="C354" s="631"/>
      <c r="D354" s="631"/>
      <c r="E354" s="631"/>
      <c r="F354" s="631"/>
      <c r="G354" s="632"/>
      <c r="H354" s="584" t="s">
        <v>594</v>
      </c>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5"/>
      <c r="AL354" s="585"/>
      <c r="AM354" s="585"/>
      <c r="AN354" s="586"/>
      <c r="AO354" s="627"/>
      <c r="AP354" s="628"/>
      <c r="AQ354" s="628"/>
      <c r="AR354" s="628"/>
      <c r="AS354" s="628"/>
      <c r="AT354" s="628"/>
      <c r="AU354" s="628"/>
      <c r="AV354" s="628"/>
      <c r="AW354" s="628"/>
      <c r="AX354" s="628"/>
      <c r="AY354" s="628"/>
      <c r="AZ354" s="628"/>
      <c r="BA354" s="628"/>
      <c r="BB354" s="628"/>
      <c r="BC354" s="628"/>
      <c r="BD354" s="629"/>
      <c r="BE354" s="627"/>
      <c r="BF354" s="628"/>
      <c r="BG354" s="628"/>
      <c r="BH354" s="628"/>
      <c r="BI354" s="628"/>
      <c r="BJ354" s="628"/>
      <c r="BK354" s="628"/>
      <c r="BL354" s="628"/>
      <c r="BM354" s="628"/>
      <c r="BN354" s="628"/>
      <c r="BO354" s="628"/>
      <c r="BP354" s="628"/>
      <c r="BQ354" s="628"/>
      <c r="BR354" s="628"/>
      <c r="BS354" s="628"/>
      <c r="BT354" s="629"/>
      <c r="BU354" s="696"/>
      <c r="BV354" s="697"/>
      <c r="BW354" s="697"/>
      <c r="BX354" s="697"/>
      <c r="BY354" s="697"/>
      <c r="BZ354" s="697"/>
      <c r="CA354" s="697"/>
      <c r="CB354" s="697"/>
      <c r="CC354" s="697"/>
      <c r="CD354" s="697"/>
      <c r="CE354" s="697"/>
      <c r="CF354" s="697"/>
      <c r="CG354" s="697"/>
      <c r="CH354" s="697"/>
      <c r="CI354" s="697"/>
      <c r="CJ354" s="698"/>
      <c r="CK354" s="627"/>
      <c r="CL354" s="628"/>
      <c r="CM354" s="628"/>
      <c r="CN354" s="628"/>
      <c r="CO354" s="628"/>
      <c r="CP354" s="628"/>
      <c r="CQ354" s="628"/>
      <c r="CR354" s="628"/>
      <c r="CS354" s="628"/>
      <c r="CT354" s="628"/>
      <c r="CU354" s="628"/>
      <c r="CV354" s="628"/>
      <c r="CW354" s="628"/>
      <c r="CX354" s="628"/>
      <c r="CY354" s="628"/>
      <c r="CZ354" s="629"/>
      <c r="DA354" s="214"/>
    </row>
    <row r="355" spans="1:105" s="16" customFormat="1" ht="15" customHeight="1" x14ac:dyDescent="0.3">
      <c r="A355" s="630" t="s">
        <v>441</v>
      </c>
      <c r="B355" s="631"/>
      <c r="C355" s="631"/>
      <c r="D355" s="631"/>
      <c r="E355" s="631"/>
      <c r="F355" s="631"/>
      <c r="G355" s="632"/>
      <c r="H355" s="584" t="s">
        <v>824</v>
      </c>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5"/>
      <c r="AL355" s="585"/>
      <c r="AM355" s="585"/>
      <c r="AN355" s="586"/>
      <c r="AO355" s="627">
        <v>2400</v>
      </c>
      <c r="AP355" s="628"/>
      <c r="AQ355" s="628"/>
      <c r="AR355" s="628"/>
      <c r="AS355" s="628"/>
      <c r="AT355" s="628"/>
      <c r="AU355" s="628"/>
      <c r="AV355" s="628"/>
      <c r="AW355" s="628"/>
      <c r="AX355" s="628"/>
      <c r="AY355" s="628"/>
      <c r="AZ355" s="628"/>
      <c r="BA355" s="628"/>
      <c r="BB355" s="628"/>
      <c r="BC355" s="628"/>
      <c r="BD355" s="629"/>
      <c r="BE355" s="693">
        <v>26.54</v>
      </c>
      <c r="BF355" s="694"/>
      <c r="BG355" s="694"/>
      <c r="BH355" s="694"/>
      <c r="BI355" s="694"/>
      <c r="BJ355" s="694"/>
      <c r="BK355" s="694"/>
      <c r="BL355" s="694"/>
      <c r="BM355" s="694"/>
      <c r="BN355" s="694"/>
      <c r="BO355" s="694"/>
      <c r="BP355" s="694"/>
      <c r="BQ355" s="694"/>
      <c r="BR355" s="694"/>
      <c r="BS355" s="694"/>
      <c r="BT355" s="695"/>
      <c r="BU355" s="696">
        <v>0.04</v>
      </c>
      <c r="BV355" s="697"/>
      <c r="BW355" s="697"/>
      <c r="BX355" s="697"/>
      <c r="BY355" s="697"/>
      <c r="BZ355" s="697"/>
      <c r="CA355" s="697"/>
      <c r="CB355" s="697"/>
      <c r="CC355" s="697"/>
      <c r="CD355" s="697"/>
      <c r="CE355" s="697"/>
      <c r="CF355" s="697"/>
      <c r="CG355" s="697"/>
      <c r="CH355" s="697"/>
      <c r="CI355" s="697"/>
      <c r="CJ355" s="698"/>
      <c r="CK355" s="627">
        <f>ROUND(AO355*BE355*BU355+(AO355*BE355),2)+0.01</f>
        <v>66243.849999999991</v>
      </c>
      <c r="CL355" s="628"/>
      <c r="CM355" s="628"/>
      <c r="CN355" s="628"/>
      <c r="CO355" s="628"/>
      <c r="CP355" s="628"/>
      <c r="CQ355" s="628"/>
      <c r="CR355" s="628"/>
      <c r="CS355" s="628"/>
      <c r="CT355" s="628"/>
      <c r="CU355" s="628"/>
      <c r="CV355" s="628"/>
      <c r="CW355" s="628"/>
      <c r="CX355" s="628"/>
      <c r="CY355" s="628"/>
      <c r="CZ355" s="629"/>
      <c r="DA355" s="214">
        <v>0.01</v>
      </c>
    </row>
    <row r="356" spans="1:105" s="16" customFormat="1" ht="15" hidden="1" customHeight="1" x14ac:dyDescent="0.3">
      <c r="A356" s="630" t="s">
        <v>444</v>
      </c>
      <c r="B356" s="631"/>
      <c r="C356" s="631"/>
      <c r="D356" s="631"/>
      <c r="E356" s="631"/>
      <c r="F356" s="631"/>
      <c r="G356" s="632"/>
      <c r="H356" s="584" t="s">
        <v>595</v>
      </c>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5"/>
      <c r="AL356" s="585"/>
      <c r="AM356" s="585"/>
      <c r="AN356" s="586"/>
      <c r="AO356" s="627"/>
      <c r="AP356" s="628"/>
      <c r="AQ356" s="628"/>
      <c r="AR356" s="628"/>
      <c r="AS356" s="628"/>
      <c r="AT356" s="628"/>
      <c r="AU356" s="628"/>
      <c r="AV356" s="628"/>
      <c r="AW356" s="628"/>
      <c r="AX356" s="628"/>
      <c r="AY356" s="628"/>
      <c r="AZ356" s="628"/>
      <c r="BA356" s="628"/>
      <c r="BB356" s="628"/>
      <c r="BC356" s="628"/>
      <c r="BD356" s="629"/>
      <c r="BE356" s="693"/>
      <c r="BF356" s="694"/>
      <c r="BG356" s="694"/>
      <c r="BH356" s="694"/>
      <c r="BI356" s="694"/>
      <c r="BJ356" s="694"/>
      <c r="BK356" s="694"/>
      <c r="BL356" s="694"/>
      <c r="BM356" s="694"/>
      <c r="BN356" s="694"/>
      <c r="BO356" s="694"/>
      <c r="BP356" s="694"/>
      <c r="BQ356" s="694"/>
      <c r="BR356" s="694"/>
      <c r="BS356" s="694"/>
      <c r="BT356" s="695"/>
      <c r="BU356" s="696"/>
      <c r="BV356" s="697"/>
      <c r="BW356" s="697"/>
      <c r="BX356" s="697"/>
      <c r="BY356" s="697"/>
      <c r="BZ356" s="697"/>
      <c r="CA356" s="697"/>
      <c r="CB356" s="697"/>
      <c r="CC356" s="697"/>
      <c r="CD356" s="697"/>
      <c r="CE356" s="697"/>
      <c r="CF356" s="697"/>
      <c r="CG356" s="697"/>
      <c r="CH356" s="697"/>
      <c r="CI356" s="697"/>
      <c r="CJ356" s="698"/>
      <c r="CK356" s="702">
        <f t="shared" ref="CK356:CK359" si="3">ROUND(AO356*BE356*BU356+(AO356*BE356),2)</f>
        <v>0</v>
      </c>
      <c r="CL356" s="703"/>
      <c r="CM356" s="703"/>
      <c r="CN356" s="703"/>
      <c r="CO356" s="703"/>
      <c r="CP356" s="703"/>
      <c r="CQ356" s="703"/>
      <c r="CR356" s="703"/>
      <c r="CS356" s="703"/>
      <c r="CT356" s="703"/>
      <c r="CU356" s="703"/>
      <c r="CV356" s="703"/>
      <c r="CW356" s="703"/>
      <c r="CX356" s="703"/>
      <c r="CY356" s="703"/>
      <c r="CZ356" s="704"/>
      <c r="DA356" s="214"/>
    </row>
    <row r="357" spans="1:105" s="16" customFormat="1" ht="15" customHeight="1" x14ac:dyDescent="0.3">
      <c r="A357" s="630" t="s">
        <v>444</v>
      </c>
      <c r="B357" s="631"/>
      <c r="C357" s="631"/>
      <c r="D357" s="631"/>
      <c r="E357" s="631"/>
      <c r="F357" s="631"/>
      <c r="G357" s="632"/>
      <c r="H357" s="584" t="s">
        <v>596</v>
      </c>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5"/>
      <c r="AL357" s="585"/>
      <c r="AM357" s="585"/>
      <c r="AN357" s="586"/>
      <c r="AO357" s="627">
        <v>2400</v>
      </c>
      <c r="AP357" s="628"/>
      <c r="AQ357" s="628"/>
      <c r="AR357" s="628"/>
      <c r="AS357" s="628"/>
      <c r="AT357" s="628"/>
      <c r="AU357" s="628"/>
      <c r="AV357" s="628"/>
      <c r="AW357" s="628"/>
      <c r="AX357" s="628"/>
      <c r="AY357" s="628"/>
      <c r="AZ357" s="628"/>
      <c r="BA357" s="628"/>
      <c r="BB357" s="628"/>
      <c r="BC357" s="628"/>
      <c r="BD357" s="629"/>
      <c r="BE357" s="693">
        <v>48.79</v>
      </c>
      <c r="BF357" s="694"/>
      <c r="BG357" s="694"/>
      <c r="BH357" s="694"/>
      <c r="BI357" s="694"/>
      <c r="BJ357" s="694"/>
      <c r="BK357" s="694"/>
      <c r="BL357" s="694"/>
      <c r="BM357" s="694"/>
      <c r="BN357" s="694"/>
      <c r="BO357" s="694"/>
      <c r="BP357" s="694"/>
      <c r="BQ357" s="694"/>
      <c r="BR357" s="694"/>
      <c r="BS357" s="694"/>
      <c r="BT357" s="695"/>
      <c r="BU357" s="696">
        <v>0.04</v>
      </c>
      <c r="BV357" s="697"/>
      <c r="BW357" s="697"/>
      <c r="BX357" s="697"/>
      <c r="BY357" s="697"/>
      <c r="BZ357" s="697"/>
      <c r="CA357" s="697"/>
      <c r="CB357" s="697"/>
      <c r="CC357" s="697"/>
      <c r="CD357" s="697"/>
      <c r="CE357" s="697"/>
      <c r="CF357" s="697"/>
      <c r="CG357" s="697"/>
      <c r="CH357" s="697"/>
      <c r="CI357" s="697"/>
      <c r="CJ357" s="698"/>
      <c r="CK357" s="627">
        <f>ROUND(AO357*BE357*BU357+(AO357*BE357),2)-0.5</f>
        <v>121779.34</v>
      </c>
      <c r="CL357" s="628"/>
      <c r="CM357" s="628"/>
      <c r="CN357" s="628"/>
      <c r="CO357" s="628"/>
      <c r="CP357" s="628"/>
      <c r="CQ357" s="628"/>
      <c r="CR357" s="628"/>
      <c r="CS357" s="628"/>
      <c r="CT357" s="628"/>
      <c r="CU357" s="628"/>
      <c r="CV357" s="628"/>
      <c r="CW357" s="628"/>
      <c r="CX357" s="628"/>
      <c r="CY357" s="628"/>
      <c r="CZ357" s="629"/>
      <c r="DA357" s="214">
        <v>-0.5</v>
      </c>
    </row>
    <row r="358" spans="1:105" s="16" customFormat="1" ht="39.6" customHeight="1" x14ac:dyDescent="0.3">
      <c r="A358" s="630" t="s">
        <v>446</v>
      </c>
      <c r="B358" s="631"/>
      <c r="C358" s="631"/>
      <c r="D358" s="631"/>
      <c r="E358" s="631"/>
      <c r="F358" s="631"/>
      <c r="G358" s="632"/>
      <c r="H358" s="584" t="s">
        <v>597</v>
      </c>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5"/>
      <c r="AL358" s="585"/>
      <c r="AM358" s="585"/>
      <c r="AN358" s="586"/>
      <c r="AO358" s="627">
        <v>2400</v>
      </c>
      <c r="AP358" s="628"/>
      <c r="AQ358" s="628"/>
      <c r="AR358" s="628"/>
      <c r="AS358" s="628"/>
      <c r="AT358" s="628"/>
      <c r="AU358" s="628"/>
      <c r="AV358" s="628"/>
      <c r="AW358" s="628"/>
      <c r="AX358" s="628"/>
      <c r="AY358" s="628"/>
      <c r="AZ358" s="628"/>
      <c r="BA358" s="628"/>
      <c r="BB358" s="628"/>
      <c r="BC358" s="628"/>
      <c r="BD358" s="629"/>
      <c r="BE358" s="693">
        <v>24.38</v>
      </c>
      <c r="BF358" s="694"/>
      <c r="BG358" s="694"/>
      <c r="BH358" s="694"/>
      <c r="BI358" s="694"/>
      <c r="BJ358" s="694"/>
      <c r="BK358" s="694"/>
      <c r="BL358" s="694"/>
      <c r="BM358" s="694"/>
      <c r="BN358" s="694"/>
      <c r="BO358" s="694"/>
      <c r="BP358" s="694"/>
      <c r="BQ358" s="694"/>
      <c r="BR358" s="694"/>
      <c r="BS358" s="694"/>
      <c r="BT358" s="695"/>
      <c r="BU358" s="696">
        <v>0.04</v>
      </c>
      <c r="BV358" s="697"/>
      <c r="BW358" s="697"/>
      <c r="BX358" s="697"/>
      <c r="BY358" s="697"/>
      <c r="BZ358" s="697"/>
      <c r="CA358" s="697"/>
      <c r="CB358" s="697"/>
      <c r="CC358" s="697"/>
      <c r="CD358" s="697"/>
      <c r="CE358" s="697"/>
      <c r="CF358" s="697"/>
      <c r="CG358" s="697"/>
      <c r="CH358" s="697"/>
      <c r="CI358" s="697"/>
      <c r="CJ358" s="698"/>
      <c r="CK358" s="627">
        <f>ROUND(AO358*BE358*BU358+(AO358*BE358),2)-0.01</f>
        <v>60852.47</v>
      </c>
      <c r="CL358" s="628"/>
      <c r="CM358" s="628"/>
      <c r="CN358" s="628"/>
      <c r="CO358" s="628"/>
      <c r="CP358" s="628"/>
      <c r="CQ358" s="628"/>
      <c r="CR358" s="628"/>
      <c r="CS358" s="628"/>
      <c r="CT358" s="628"/>
      <c r="CU358" s="628"/>
      <c r="CV358" s="628"/>
      <c r="CW358" s="628"/>
      <c r="CX358" s="628"/>
      <c r="CY358" s="628"/>
      <c r="CZ358" s="629"/>
      <c r="DA358" s="220">
        <v>-0.01</v>
      </c>
    </row>
    <row r="359" spans="1:105" s="16" customFormat="1" ht="46.5" hidden="1" customHeight="1" x14ac:dyDescent="0.3">
      <c r="A359" s="630" t="s">
        <v>551</v>
      </c>
      <c r="B359" s="631"/>
      <c r="C359" s="631"/>
      <c r="D359" s="631"/>
      <c r="E359" s="631"/>
      <c r="F359" s="631"/>
      <c r="G359" s="632"/>
      <c r="H359" s="584" t="s">
        <v>598</v>
      </c>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5"/>
      <c r="AL359" s="585"/>
      <c r="AM359" s="585"/>
      <c r="AN359" s="586"/>
      <c r="AO359" s="627"/>
      <c r="AP359" s="628"/>
      <c r="AQ359" s="628"/>
      <c r="AR359" s="628"/>
      <c r="AS359" s="628"/>
      <c r="AT359" s="628"/>
      <c r="AU359" s="628"/>
      <c r="AV359" s="628"/>
      <c r="AW359" s="628"/>
      <c r="AX359" s="628"/>
      <c r="AY359" s="628"/>
      <c r="AZ359" s="628"/>
      <c r="BA359" s="628"/>
      <c r="BB359" s="628"/>
      <c r="BC359" s="628"/>
      <c r="BD359" s="629"/>
      <c r="BE359" s="693">
        <v>94.711068600000004</v>
      </c>
      <c r="BF359" s="694"/>
      <c r="BG359" s="694"/>
      <c r="BH359" s="694"/>
      <c r="BI359" s="694"/>
      <c r="BJ359" s="694"/>
      <c r="BK359" s="694"/>
      <c r="BL359" s="694"/>
      <c r="BM359" s="694"/>
      <c r="BN359" s="694"/>
      <c r="BO359" s="694"/>
      <c r="BP359" s="694"/>
      <c r="BQ359" s="694"/>
      <c r="BR359" s="694"/>
      <c r="BS359" s="694"/>
      <c r="BT359" s="695"/>
      <c r="BU359" s="696">
        <v>8.3000000000000004E-2</v>
      </c>
      <c r="BV359" s="697"/>
      <c r="BW359" s="697"/>
      <c r="BX359" s="697"/>
      <c r="BY359" s="697"/>
      <c r="BZ359" s="697"/>
      <c r="CA359" s="697"/>
      <c r="CB359" s="697"/>
      <c r="CC359" s="697"/>
      <c r="CD359" s="697"/>
      <c r="CE359" s="697"/>
      <c r="CF359" s="697"/>
      <c r="CG359" s="697"/>
      <c r="CH359" s="697"/>
      <c r="CI359" s="697"/>
      <c r="CJ359" s="698"/>
      <c r="CK359" s="702">
        <f t="shared" si="3"/>
        <v>0</v>
      </c>
      <c r="CL359" s="703"/>
      <c r="CM359" s="703"/>
      <c r="CN359" s="703"/>
      <c r="CO359" s="703"/>
      <c r="CP359" s="703"/>
      <c r="CQ359" s="703"/>
      <c r="CR359" s="703"/>
      <c r="CS359" s="703"/>
      <c r="CT359" s="703"/>
      <c r="CU359" s="703"/>
      <c r="CV359" s="703"/>
      <c r="CW359" s="703"/>
      <c r="CX359" s="703"/>
      <c r="CY359" s="703"/>
      <c r="CZ359" s="704"/>
      <c r="DA359" s="214"/>
    </row>
    <row r="360" spans="1:105" s="16" customFormat="1" ht="39" customHeight="1" x14ac:dyDescent="0.3">
      <c r="A360" s="630" t="s">
        <v>477</v>
      </c>
      <c r="B360" s="631"/>
      <c r="C360" s="631"/>
      <c r="D360" s="631"/>
      <c r="E360" s="631"/>
      <c r="F360" s="631"/>
      <c r="G360" s="632"/>
      <c r="H360" s="584" t="s">
        <v>600</v>
      </c>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5"/>
      <c r="AL360" s="585"/>
      <c r="AM360" s="585"/>
      <c r="AN360" s="586"/>
      <c r="AO360" s="627">
        <v>225</v>
      </c>
      <c r="AP360" s="628"/>
      <c r="AQ360" s="628"/>
      <c r="AR360" s="628"/>
      <c r="AS360" s="628"/>
      <c r="AT360" s="628"/>
      <c r="AU360" s="628"/>
      <c r="AV360" s="628"/>
      <c r="AW360" s="628"/>
      <c r="AX360" s="628"/>
      <c r="AY360" s="628"/>
      <c r="AZ360" s="628"/>
      <c r="BA360" s="628"/>
      <c r="BB360" s="628"/>
      <c r="BC360" s="628"/>
      <c r="BD360" s="629"/>
      <c r="BE360" s="693">
        <v>1075.9100000000001</v>
      </c>
      <c r="BF360" s="694"/>
      <c r="BG360" s="694"/>
      <c r="BH360" s="694"/>
      <c r="BI360" s="694"/>
      <c r="BJ360" s="694"/>
      <c r="BK360" s="694"/>
      <c r="BL360" s="694"/>
      <c r="BM360" s="694"/>
      <c r="BN360" s="694"/>
      <c r="BO360" s="694"/>
      <c r="BP360" s="694"/>
      <c r="BQ360" s="694"/>
      <c r="BR360" s="694"/>
      <c r="BS360" s="694"/>
      <c r="BT360" s="695"/>
      <c r="BU360" s="696">
        <v>0.04</v>
      </c>
      <c r="BV360" s="697"/>
      <c r="BW360" s="697"/>
      <c r="BX360" s="697"/>
      <c r="BY360" s="697"/>
      <c r="BZ360" s="697"/>
      <c r="CA360" s="697"/>
      <c r="CB360" s="697"/>
      <c r="CC360" s="697"/>
      <c r="CD360" s="697"/>
      <c r="CE360" s="697"/>
      <c r="CF360" s="697"/>
      <c r="CG360" s="697"/>
      <c r="CH360" s="697"/>
      <c r="CI360" s="697"/>
      <c r="CJ360" s="698"/>
      <c r="CK360" s="627">
        <f>ROUND(AO360*BE360*BU360+(AO360*BE360),2)+0.01</f>
        <v>251762.95</v>
      </c>
      <c r="CL360" s="628"/>
      <c r="CM360" s="628"/>
      <c r="CN360" s="628"/>
      <c r="CO360" s="628"/>
      <c r="CP360" s="628"/>
      <c r="CQ360" s="628"/>
      <c r="CR360" s="628"/>
      <c r="CS360" s="628"/>
      <c r="CT360" s="628"/>
      <c r="CU360" s="628"/>
      <c r="CV360" s="628"/>
      <c r="CW360" s="628"/>
      <c r="CX360" s="628"/>
      <c r="CY360" s="628"/>
      <c r="CZ360" s="629"/>
      <c r="DA360" s="214">
        <v>0.01</v>
      </c>
    </row>
    <row r="361" spans="1:105" s="16" customFormat="1" ht="15" customHeight="1" x14ac:dyDescent="0.3">
      <c r="A361" s="553" t="s">
        <v>292</v>
      </c>
      <c r="B361" s="554"/>
      <c r="C361" s="554"/>
      <c r="D361" s="554"/>
      <c r="E361" s="554"/>
      <c r="F361" s="554"/>
      <c r="G361" s="554"/>
      <c r="H361" s="554"/>
      <c r="I361" s="554"/>
      <c r="J361" s="554"/>
      <c r="K361" s="554"/>
      <c r="L361" s="554"/>
      <c r="M361" s="554"/>
      <c r="N361" s="554"/>
      <c r="O361" s="554"/>
      <c r="P361" s="554"/>
      <c r="Q361" s="554"/>
      <c r="R361" s="554"/>
      <c r="S361" s="554"/>
      <c r="T361" s="554"/>
      <c r="U361" s="554"/>
      <c r="V361" s="554"/>
      <c r="W361" s="554"/>
      <c r="X361" s="554"/>
      <c r="Y361" s="554"/>
      <c r="Z361" s="554"/>
      <c r="AA361" s="554"/>
      <c r="AB361" s="554"/>
      <c r="AC361" s="554"/>
      <c r="AD361" s="554"/>
      <c r="AE361" s="554"/>
      <c r="AF361" s="554"/>
      <c r="AG361" s="554"/>
      <c r="AH361" s="554"/>
      <c r="AI361" s="554"/>
      <c r="AJ361" s="554"/>
      <c r="AK361" s="554"/>
      <c r="AL361" s="554"/>
      <c r="AM361" s="554"/>
      <c r="AN361" s="555"/>
      <c r="AO361" s="544" t="s">
        <v>4</v>
      </c>
      <c r="AP361" s="545"/>
      <c r="AQ361" s="545"/>
      <c r="AR361" s="545"/>
      <c r="AS361" s="545"/>
      <c r="AT361" s="545"/>
      <c r="AU361" s="545"/>
      <c r="AV361" s="545"/>
      <c r="AW361" s="545"/>
      <c r="AX361" s="545"/>
      <c r="AY361" s="545"/>
      <c r="AZ361" s="545"/>
      <c r="BA361" s="545"/>
      <c r="BB361" s="545"/>
      <c r="BC361" s="545"/>
      <c r="BD361" s="546"/>
      <c r="BE361" s="544" t="s">
        <v>4</v>
      </c>
      <c r="BF361" s="545"/>
      <c r="BG361" s="545"/>
      <c r="BH361" s="545"/>
      <c r="BI361" s="545"/>
      <c r="BJ361" s="545"/>
      <c r="BK361" s="545"/>
      <c r="BL361" s="545"/>
      <c r="BM361" s="545"/>
      <c r="BN361" s="545"/>
      <c r="BO361" s="545"/>
      <c r="BP361" s="545"/>
      <c r="BQ361" s="545"/>
      <c r="BR361" s="545"/>
      <c r="BS361" s="545"/>
      <c r="BT361" s="546"/>
      <c r="BU361" s="544" t="s">
        <v>4</v>
      </c>
      <c r="BV361" s="545"/>
      <c r="BW361" s="545"/>
      <c r="BX361" s="545"/>
      <c r="BY361" s="545"/>
      <c r="BZ361" s="545"/>
      <c r="CA361" s="545"/>
      <c r="CB361" s="545"/>
      <c r="CC361" s="545"/>
      <c r="CD361" s="545"/>
      <c r="CE361" s="545"/>
      <c r="CF361" s="545"/>
      <c r="CG361" s="545"/>
      <c r="CH361" s="545"/>
      <c r="CI361" s="545"/>
      <c r="CJ361" s="546"/>
      <c r="CK361" s="636">
        <f>SUM(CK355:CZ360)</f>
        <v>500638.61</v>
      </c>
      <c r="CL361" s="654"/>
      <c r="CM361" s="654"/>
      <c r="CN361" s="654"/>
      <c r="CO361" s="654"/>
      <c r="CP361" s="654"/>
      <c r="CQ361" s="654"/>
      <c r="CR361" s="654"/>
      <c r="CS361" s="654"/>
      <c r="CT361" s="654"/>
      <c r="CU361" s="654"/>
      <c r="CV361" s="654"/>
      <c r="CW361" s="654"/>
      <c r="CX361" s="654"/>
      <c r="CY361" s="654"/>
      <c r="CZ361" s="655"/>
      <c r="DA361" s="214"/>
    </row>
    <row r="362" spans="1:105" s="16" customFormat="1" ht="15" customHeight="1" x14ac:dyDescent="0.3">
      <c r="A362" s="656" t="s">
        <v>591</v>
      </c>
      <c r="B362" s="657"/>
      <c r="C362" s="657"/>
      <c r="D362" s="657"/>
      <c r="E362" s="657"/>
      <c r="F362" s="657"/>
      <c r="G362" s="657"/>
      <c r="H362" s="657"/>
      <c r="I362" s="657"/>
      <c r="J362" s="657"/>
      <c r="K362" s="657"/>
      <c r="L362" s="657"/>
      <c r="M362" s="657"/>
      <c r="N362" s="657"/>
      <c r="O362" s="657"/>
      <c r="P362" s="657"/>
      <c r="Q362" s="657"/>
      <c r="R362" s="657"/>
      <c r="S362" s="657"/>
      <c r="T362" s="657"/>
      <c r="U362" s="657"/>
      <c r="V362" s="657"/>
      <c r="W362" s="657"/>
      <c r="X362" s="657"/>
      <c r="Y362" s="657"/>
      <c r="Z362" s="657"/>
      <c r="AA362" s="657"/>
      <c r="AB362" s="657"/>
      <c r="AC362" s="657"/>
      <c r="AD362" s="657"/>
      <c r="AE362" s="657"/>
      <c r="AF362" s="657"/>
      <c r="AG362" s="657"/>
      <c r="AH362" s="657"/>
      <c r="AI362" s="657"/>
      <c r="AJ362" s="657"/>
      <c r="AK362" s="657"/>
      <c r="AL362" s="657"/>
      <c r="AM362" s="657"/>
      <c r="AN362" s="657"/>
      <c r="AO362" s="65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57"/>
      <c r="BQ362" s="657"/>
      <c r="BR362" s="657"/>
      <c r="BS362" s="657"/>
      <c r="BT362" s="657"/>
      <c r="BU362" s="657"/>
      <c r="BV362" s="657"/>
      <c r="BW362" s="657"/>
      <c r="BX362" s="657"/>
      <c r="BY362" s="657"/>
      <c r="BZ362" s="657"/>
      <c r="CA362" s="657"/>
      <c r="CB362" s="657"/>
      <c r="CC362" s="657"/>
      <c r="CD362" s="657"/>
      <c r="CE362" s="657"/>
      <c r="CF362" s="657"/>
      <c r="CG362" s="657"/>
      <c r="CH362" s="657"/>
      <c r="CI362" s="657"/>
      <c r="CJ362" s="657"/>
      <c r="CK362" s="657"/>
      <c r="CL362" s="657"/>
      <c r="CM362" s="657"/>
      <c r="CN362" s="657"/>
      <c r="CO362" s="657"/>
      <c r="CP362" s="657"/>
      <c r="CQ362" s="657"/>
      <c r="CR362" s="657"/>
      <c r="CS362" s="657"/>
      <c r="CT362" s="657"/>
      <c r="CU362" s="657"/>
      <c r="CV362" s="657"/>
      <c r="CW362" s="657"/>
      <c r="CX362" s="657"/>
      <c r="CY362" s="657"/>
      <c r="CZ362" s="658"/>
      <c r="DA362" s="214"/>
    </row>
    <row r="363" spans="1:105" s="16" customFormat="1" ht="15" hidden="1" customHeight="1" x14ac:dyDescent="0.3">
      <c r="A363" s="630" t="s">
        <v>441</v>
      </c>
      <c r="B363" s="631"/>
      <c r="C363" s="631"/>
      <c r="D363" s="631"/>
      <c r="E363" s="631"/>
      <c r="F363" s="631"/>
      <c r="G363" s="632"/>
      <c r="H363" s="584" t="s">
        <v>593</v>
      </c>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5"/>
      <c r="AL363" s="585"/>
      <c r="AM363" s="585"/>
      <c r="AN363" s="586"/>
      <c r="AO363" s="544"/>
      <c r="AP363" s="545"/>
      <c r="AQ363" s="545"/>
      <c r="AR363" s="545"/>
      <c r="AS363" s="545"/>
      <c r="AT363" s="545"/>
      <c r="AU363" s="545"/>
      <c r="AV363" s="545"/>
      <c r="AW363" s="545"/>
      <c r="AX363" s="545"/>
      <c r="AY363" s="545"/>
      <c r="AZ363" s="545"/>
      <c r="BA363" s="545"/>
      <c r="BB363" s="545"/>
      <c r="BC363" s="545"/>
      <c r="BD363" s="546"/>
      <c r="BE363" s="627"/>
      <c r="BF363" s="628"/>
      <c r="BG363" s="628"/>
      <c r="BH363" s="628"/>
      <c r="BI363" s="628"/>
      <c r="BJ363" s="628"/>
      <c r="BK363" s="628"/>
      <c r="BL363" s="628"/>
      <c r="BM363" s="628"/>
      <c r="BN363" s="628"/>
      <c r="BO363" s="628"/>
      <c r="BP363" s="628"/>
      <c r="BQ363" s="628"/>
      <c r="BR363" s="628"/>
      <c r="BS363" s="628"/>
      <c r="BT363" s="629"/>
      <c r="BU363" s="696"/>
      <c r="BV363" s="697"/>
      <c r="BW363" s="697"/>
      <c r="BX363" s="697"/>
      <c r="BY363" s="697"/>
      <c r="BZ363" s="697"/>
      <c r="CA363" s="697"/>
      <c r="CB363" s="697"/>
      <c r="CC363" s="697"/>
      <c r="CD363" s="697"/>
      <c r="CE363" s="697"/>
      <c r="CF363" s="697"/>
      <c r="CG363" s="697"/>
      <c r="CH363" s="697"/>
      <c r="CI363" s="697"/>
      <c r="CJ363" s="698"/>
      <c r="CK363" s="627"/>
      <c r="CL363" s="628"/>
      <c r="CM363" s="628"/>
      <c r="CN363" s="628"/>
      <c r="CO363" s="628"/>
      <c r="CP363" s="628"/>
      <c r="CQ363" s="628"/>
      <c r="CR363" s="628"/>
      <c r="CS363" s="628"/>
      <c r="CT363" s="628"/>
      <c r="CU363" s="628"/>
      <c r="CV363" s="628"/>
      <c r="CW363" s="628"/>
      <c r="CX363" s="628"/>
      <c r="CY363" s="628"/>
      <c r="CZ363" s="629"/>
      <c r="DA363" s="214"/>
    </row>
    <row r="364" spans="1:105" s="16" customFormat="1" ht="43.95" customHeight="1" x14ac:dyDescent="0.3">
      <c r="A364" s="630" t="s">
        <v>441</v>
      </c>
      <c r="B364" s="631"/>
      <c r="C364" s="631"/>
      <c r="D364" s="631"/>
      <c r="E364" s="631"/>
      <c r="F364" s="631"/>
      <c r="G364" s="632"/>
      <c r="H364" s="584" t="s">
        <v>927</v>
      </c>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5"/>
      <c r="AL364" s="585"/>
      <c r="AM364" s="585"/>
      <c r="AN364" s="586"/>
      <c r="AO364" s="627">
        <v>70</v>
      </c>
      <c r="AP364" s="628"/>
      <c r="AQ364" s="628"/>
      <c r="AR364" s="628"/>
      <c r="AS364" s="628"/>
      <c r="AT364" s="628"/>
      <c r="AU364" s="628"/>
      <c r="AV364" s="628"/>
      <c r="AW364" s="628"/>
      <c r="AX364" s="628"/>
      <c r="AY364" s="628"/>
      <c r="AZ364" s="628"/>
      <c r="BA364" s="628"/>
      <c r="BB364" s="628"/>
      <c r="BC364" s="628"/>
      <c r="BD364" s="629"/>
      <c r="BE364" s="693">
        <v>1075.9100000000001</v>
      </c>
      <c r="BF364" s="694"/>
      <c r="BG364" s="694"/>
      <c r="BH364" s="694"/>
      <c r="BI364" s="694"/>
      <c r="BJ364" s="694"/>
      <c r="BK364" s="694"/>
      <c r="BL364" s="694"/>
      <c r="BM364" s="694"/>
      <c r="BN364" s="694"/>
      <c r="BO364" s="694"/>
      <c r="BP364" s="694"/>
      <c r="BQ364" s="694"/>
      <c r="BR364" s="694"/>
      <c r="BS364" s="694"/>
      <c r="BT364" s="695"/>
      <c r="BU364" s="696">
        <v>0.04</v>
      </c>
      <c r="BV364" s="697"/>
      <c r="BW364" s="697"/>
      <c r="BX364" s="697"/>
      <c r="BY364" s="697"/>
      <c r="BZ364" s="697"/>
      <c r="CA364" s="697"/>
      <c r="CB364" s="697"/>
      <c r="CC364" s="697"/>
      <c r="CD364" s="697"/>
      <c r="CE364" s="697"/>
      <c r="CF364" s="697"/>
      <c r="CG364" s="697"/>
      <c r="CH364" s="697"/>
      <c r="CI364" s="697"/>
      <c r="CJ364" s="698"/>
      <c r="CK364" s="627">
        <f>ROUND(AO364*BE364*BU364+(AO364*BE364),2)</f>
        <v>78326.25</v>
      </c>
      <c r="CL364" s="628"/>
      <c r="CM364" s="628"/>
      <c r="CN364" s="628"/>
      <c r="CO364" s="628"/>
      <c r="CP364" s="628"/>
      <c r="CQ364" s="628"/>
      <c r="CR364" s="628"/>
      <c r="CS364" s="628"/>
      <c r="CT364" s="628"/>
      <c r="CU364" s="628"/>
      <c r="CV364" s="628"/>
      <c r="CW364" s="628"/>
      <c r="CX364" s="628"/>
      <c r="CY364" s="628"/>
      <c r="CZ364" s="629"/>
      <c r="DA364" s="214"/>
    </row>
    <row r="365" spans="1:105" s="16" customFormat="1" ht="15" customHeight="1" x14ac:dyDescent="0.3">
      <c r="A365" s="630" t="s">
        <v>444</v>
      </c>
      <c r="B365" s="631"/>
      <c r="C365" s="631"/>
      <c r="D365" s="631"/>
      <c r="E365" s="631"/>
      <c r="F365" s="631"/>
      <c r="G365" s="632"/>
      <c r="H365" s="584" t="s">
        <v>824</v>
      </c>
      <c r="I365" s="585"/>
      <c r="J365" s="585"/>
      <c r="K365" s="585"/>
      <c r="L365" s="585"/>
      <c r="M365" s="585"/>
      <c r="N365" s="585"/>
      <c r="O365" s="585"/>
      <c r="P365" s="585"/>
      <c r="Q365" s="585"/>
      <c r="R365" s="585"/>
      <c r="S365" s="585"/>
      <c r="T365" s="585"/>
      <c r="U365" s="585"/>
      <c r="V365" s="585"/>
      <c r="W365" s="585"/>
      <c r="X365" s="585"/>
      <c r="Y365" s="585"/>
      <c r="Z365" s="585"/>
      <c r="AA365" s="585"/>
      <c r="AB365" s="585"/>
      <c r="AC365" s="585"/>
      <c r="AD365" s="585"/>
      <c r="AE365" s="585"/>
      <c r="AF365" s="585"/>
      <c r="AG365" s="585"/>
      <c r="AH365" s="585"/>
      <c r="AI365" s="585"/>
      <c r="AJ365" s="585"/>
      <c r="AK365" s="585"/>
      <c r="AL365" s="585"/>
      <c r="AM365" s="585"/>
      <c r="AN365" s="586"/>
      <c r="AO365" s="639">
        <v>2400</v>
      </c>
      <c r="AP365" s="640"/>
      <c r="AQ365" s="640"/>
      <c r="AR365" s="640"/>
      <c r="AS365" s="640"/>
      <c r="AT365" s="640"/>
      <c r="AU365" s="640"/>
      <c r="AV365" s="640"/>
      <c r="AW365" s="640"/>
      <c r="AX365" s="640"/>
      <c r="AY365" s="640"/>
      <c r="AZ365" s="640"/>
      <c r="BA365" s="640"/>
      <c r="BB365" s="640"/>
      <c r="BC365" s="640"/>
      <c r="BD365" s="641"/>
      <c r="BE365" s="693">
        <v>26.54</v>
      </c>
      <c r="BF365" s="694"/>
      <c r="BG365" s="694"/>
      <c r="BH365" s="694"/>
      <c r="BI365" s="694"/>
      <c r="BJ365" s="694"/>
      <c r="BK365" s="694"/>
      <c r="BL365" s="694"/>
      <c r="BM365" s="694"/>
      <c r="BN365" s="694"/>
      <c r="BO365" s="694"/>
      <c r="BP365" s="694"/>
      <c r="BQ365" s="694"/>
      <c r="BR365" s="694"/>
      <c r="BS365" s="694"/>
      <c r="BT365" s="695"/>
      <c r="BU365" s="696">
        <v>0.04</v>
      </c>
      <c r="BV365" s="697"/>
      <c r="BW365" s="697"/>
      <c r="BX365" s="697"/>
      <c r="BY365" s="697"/>
      <c r="BZ365" s="697"/>
      <c r="CA365" s="697"/>
      <c r="CB365" s="697"/>
      <c r="CC365" s="697"/>
      <c r="CD365" s="697"/>
      <c r="CE365" s="697"/>
      <c r="CF365" s="697"/>
      <c r="CG365" s="697"/>
      <c r="CH365" s="697"/>
      <c r="CI365" s="697"/>
      <c r="CJ365" s="698"/>
      <c r="CK365" s="627">
        <f>ROUND(AO365*BE365*BU365+(AO365*BE365),2)</f>
        <v>66243.839999999997</v>
      </c>
      <c r="CL365" s="628"/>
      <c r="CM365" s="628"/>
      <c r="CN365" s="628"/>
      <c r="CO365" s="628"/>
      <c r="CP365" s="628"/>
      <c r="CQ365" s="628"/>
      <c r="CR365" s="628"/>
      <c r="CS365" s="628"/>
      <c r="CT365" s="628"/>
      <c r="CU365" s="628"/>
      <c r="CV365" s="628"/>
      <c r="CW365" s="628"/>
      <c r="CX365" s="628"/>
      <c r="CY365" s="628"/>
      <c r="CZ365" s="629"/>
      <c r="DA365" s="214"/>
    </row>
    <row r="366" spans="1:105" s="16" customFormat="1" ht="15" hidden="1" customHeight="1" x14ac:dyDescent="0.3">
      <c r="A366" s="630" t="s">
        <v>444</v>
      </c>
      <c r="B366" s="631"/>
      <c r="C366" s="631"/>
      <c r="D366" s="631"/>
      <c r="E366" s="631"/>
      <c r="F366" s="631"/>
      <c r="G366" s="632"/>
      <c r="H366" s="584" t="s">
        <v>595</v>
      </c>
      <c r="I366" s="585"/>
      <c r="J366" s="585"/>
      <c r="K366" s="585"/>
      <c r="L366" s="585"/>
      <c r="M366" s="585"/>
      <c r="N366" s="585"/>
      <c r="O366" s="585"/>
      <c r="P366" s="585"/>
      <c r="Q366" s="585"/>
      <c r="R366" s="585"/>
      <c r="S366" s="585"/>
      <c r="T366" s="585"/>
      <c r="U366" s="585"/>
      <c r="V366" s="585"/>
      <c r="W366" s="585"/>
      <c r="X366" s="585"/>
      <c r="Y366" s="585"/>
      <c r="Z366" s="585"/>
      <c r="AA366" s="585"/>
      <c r="AB366" s="585"/>
      <c r="AC366" s="585"/>
      <c r="AD366" s="585"/>
      <c r="AE366" s="585"/>
      <c r="AF366" s="585"/>
      <c r="AG366" s="585"/>
      <c r="AH366" s="585"/>
      <c r="AI366" s="585"/>
      <c r="AJ366" s="585"/>
      <c r="AK366" s="585"/>
      <c r="AL366" s="585"/>
      <c r="AM366" s="585"/>
      <c r="AN366" s="586"/>
      <c r="AO366" s="699"/>
      <c r="AP366" s="700"/>
      <c r="AQ366" s="700"/>
      <c r="AR366" s="700"/>
      <c r="AS366" s="700"/>
      <c r="AT366" s="700"/>
      <c r="AU366" s="700"/>
      <c r="AV366" s="700"/>
      <c r="AW366" s="700"/>
      <c r="AX366" s="700"/>
      <c r="AY366" s="700"/>
      <c r="AZ366" s="700"/>
      <c r="BA366" s="700"/>
      <c r="BB366" s="700"/>
      <c r="BC366" s="700"/>
      <c r="BD366" s="701"/>
      <c r="BE366" s="693"/>
      <c r="BF366" s="694"/>
      <c r="BG366" s="694"/>
      <c r="BH366" s="694"/>
      <c r="BI366" s="694"/>
      <c r="BJ366" s="694"/>
      <c r="BK366" s="694"/>
      <c r="BL366" s="694"/>
      <c r="BM366" s="694"/>
      <c r="BN366" s="694"/>
      <c r="BO366" s="694"/>
      <c r="BP366" s="694"/>
      <c r="BQ366" s="694"/>
      <c r="BR366" s="694"/>
      <c r="BS366" s="694"/>
      <c r="BT366" s="695"/>
      <c r="BU366" s="696">
        <v>8.3000000000000004E-2</v>
      </c>
      <c r="BV366" s="697"/>
      <c r="BW366" s="697"/>
      <c r="BX366" s="697"/>
      <c r="BY366" s="697"/>
      <c r="BZ366" s="697"/>
      <c r="CA366" s="697"/>
      <c r="CB366" s="697"/>
      <c r="CC366" s="697"/>
      <c r="CD366" s="697"/>
      <c r="CE366" s="697"/>
      <c r="CF366" s="697"/>
      <c r="CG366" s="697"/>
      <c r="CH366" s="697"/>
      <c r="CI366" s="697"/>
      <c r="CJ366" s="698"/>
      <c r="CK366" s="627">
        <f t="shared" ref="CK366:CK368" si="4">ROUND(AO366*BE366*BU366+(AO366*BE366),2)</f>
        <v>0</v>
      </c>
      <c r="CL366" s="628"/>
      <c r="CM366" s="628"/>
      <c r="CN366" s="628"/>
      <c r="CO366" s="628"/>
      <c r="CP366" s="628"/>
      <c r="CQ366" s="628"/>
      <c r="CR366" s="628"/>
      <c r="CS366" s="628"/>
      <c r="CT366" s="628"/>
      <c r="CU366" s="628"/>
      <c r="CV366" s="628"/>
      <c r="CW366" s="628"/>
      <c r="CX366" s="628"/>
      <c r="CY366" s="628"/>
      <c r="CZ366" s="629"/>
      <c r="DA366" s="214"/>
    </row>
    <row r="367" spans="1:105" s="16" customFormat="1" ht="15" customHeight="1" x14ac:dyDescent="0.3">
      <c r="A367" s="630" t="s">
        <v>446</v>
      </c>
      <c r="B367" s="631"/>
      <c r="C367" s="631"/>
      <c r="D367" s="631"/>
      <c r="E367" s="631"/>
      <c r="F367" s="631"/>
      <c r="G367" s="632"/>
      <c r="H367" s="584" t="s">
        <v>596</v>
      </c>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5"/>
      <c r="AL367" s="585"/>
      <c r="AM367" s="585"/>
      <c r="AN367" s="586"/>
      <c r="AO367" s="639">
        <v>2400</v>
      </c>
      <c r="AP367" s="640"/>
      <c r="AQ367" s="640"/>
      <c r="AR367" s="640"/>
      <c r="AS367" s="640"/>
      <c r="AT367" s="640"/>
      <c r="AU367" s="640"/>
      <c r="AV367" s="640"/>
      <c r="AW367" s="640"/>
      <c r="AX367" s="640"/>
      <c r="AY367" s="640"/>
      <c r="AZ367" s="640"/>
      <c r="BA367" s="640"/>
      <c r="BB367" s="640"/>
      <c r="BC367" s="640"/>
      <c r="BD367" s="641"/>
      <c r="BE367" s="693">
        <v>48.79</v>
      </c>
      <c r="BF367" s="694"/>
      <c r="BG367" s="694"/>
      <c r="BH367" s="694"/>
      <c r="BI367" s="694"/>
      <c r="BJ367" s="694"/>
      <c r="BK367" s="694"/>
      <c r="BL367" s="694"/>
      <c r="BM367" s="694"/>
      <c r="BN367" s="694"/>
      <c r="BO367" s="694"/>
      <c r="BP367" s="694"/>
      <c r="BQ367" s="694"/>
      <c r="BR367" s="694"/>
      <c r="BS367" s="694"/>
      <c r="BT367" s="695"/>
      <c r="BU367" s="696">
        <v>0.04</v>
      </c>
      <c r="BV367" s="697"/>
      <c r="BW367" s="697"/>
      <c r="BX367" s="697"/>
      <c r="BY367" s="697"/>
      <c r="BZ367" s="697"/>
      <c r="CA367" s="697"/>
      <c r="CB367" s="697"/>
      <c r="CC367" s="697"/>
      <c r="CD367" s="697"/>
      <c r="CE367" s="697"/>
      <c r="CF367" s="697"/>
      <c r="CG367" s="697"/>
      <c r="CH367" s="697"/>
      <c r="CI367" s="697"/>
      <c r="CJ367" s="698"/>
      <c r="CK367" s="627">
        <f t="shared" si="4"/>
        <v>121779.84</v>
      </c>
      <c r="CL367" s="628"/>
      <c r="CM367" s="628"/>
      <c r="CN367" s="628"/>
      <c r="CO367" s="628"/>
      <c r="CP367" s="628"/>
      <c r="CQ367" s="628"/>
      <c r="CR367" s="628"/>
      <c r="CS367" s="628"/>
      <c r="CT367" s="628"/>
      <c r="CU367" s="628"/>
      <c r="CV367" s="628"/>
      <c r="CW367" s="628"/>
      <c r="CX367" s="628"/>
      <c r="CY367" s="628"/>
      <c r="CZ367" s="629"/>
      <c r="DA367" s="214"/>
    </row>
    <row r="368" spans="1:105" s="16" customFormat="1" ht="40.5" customHeight="1" x14ac:dyDescent="0.3">
      <c r="A368" s="630" t="s">
        <v>551</v>
      </c>
      <c r="B368" s="631"/>
      <c r="C368" s="631"/>
      <c r="D368" s="631"/>
      <c r="E368" s="631"/>
      <c r="F368" s="631"/>
      <c r="G368" s="632"/>
      <c r="H368" s="584" t="s">
        <v>597</v>
      </c>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5"/>
      <c r="AL368" s="585"/>
      <c r="AM368" s="585"/>
      <c r="AN368" s="586"/>
      <c r="AO368" s="639">
        <v>2400</v>
      </c>
      <c r="AP368" s="640"/>
      <c r="AQ368" s="640"/>
      <c r="AR368" s="640"/>
      <c r="AS368" s="640"/>
      <c r="AT368" s="640"/>
      <c r="AU368" s="640"/>
      <c r="AV368" s="640"/>
      <c r="AW368" s="640"/>
      <c r="AX368" s="640"/>
      <c r="AY368" s="640"/>
      <c r="AZ368" s="640"/>
      <c r="BA368" s="640"/>
      <c r="BB368" s="640"/>
      <c r="BC368" s="640"/>
      <c r="BD368" s="641"/>
      <c r="BE368" s="693">
        <v>24.38</v>
      </c>
      <c r="BF368" s="694"/>
      <c r="BG368" s="694"/>
      <c r="BH368" s="694"/>
      <c r="BI368" s="694"/>
      <c r="BJ368" s="694"/>
      <c r="BK368" s="694"/>
      <c r="BL368" s="694"/>
      <c r="BM368" s="694"/>
      <c r="BN368" s="694"/>
      <c r="BO368" s="694"/>
      <c r="BP368" s="694"/>
      <c r="BQ368" s="694"/>
      <c r="BR368" s="694"/>
      <c r="BS368" s="694"/>
      <c r="BT368" s="695"/>
      <c r="BU368" s="696">
        <v>0.04</v>
      </c>
      <c r="BV368" s="697"/>
      <c r="BW368" s="697"/>
      <c r="BX368" s="697"/>
      <c r="BY368" s="697"/>
      <c r="BZ368" s="697"/>
      <c r="CA368" s="697"/>
      <c r="CB368" s="697"/>
      <c r="CC368" s="697"/>
      <c r="CD368" s="697"/>
      <c r="CE368" s="697"/>
      <c r="CF368" s="697"/>
      <c r="CG368" s="697"/>
      <c r="CH368" s="697"/>
      <c r="CI368" s="697"/>
      <c r="CJ368" s="698"/>
      <c r="CK368" s="627">
        <f t="shared" si="4"/>
        <v>60852.480000000003</v>
      </c>
      <c r="CL368" s="628"/>
      <c r="CM368" s="628"/>
      <c r="CN368" s="628"/>
      <c r="CO368" s="628"/>
      <c r="CP368" s="628"/>
      <c r="CQ368" s="628"/>
      <c r="CR368" s="628"/>
      <c r="CS368" s="628"/>
      <c r="CT368" s="628"/>
      <c r="CU368" s="628"/>
      <c r="CV368" s="628"/>
      <c r="CW368" s="628"/>
      <c r="CX368" s="628"/>
      <c r="CY368" s="628"/>
      <c r="CZ368" s="629"/>
      <c r="DA368" s="214"/>
    </row>
    <row r="369" spans="1:105" s="16" customFormat="1" ht="52.5" hidden="1" customHeight="1" x14ac:dyDescent="0.3">
      <c r="A369" s="630" t="s">
        <v>599</v>
      </c>
      <c r="B369" s="631"/>
      <c r="C369" s="631"/>
      <c r="D369" s="631"/>
      <c r="E369" s="631"/>
      <c r="F369" s="631"/>
      <c r="G369" s="632"/>
      <c r="H369" s="584" t="s">
        <v>891</v>
      </c>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5"/>
      <c r="AL369" s="585"/>
      <c r="AM369" s="585"/>
      <c r="AN369" s="586"/>
      <c r="AO369" s="544"/>
      <c r="AP369" s="545"/>
      <c r="AQ369" s="545"/>
      <c r="AR369" s="545"/>
      <c r="AS369" s="545"/>
      <c r="AT369" s="545"/>
      <c r="AU369" s="545"/>
      <c r="AV369" s="545"/>
      <c r="AW369" s="545"/>
      <c r="AX369" s="545"/>
      <c r="AY369" s="545"/>
      <c r="AZ369" s="545"/>
      <c r="BA369" s="545"/>
      <c r="BB369" s="545"/>
      <c r="BC369" s="545"/>
      <c r="BD369" s="546"/>
      <c r="BE369" s="627">
        <v>0</v>
      </c>
      <c r="BF369" s="628"/>
      <c r="BG369" s="628"/>
      <c r="BH369" s="628"/>
      <c r="BI369" s="628"/>
      <c r="BJ369" s="628"/>
      <c r="BK369" s="628"/>
      <c r="BL369" s="628"/>
      <c r="BM369" s="628"/>
      <c r="BN369" s="628"/>
      <c r="BO369" s="628"/>
      <c r="BP369" s="628"/>
      <c r="BQ369" s="628"/>
      <c r="BR369" s="628"/>
      <c r="BS369" s="628"/>
      <c r="BT369" s="629"/>
      <c r="BU369" s="696"/>
      <c r="BV369" s="697"/>
      <c r="BW369" s="697"/>
      <c r="BX369" s="697"/>
      <c r="BY369" s="697"/>
      <c r="BZ369" s="697"/>
      <c r="CA369" s="697"/>
      <c r="CB369" s="697"/>
      <c r="CC369" s="697"/>
      <c r="CD369" s="697"/>
      <c r="CE369" s="697"/>
      <c r="CF369" s="697"/>
      <c r="CG369" s="697"/>
      <c r="CH369" s="697"/>
      <c r="CI369" s="697"/>
      <c r="CJ369" s="698"/>
      <c r="CK369" s="627">
        <v>0</v>
      </c>
      <c r="CL369" s="628"/>
      <c r="CM369" s="628"/>
      <c r="CN369" s="628"/>
      <c r="CO369" s="628"/>
      <c r="CP369" s="628"/>
      <c r="CQ369" s="628"/>
      <c r="CR369" s="628"/>
      <c r="CS369" s="628"/>
      <c r="CT369" s="628"/>
      <c r="CU369" s="628"/>
      <c r="CV369" s="628"/>
      <c r="CW369" s="628"/>
      <c r="CX369" s="628"/>
      <c r="CY369" s="628"/>
      <c r="CZ369" s="629"/>
      <c r="DA369" s="214"/>
    </row>
    <row r="370" spans="1:105" s="16" customFormat="1" ht="15" customHeight="1" x14ac:dyDescent="0.3">
      <c r="A370" s="553" t="s">
        <v>292</v>
      </c>
      <c r="B370" s="554"/>
      <c r="C370" s="554"/>
      <c r="D370" s="554"/>
      <c r="E370" s="554"/>
      <c r="F370" s="554"/>
      <c r="G370" s="554"/>
      <c r="H370" s="554"/>
      <c r="I370" s="554"/>
      <c r="J370" s="554"/>
      <c r="K370" s="554"/>
      <c r="L370" s="554"/>
      <c r="M370" s="554"/>
      <c r="N370" s="554"/>
      <c r="O370" s="554"/>
      <c r="P370" s="554"/>
      <c r="Q370" s="554"/>
      <c r="R370" s="554"/>
      <c r="S370" s="554"/>
      <c r="T370" s="554"/>
      <c r="U370" s="554"/>
      <c r="V370" s="554"/>
      <c r="W370" s="554"/>
      <c r="X370" s="554"/>
      <c r="Y370" s="554"/>
      <c r="Z370" s="554"/>
      <c r="AA370" s="554"/>
      <c r="AB370" s="554"/>
      <c r="AC370" s="554"/>
      <c r="AD370" s="554"/>
      <c r="AE370" s="554"/>
      <c r="AF370" s="554"/>
      <c r="AG370" s="554"/>
      <c r="AH370" s="554"/>
      <c r="AI370" s="554"/>
      <c r="AJ370" s="554"/>
      <c r="AK370" s="554"/>
      <c r="AL370" s="554"/>
      <c r="AM370" s="554"/>
      <c r="AN370" s="555"/>
      <c r="AO370" s="544" t="s">
        <v>4</v>
      </c>
      <c r="AP370" s="545"/>
      <c r="AQ370" s="545"/>
      <c r="AR370" s="545"/>
      <c r="AS370" s="545"/>
      <c r="AT370" s="545"/>
      <c r="AU370" s="545"/>
      <c r="AV370" s="545"/>
      <c r="AW370" s="545"/>
      <c r="AX370" s="545"/>
      <c r="AY370" s="545"/>
      <c r="AZ370" s="545"/>
      <c r="BA370" s="545"/>
      <c r="BB370" s="545"/>
      <c r="BC370" s="545"/>
      <c r="BD370" s="546"/>
      <c r="BE370" s="544" t="s">
        <v>4</v>
      </c>
      <c r="BF370" s="545"/>
      <c r="BG370" s="545"/>
      <c r="BH370" s="545"/>
      <c r="BI370" s="545"/>
      <c r="BJ370" s="545"/>
      <c r="BK370" s="545"/>
      <c r="BL370" s="545"/>
      <c r="BM370" s="545"/>
      <c r="BN370" s="545"/>
      <c r="BO370" s="545"/>
      <c r="BP370" s="545"/>
      <c r="BQ370" s="545"/>
      <c r="BR370" s="545"/>
      <c r="BS370" s="545"/>
      <c r="BT370" s="546"/>
      <c r="BU370" s="544" t="s">
        <v>4</v>
      </c>
      <c r="BV370" s="545"/>
      <c r="BW370" s="545"/>
      <c r="BX370" s="545"/>
      <c r="BY370" s="545"/>
      <c r="BZ370" s="545"/>
      <c r="CA370" s="545"/>
      <c r="CB370" s="545"/>
      <c r="CC370" s="545"/>
      <c r="CD370" s="545"/>
      <c r="CE370" s="545"/>
      <c r="CF370" s="545"/>
      <c r="CG370" s="545"/>
      <c r="CH370" s="545"/>
      <c r="CI370" s="545"/>
      <c r="CJ370" s="546"/>
      <c r="CK370" s="636">
        <f>SUM(CK363:CZ369)</f>
        <v>327202.40999999997</v>
      </c>
      <c r="CL370" s="654"/>
      <c r="CM370" s="654"/>
      <c r="CN370" s="654"/>
      <c r="CO370" s="654"/>
      <c r="CP370" s="654"/>
      <c r="CQ370" s="654"/>
      <c r="CR370" s="654"/>
      <c r="CS370" s="654"/>
      <c r="CT370" s="654"/>
      <c r="CU370" s="654"/>
      <c r="CV370" s="654"/>
      <c r="CW370" s="654"/>
      <c r="CX370" s="654"/>
      <c r="CY370" s="654"/>
      <c r="CZ370" s="655"/>
      <c r="DA370" s="214"/>
    </row>
    <row r="371" spans="1:105" s="16" customFormat="1" ht="15" customHeight="1" x14ac:dyDescent="0.3">
      <c r="A371" s="553" t="s">
        <v>56</v>
      </c>
      <c r="B371" s="554"/>
      <c r="C371" s="554"/>
      <c r="D371" s="554"/>
      <c r="E371" s="554"/>
      <c r="F371" s="554"/>
      <c r="G371" s="554"/>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554"/>
      <c r="AM371" s="554"/>
      <c r="AN371" s="555"/>
      <c r="AO371" s="544" t="s">
        <v>4</v>
      </c>
      <c r="AP371" s="545"/>
      <c r="AQ371" s="545"/>
      <c r="AR371" s="545"/>
      <c r="AS371" s="545"/>
      <c r="AT371" s="545"/>
      <c r="AU371" s="545"/>
      <c r="AV371" s="545"/>
      <c r="AW371" s="545"/>
      <c r="AX371" s="545"/>
      <c r="AY371" s="545"/>
      <c r="AZ371" s="545"/>
      <c r="BA371" s="545"/>
      <c r="BB371" s="545"/>
      <c r="BC371" s="545"/>
      <c r="BD371" s="546"/>
      <c r="BE371" s="544" t="s">
        <v>4</v>
      </c>
      <c r="BF371" s="545"/>
      <c r="BG371" s="545"/>
      <c r="BH371" s="545"/>
      <c r="BI371" s="545"/>
      <c r="BJ371" s="545"/>
      <c r="BK371" s="545"/>
      <c r="BL371" s="545"/>
      <c r="BM371" s="545"/>
      <c r="BN371" s="545"/>
      <c r="BO371" s="545"/>
      <c r="BP371" s="545"/>
      <c r="BQ371" s="545"/>
      <c r="BR371" s="545"/>
      <c r="BS371" s="545"/>
      <c r="BT371" s="546"/>
      <c r="BU371" s="544" t="s">
        <v>4</v>
      </c>
      <c r="BV371" s="545"/>
      <c r="BW371" s="545"/>
      <c r="BX371" s="545"/>
      <c r="BY371" s="545"/>
      <c r="BZ371" s="545"/>
      <c r="CA371" s="545"/>
      <c r="CB371" s="545"/>
      <c r="CC371" s="545"/>
      <c r="CD371" s="545"/>
      <c r="CE371" s="545"/>
      <c r="CF371" s="545"/>
      <c r="CG371" s="545"/>
      <c r="CH371" s="545"/>
      <c r="CI371" s="545"/>
      <c r="CJ371" s="546"/>
      <c r="CK371" s="636">
        <f>CK361+CK370</f>
        <v>827841.02</v>
      </c>
      <c r="CL371" s="637"/>
      <c r="CM371" s="637"/>
      <c r="CN371" s="637"/>
      <c r="CO371" s="637"/>
      <c r="CP371" s="637"/>
      <c r="CQ371" s="637"/>
      <c r="CR371" s="637"/>
      <c r="CS371" s="637"/>
      <c r="CT371" s="637"/>
      <c r="CU371" s="637"/>
      <c r="CV371" s="637"/>
      <c r="CW371" s="637"/>
      <c r="CX371" s="637"/>
      <c r="CY371" s="637"/>
      <c r="CZ371" s="638"/>
      <c r="DA371" s="220"/>
    </row>
    <row r="372" spans="1:105" ht="12" customHeight="1" x14ac:dyDescent="0.25"/>
    <row r="373" spans="1:105" s="20" customFormat="1" hidden="1" x14ac:dyDescent="0.25">
      <c r="A373" s="594" t="s">
        <v>601</v>
      </c>
      <c r="B373" s="594"/>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4"/>
      <c r="AL373" s="594"/>
      <c r="AM373" s="594"/>
      <c r="AN373" s="594"/>
      <c r="AO373" s="594"/>
      <c r="AP373" s="594"/>
      <c r="AQ373" s="594"/>
      <c r="AR373" s="594"/>
      <c r="AS373" s="594"/>
      <c r="AT373" s="594"/>
      <c r="AU373" s="594"/>
      <c r="AV373" s="594"/>
      <c r="AW373" s="594"/>
      <c r="AX373" s="594"/>
      <c r="AY373" s="594"/>
      <c r="AZ373" s="594"/>
      <c r="BA373" s="594"/>
      <c r="BB373" s="594"/>
      <c r="BC373" s="594"/>
      <c r="BD373" s="594"/>
      <c r="BE373" s="594"/>
      <c r="BF373" s="594"/>
      <c r="BG373" s="594"/>
      <c r="BH373" s="594"/>
      <c r="BI373" s="594"/>
      <c r="BJ373" s="594"/>
      <c r="BK373" s="594"/>
      <c r="BL373" s="594"/>
      <c r="BM373" s="594"/>
      <c r="BN373" s="594"/>
      <c r="BO373" s="594"/>
      <c r="BP373" s="594"/>
      <c r="BQ373" s="594"/>
      <c r="BR373" s="594"/>
      <c r="BS373" s="594"/>
      <c r="BT373" s="594"/>
      <c r="BU373" s="594"/>
      <c r="BV373" s="594"/>
      <c r="BW373" s="594"/>
      <c r="BX373" s="594"/>
      <c r="BY373" s="594"/>
      <c r="BZ373" s="594"/>
      <c r="CA373" s="594"/>
      <c r="CB373" s="594"/>
      <c r="CC373" s="594"/>
      <c r="CD373" s="594"/>
      <c r="CE373" s="594"/>
      <c r="CF373" s="594"/>
      <c r="CG373" s="594"/>
      <c r="CH373" s="594"/>
      <c r="CI373" s="594"/>
      <c r="CJ373" s="594"/>
      <c r="CK373" s="594"/>
      <c r="CL373" s="594"/>
      <c r="CM373" s="594"/>
      <c r="CN373" s="594"/>
      <c r="CO373" s="594"/>
      <c r="CP373" s="594"/>
      <c r="CQ373" s="594"/>
      <c r="CR373" s="594"/>
      <c r="CS373" s="594"/>
      <c r="CT373" s="594"/>
      <c r="CU373" s="594"/>
      <c r="CV373" s="594"/>
      <c r="CW373" s="594"/>
      <c r="CX373" s="594"/>
      <c r="CY373" s="594"/>
      <c r="CZ373" s="594"/>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595" t="s">
        <v>602</v>
      </c>
      <c r="X375" s="595"/>
      <c r="Y375" s="595"/>
      <c r="Z375" s="595"/>
      <c r="AA375" s="595"/>
      <c r="AB375" s="595"/>
      <c r="AC375" s="595"/>
      <c r="AD375" s="595"/>
      <c r="AE375" s="595"/>
      <c r="AF375" s="595"/>
      <c r="AG375" s="595"/>
      <c r="AH375" s="595"/>
      <c r="AI375" s="595"/>
      <c r="AJ375" s="595"/>
      <c r="AK375" s="595"/>
      <c r="AL375" s="595"/>
      <c r="AM375" s="595"/>
      <c r="AN375" s="595"/>
      <c r="AO375" s="595"/>
      <c r="AP375" s="595"/>
      <c r="AQ375" s="595"/>
      <c r="AR375" s="595"/>
      <c r="AS375" s="595"/>
      <c r="AT375" s="595"/>
      <c r="AU375" s="595"/>
      <c r="AV375" s="595"/>
      <c r="AW375" s="595"/>
      <c r="AX375" s="595"/>
      <c r="AY375" s="595"/>
      <c r="AZ375" s="595"/>
      <c r="BA375" s="595"/>
      <c r="BB375" s="595"/>
      <c r="BC375" s="595"/>
      <c r="BD375" s="595"/>
      <c r="BE375" s="595"/>
      <c r="BF375" s="595"/>
      <c r="BG375" s="595"/>
      <c r="BH375" s="595"/>
      <c r="BI375" s="595"/>
      <c r="BJ375" s="595"/>
      <c r="BK375" s="595"/>
      <c r="BL375" s="595"/>
      <c r="BM375" s="595"/>
      <c r="BN375" s="595"/>
      <c r="BO375" s="595"/>
      <c r="BP375" s="595"/>
      <c r="BQ375" s="595"/>
      <c r="BR375" s="595"/>
      <c r="BS375" s="595"/>
      <c r="BT375" s="595"/>
      <c r="BU375" s="595"/>
      <c r="BV375" s="595"/>
      <c r="BW375" s="595"/>
      <c r="BX375" s="595"/>
      <c r="BY375" s="595"/>
      <c r="BZ375" s="595"/>
      <c r="CA375" s="595"/>
      <c r="CB375" s="595"/>
      <c r="CC375" s="595"/>
      <c r="CD375" s="595"/>
      <c r="CE375" s="595"/>
      <c r="CF375" s="595"/>
      <c r="CG375" s="595"/>
      <c r="CH375" s="595"/>
      <c r="CI375" s="595"/>
      <c r="CJ375" s="595"/>
      <c r="CK375" s="595"/>
      <c r="CL375" s="595"/>
      <c r="CM375" s="595"/>
      <c r="CN375" s="595"/>
      <c r="CO375" s="595"/>
      <c r="CP375" s="595"/>
      <c r="CQ375" s="595"/>
      <c r="CR375" s="595"/>
      <c r="CS375" s="595"/>
      <c r="CT375" s="595"/>
      <c r="CU375" s="595"/>
      <c r="CV375" s="595"/>
      <c r="CW375" s="595"/>
      <c r="CX375" s="595"/>
      <c r="CY375" s="595"/>
      <c r="CZ375" s="595"/>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75" t="s">
        <v>49</v>
      </c>
      <c r="B377" s="476"/>
      <c r="C377" s="476"/>
      <c r="D377" s="476"/>
      <c r="E377" s="476"/>
      <c r="F377" s="476"/>
      <c r="G377" s="477"/>
      <c r="H377" s="475" t="s">
        <v>0</v>
      </c>
      <c r="I377" s="476"/>
      <c r="J377" s="476"/>
      <c r="K377" s="476"/>
      <c r="L377" s="476"/>
      <c r="M377" s="476"/>
      <c r="N377" s="476"/>
      <c r="O377" s="476"/>
      <c r="P377" s="476"/>
      <c r="Q377" s="476"/>
      <c r="R377" s="476"/>
      <c r="S377" s="476"/>
      <c r="T377" s="476"/>
      <c r="U377" s="476"/>
      <c r="V377" s="476"/>
      <c r="W377" s="476"/>
      <c r="X377" s="476"/>
      <c r="Y377" s="476"/>
      <c r="Z377" s="476"/>
      <c r="AA377" s="476"/>
      <c r="AB377" s="476"/>
      <c r="AC377" s="476"/>
      <c r="AD377" s="476"/>
      <c r="AE377" s="476"/>
      <c r="AF377" s="476"/>
      <c r="AG377" s="476"/>
      <c r="AH377" s="476"/>
      <c r="AI377" s="476"/>
      <c r="AJ377" s="476"/>
      <c r="AK377" s="476"/>
      <c r="AL377" s="476"/>
      <c r="AM377" s="476"/>
      <c r="AN377" s="477"/>
      <c r="AO377" s="475" t="s">
        <v>88</v>
      </c>
      <c r="AP377" s="476"/>
      <c r="AQ377" s="476"/>
      <c r="AR377" s="476"/>
      <c r="AS377" s="476"/>
      <c r="AT377" s="476"/>
      <c r="AU377" s="476"/>
      <c r="AV377" s="476"/>
      <c r="AW377" s="476"/>
      <c r="AX377" s="476"/>
      <c r="AY377" s="476"/>
      <c r="AZ377" s="476"/>
      <c r="BA377" s="476"/>
      <c r="BB377" s="476"/>
      <c r="BC377" s="476"/>
      <c r="BD377" s="477"/>
      <c r="BE377" s="475" t="s">
        <v>89</v>
      </c>
      <c r="BF377" s="476"/>
      <c r="BG377" s="476"/>
      <c r="BH377" s="476"/>
      <c r="BI377" s="476"/>
      <c r="BJ377" s="476"/>
      <c r="BK377" s="476"/>
      <c r="BL377" s="476"/>
      <c r="BM377" s="476"/>
      <c r="BN377" s="476"/>
      <c r="BO377" s="476"/>
      <c r="BP377" s="476"/>
      <c r="BQ377" s="476"/>
      <c r="BR377" s="476"/>
      <c r="BS377" s="476"/>
      <c r="BT377" s="477"/>
      <c r="BU377" s="475" t="s">
        <v>90</v>
      </c>
      <c r="BV377" s="476"/>
      <c r="BW377" s="476"/>
      <c r="BX377" s="476"/>
      <c r="BY377" s="476"/>
      <c r="BZ377" s="476"/>
      <c r="CA377" s="476"/>
      <c r="CB377" s="476"/>
      <c r="CC377" s="476"/>
      <c r="CD377" s="476"/>
      <c r="CE377" s="476"/>
      <c r="CF377" s="476"/>
      <c r="CG377" s="476"/>
      <c r="CH377" s="476"/>
      <c r="CI377" s="476"/>
      <c r="CJ377" s="477"/>
      <c r="CK377" s="475" t="s">
        <v>98</v>
      </c>
      <c r="CL377" s="476"/>
      <c r="CM377" s="476"/>
      <c r="CN377" s="476"/>
      <c r="CO377" s="476"/>
      <c r="CP377" s="476"/>
      <c r="CQ377" s="476"/>
      <c r="CR377" s="476"/>
      <c r="CS377" s="476"/>
      <c r="CT377" s="476"/>
      <c r="CU377" s="476"/>
      <c r="CV377" s="476"/>
      <c r="CW377" s="476"/>
      <c r="CX377" s="476"/>
      <c r="CY377" s="476"/>
      <c r="CZ377" s="477"/>
      <c r="DA377" s="218"/>
    </row>
    <row r="378" spans="1:105" s="15" customFormat="1" ht="13.2" hidden="1" x14ac:dyDescent="0.3">
      <c r="A378" s="661">
        <v>1</v>
      </c>
      <c r="B378" s="662"/>
      <c r="C378" s="662"/>
      <c r="D378" s="662"/>
      <c r="E378" s="662"/>
      <c r="F378" s="662"/>
      <c r="G378" s="663"/>
      <c r="H378" s="661">
        <v>2</v>
      </c>
      <c r="I378" s="662"/>
      <c r="J378" s="662"/>
      <c r="K378" s="662"/>
      <c r="L378" s="662"/>
      <c r="M378" s="662"/>
      <c r="N378" s="662"/>
      <c r="O378" s="662"/>
      <c r="P378" s="662"/>
      <c r="Q378" s="662"/>
      <c r="R378" s="662"/>
      <c r="S378" s="662"/>
      <c r="T378" s="662"/>
      <c r="U378" s="662"/>
      <c r="V378" s="662"/>
      <c r="W378" s="662"/>
      <c r="X378" s="662"/>
      <c r="Y378" s="662"/>
      <c r="Z378" s="662"/>
      <c r="AA378" s="662"/>
      <c r="AB378" s="662"/>
      <c r="AC378" s="662"/>
      <c r="AD378" s="662"/>
      <c r="AE378" s="662"/>
      <c r="AF378" s="662"/>
      <c r="AG378" s="662"/>
      <c r="AH378" s="662"/>
      <c r="AI378" s="662"/>
      <c r="AJ378" s="662"/>
      <c r="AK378" s="662"/>
      <c r="AL378" s="662"/>
      <c r="AM378" s="662"/>
      <c r="AN378" s="663"/>
      <c r="AO378" s="661">
        <v>3</v>
      </c>
      <c r="AP378" s="662"/>
      <c r="AQ378" s="662"/>
      <c r="AR378" s="662"/>
      <c r="AS378" s="662"/>
      <c r="AT378" s="662"/>
      <c r="AU378" s="662"/>
      <c r="AV378" s="662"/>
      <c r="AW378" s="662"/>
      <c r="AX378" s="662"/>
      <c r="AY378" s="662"/>
      <c r="AZ378" s="662"/>
      <c r="BA378" s="662"/>
      <c r="BB378" s="662"/>
      <c r="BC378" s="662"/>
      <c r="BD378" s="663"/>
      <c r="BE378" s="661">
        <v>4</v>
      </c>
      <c r="BF378" s="662"/>
      <c r="BG378" s="662"/>
      <c r="BH378" s="662"/>
      <c r="BI378" s="662"/>
      <c r="BJ378" s="662"/>
      <c r="BK378" s="662"/>
      <c r="BL378" s="662"/>
      <c r="BM378" s="662"/>
      <c r="BN378" s="662"/>
      <c r="BO378" s="662"/>
      <c r="BP378" s="662"/>
      <c r="BQ378" s="662"/>
      <c r="BR378" s="662"/>
      <c r="BS378" s="662"/>
      <c r="BT378" s="663"/>
      <c r="BU378" s="661">
        <v>5</v>
      </c>
      <c r="BV378" s="662"/>
      <c r="BW378" s="662"/>
      <c r="BX378" s="662"/>
      <c r="BY378" s="662"/>
      <c r="BZ378" s="662"/>
      <c r="CA378" s="662"/>
      <c r="CB378" s="662"/>
      <c r="CC378" s="662"/>
      <c r="CD378" s="662"/>
      <c r="CE378" s="662"/>
      <c r="CF378" s="662"/>
      <c r="CG378" s="662"/>
      <c r="CH378" s="662"/>
      <c r="CI378" s="662"/>
      <c r="CJ378" s="663"/>
      <c r="CK378" s="661">
        <v>6</v>
      </c>
      <c r="CL378" s="662"/>
      <c r="CM378" s="662"/>
      <c r="CN378" s="662"/>
      <c r="CO378" s="662"/>
      <c r="CP378" s="662"/>
      <c r="CQ378" s="662"/>
      <c r="CR378" s="662"/>
      <c r="CS378" s="662"/>
      <c r="CT378" s="662"/>
      <c r="CU378" s="662"/>
      <c r="CV378" s="662"/>
      <c r="CW378" s="662"/>
      <c r="CX378" s="662"/>
      <c r="CY378" s="662"/>
      <c r="CZ378" s="663"/>
      <c r="DA378" s="219"/>
    </row>
    <row r="379" spans="1:105" s="16" customFormat="1" ht="15" hidden="1" customHeight="1" x14ac:dyDescent="0.3">
      <c r="A379" s="648" t="s">
        <v>569</v>
      </c>
      <c r="B379" s="649"/>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9"/>
      <c r="AL379" s="649"/>
      <c r="AM379" s="649"/>
      <c r="AN379" s="649"/>
      <c r="AO379" s="649"/>
      <c r="AP379" s="649"/>
      <c r="AQ379" s="649"/>
      <c r="AR379" s="649"/>
      <c r="AS379" s="649"/>
      <c r="AT379" s="649"/>
      <c r="AU379" s="649"/>
      <c r="AV379" s="649"/>
      <c r="AW379" s="649"/>
      <c r="AX379" s="649"/>
      <c r="AY379" s="649"/>
      <c r="AZ379" s="649"/>
      <c r="BA379" s="649"/>
      <c r="BB379" s="649"/>
      <c r="BC379" s="649"/>
      <c r="BD379" s="649"/>
      <c r="BE379" s="649"/>
      <c r="BF379" s="649"/>
      <c r="BG379" s="649"/>
      <c r="BH379" s="649"/>
      <c r="BI379" s="649"/>
      <c r="BJ379" s="649"/>
      <c r="BK379" s="649"/>
      <c r="BL379" s="649"/>
      <c r="BM379" s="649"/>
      <c r="BN379" s="649"/>
      <c r="BO379" s="649"/>
      <c r="BP379" s="649"/>
      <c r="BQ379" s="649"/>
      <c r="BR379" s="649"/>
      <c r="BS379" s="649"/>
      <c r="BT379" s="649"/>
      <c r="BU379" s="649"/>
      <c r="BV379" s="649"/>
      <c r="BW379" s="649"/>
      <c r="BX379" s="649"/>
      <c r="BY379" s="649"/>
      <c r="BZ379" s="649"/>
      <c r="CA379" s="649"/>
      <c r="CB379" s="649"/>
      <c r="CC379" s="649"/>
      <c r="CD379" s="649"/>
      <c r="CE379" s="649"/>
      <c r="CF379" s="649"/>
      <c r="CG379" s="649"/>
      <c r="CH379" s="649"/>
      <c r="CI379" s="649"/>
      <c r="CJ379" s="649"/>
      <c r="CK379" s="649"/>
      <c r="CL379" s="649"/>
      <c r="CM379" s="649"/>
      <c r="CN379" s="649"/>
      <c r="CO379" s="649"/>
      <c r="CP379" s="649"/>
      <c r="CQ379" s="649"/>
      <c r="CR379" s="649"/>
      <c r="CS379" s="649"/>
      <c r="CT379" s="649"/>
      <c r="CU379" s="649"/>
      <c r="CV379" s="649"/>
      <c r="CW379" s="649"/>
      <c r="CX379" s="649"/>
      <c r="CY379" s="649"/>
      <c r="CZ379" s="649"/>
      <c r="DA379" s="214"/>
    </row>
    <row r="380" spans="1:105" s="16" customFormat="1" ht="15" hidden="1" customHeight="1" x14ac:dyDescent="0.3">
      <c r="A380" s="630"/>
      <c r="B380" s="631"/>
      <c r="C380" s="631"/>
      <c r="D380" s="631"/>
      <c r="E380" s="631"/>
      <c r="F380" s="631"/>
      <c r="G380" s="632"/>
      <c r="H380" s="584"/>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5"/>
      <c r="AL380" s="585"/>
      <c r="AM380" s="585"/>
      <c r="AN380" s="586"/>
      <c r="AO380" s="627"/>
      <c r="AP380" s="628"/>
      <c r="AQ380" s="628"/>
      <c r="AR380" s="628"/>
      <c r="AS380" s="628"/>
      <c r="AT380" s="628"/>
      <c r="AU380" s="628"/>
      <c r="AV380" s="628"/>
      <c r="AW380" s="628"/>
      <c r="AX380" s="628"/>
      <c r="AY380" s="628"/>
      <c r="AZ380" s="628"/>
      <c r="BA380" s="628"/>
      <c r="BB380" s="628"/>
      <c r="BC380" s="628"/>
      <c r="BD380" s="629"/>
      <c r="BE380" s="627"/>
      <c r="BF380" s="628"/>
      <c r="BG380" s="628"/>
      <c r="BH380" s="628"/>
      <c r="BI380" s="628"/>
      <c r="BJ380" s="628"/>
      <c r="BK380" s="628"/>
      <c r="BL380" s="628"/>
      <c r="BM380" s="628"/>
      <c r="BN380" s="628"/>
      <c r="BO380" s="628"/>
      <c r="BP380" s="628"/>
      <c r="BQ380" s="628"/>
      <c r="BR380" s="628"/>
      <c r="BS380" s="628"/>
      <c r="BT380" s="629"/>
      <c r="BU380" s="696"/>
      <c r="BV380" s="697"/>
      <c r="BW380" s="697"/>
      <c r="BX380" s="697"/>
      <c r="BY380" s="697"/>
      <c r="BZ380" s="697"/>
      <c r="CA380" s="697"/>
      <c r="CB380" s="697"/>
      <c r="CC380" s="697"/>
      <c r="CD380" s="697"/>
      <c r="CE380" s="697"/>
      <c r="CF380" s="697"/>
      <c r="CG380" s="697"/>
      <c r="CH380" s="697"/>
      <c r="CI380" s="697"/>
      <c r="CJ380" s="698"/>
      <c r="CK380" s="627"/>
      <c r="CL380" s="628"/>
      <c r="CM380" s="628"/>
      <c r="CN380" s="628"/>
      <c r="CO380" s="628"/>
      <c r="CP380" s="628"/>
      <c r="CQ380" s="628"/>
      <c r="CR380" s="628"/>
      <c r="CS380" s="628"/>
      <c r="CT380" s="628"/>
      <c r="CU380" s="628"/>
      <c r="CV380" s="628"/>
      <c r="CW380" s="628"/>
      <c r="CX380" s="628"/>
      <c r="CY380" s="628"/>
      <c r="CZ380" s="629"/>
      <c r="DA380" s="240"/>
    </row>
    <row r="381" spans="1:105" s="16" customFormat="1" ht="15" hidden="1" customHeight="1" x14ac:dyDescent="0.3">
      <c r="A381" s="630"/>
      <c r="B381" s="631"/>
      <c r="C381" s="631"/>
      <c r="D381" s="631"/>
      <c r="E381" s="631"/>
      <c r="F381" s="631"/>
      <c r="G381" s="632"/>
      <c r="H381" s="584"/>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5"/>
      <c r="AL381" s="585"/>
      <c r="AM381" s="585"/>
      <c r="AN381" s="586"/>
      <c r="AO381" s="627"/>
      <c r="AP381" s="628"/>
      <c r="AQ381" s="628"/>
      <c r="AR381" s="628"/>
      <c r="AS381" s="628"/>
      <c r="AT381" s="628"/>
      <c r="AU381" s="628"/>
      <c r="AV381" s="628"/>
      <c r="AW381" s="628"/>
      <c r="AX381" s="628"/>
      <c r="AY381" s="628"/>
      <c r="AZ381" s="628"/>
      <c r="BA381" s="628"/>
      <c r="BB381" s="628"/>
      <c r="BC381" s="628"/>
      <c r="BD381" s="629"/>
      <c r="BE381" s="627"/>
      <c r="BF381" s="628"/>
      <c r="BG381" s="628"/>
      <c r="BH381" s="628"/>
      <c r="BI381" s="628"/>
      <c r="BJ381" s="628"/>
      <c r="BK381" s="628"/>
      <c r="BL381" s="628"/>
      <c r="BM381" s="628"/>
      <c r="BN381" s="628"/>
      <c r="BO381" s="628"/>
      <c r="BP381" s="628"/>
      <c r="BQ381" s="628"/>
      <c r="BR381" s="628"/>
      <c r="BS381" s="628"/>
      <c r="BT381" s="629"/>
      <c r="BU381" s="696"/>
      <c r="BV381" s="697"/>
      <c r="BW381" s="697"/>
      <c r="BX381" s="697"/>
      <c r="BY381" s="697"/>
      <c r="BZ381" s="697"/>
      <c r="CA381" s="697"/>
      <c r="CB381" s="697"/>
      <c r="CC381" s="697"/>
      <c r="CD381" s="697"/>
      <c r="CE381" s="697"/>
      <c r="CF381" s="697"/>
      <c r="CG381" s="697"/>
      <c r="CH381" s="697"/>
      <c r="CI381" s="697"/>
      <c r="CJ381" s="698"/>
      <c r="CK381" s="627"/>
      <c r="CL381" s="628"/>
      <c r="CM381" s="628"/>
      <c r="CN381" s="628"/>
      <c r="CO381" s="628"/>
      <c r="CP381" s="628"/>
      <c r="CQ381" s="628"/>
      <c r="CR381" s="628"/>
      <c r="CS381" s="628"/>
      <c r="CT381" s="628"/>
      <c r="CU381" s="628"/>
      <c r="CV381" s="628"/>
      <c r="CW381" s="628"/>
      <c r="CX381" s="628"/>
      <c r="CY381" s="628"/>
      <c r="CZ381" s="629"/>
      <c r="DA381" s="240"/>
    </row>
    <row r="382" spans="1:105" s="16" customFormat="1" ht="15" hidden="1" customHeight="1" x14ac:dyDescent="0.3">
      <c r="A382" s="630"/>
      <c r="B382" s="631"/>
      <c r="C382" s="631"/>
      <c r="D382" s="631"/>
      <c r="E382" s="631"/>
      <c r="F382" s="631"/>
      <c r="G382" s="632"/>
      <c r="H382" s="584"/>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5"/>
      <c r="AL382" s="585"/>
      <c r="AM382" s="585"/>
      <c r="AN382" s="586"/>
      <c r="AO382" s="627"/>
      <c r="AP382" s="628"/>
      <c r="AQ382" s="628"/>
      <c r="AR382" s="628"/>
      <c r="AS382" s="628"/>
      <c r="AT382" s="628"/>
      <c r="AU382" s="628"/>
      <c r="AV382" s="628"/>
      <c r="AW382" s="628"/>
      <c r="AX382" s="628"/>
      <c r="AY382" s="628"/>
      <c r="AZ382" s="628"/>
      <c r="BA382" s="628"/>
      <c r="BB382" s="628"/>
      <c r="BC382" s="628"/>
      <c r="BD382" s="629"/>
      <c r="BE382" s="627"/>
      <c r="BF382" s="628"/>
      <c r="BG382" s="628"/>
      <c r="BH382" s="628"/>
      <c r="BI382" s="628"/>
      <c r="BJ382" s="628"/>
      <c r="BK382" s="628"/>
      <c r="BL382" s="628"/>
      <c r="BM382" s="628"/>
      <c r="BN382" s="628"/>
      <c r="BO382" s="628"/>
      <c r="BP382" s="628"/>
      <c r="BQ382" s="628"/>
      <c r="BR382" s="628"/>
      <c r="BS382" s="628"/>
      <c r="BT382" s="629"/>
      <c r="BU382" s="696"/>
      <c r="BV382" s="697"/>
      <c r="BW382" s="697"/>
      <c r="BX382" s="697"/>
      <c r="BY382" s="697"/>
      <c r="BZ382" s="697"/>
      <c r="CA382" s="697"/>
      <c r="CB382" s="697"/>
      <c r="CC382" s="697"/>
      <c r="CD382" s="697"/>
      <c r="CE382" s="697"/>
      <c r="CF382" s="697"/>
      <c r="CG382" s="697"/>
      <c r="CH382" s="697"/>
      <c r="CI382" s="697"/>
      <c r="CJ382" s="698"/>
      <c r="CK382" s="627"/>
      <c r="CL382" s="628"/>
      <c r="CM382" s="628"/>
      <c r="CN382" s="628"/>
      <c r="CO382" s="628"/>
      <c r="CP382" s="628"/>
      <c r="CQ382" s="628"/>
      <c r="CR382" s="628"/>
      <c r="CS382" s="628"/>
      <c r="CT382" s="628"/>
      <c r="CU382" s="628"/>
      <c r="CV382" s="628"/>
      <c r="CW382" s="628"/>
      <c r="CX382" s="628"/>
      <c r="CY382" s="628"/>
      <c r="CZ382" s="629"/>
      <c r="DA382" s="240"/>
    </row>
    <row r="383" spans="1:105" s="16" customFormat="1" ht="15" hidden="1" customHeight="1" x14ac:dyDescent="0.3">
      <c r="A383" s="630"/>
      <c r="B383" s="631"/>
      <c r="C383" s="631"/>
      <c r="D383" s="631"/>
      <c r="E383" s="631"/>
      <c r="F383" s="631"/>
      <c r="G383" s="632"/>
      <c r="H383" s="584"/>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5"/>
      <c r="AL383" s="585"/>
      <c r="AM383" s="585"/>
      <c r="AN383" s="586"/>
      <c r="AO383" s="627"/>
      <c r="AP383" s="628"/>
      <c r="AQ383" s="628"/>
      <c r="AR383" s="628"/>
      <c r="AS383" s="628"/>
      <c r="AT383" s="628"/>
      <c r="AU383" s="628"/>
      <c r="AV383" s="628"/>
      <c r="AW383" s="628"/>
      <c r="AX383" s="628"/>
      <c r="AY383" s="628"/>
      <c r="AZ383" s="628"/>
      <c r="BA383" s="628"/>
      <c r="BB383" s="628"/>
      <c r="BC383" s="628"/>
      <c r="BD383" s="629"/>
      <c r="BE383" s="627"/>
      <c r="BF383" s="628"/>
      <c r="BG383" s="628"/>
      <c r="BH383" s="628"/>
      <c r="BI383" s="628"/>
      <c r="BJ383" s="628"/>
      <c r="BK383" s="628"/>
      <c r="BL383" s="628"/>
      <c r="BM383" s="628"/>
      <c r="BN383" s="628"/>
      <c r="BO383" s="628"/>
      <c r="BP383" s="628"/>
      <c r="BQ383" s="628"/>
      <c r="BR383" s="628"/>
      <c r="BS383" s="628"/>
      <c r="BT383" s="629"/>
      <c r="BU383" s="696"/>
      <c r="BV383" s="697"/>
      <c r="BW383" s="697"/>
      <c r="BX383" s="697"/>
      <c r="BY383" s="697"/>
      <c r="BZ383" s="697"/>
      <c r="CA383" s="697"/>
      <c r="CB383" s="697"/>
      <c r="CC383" s="697"/>
      <c r="CD383" s="697"/>
      <c r="CE383" s="697"/>
      <c r="CF383" s="697"/>
      <c r="CG383" s="697"/>
      <c r="CH383" s="697"/>
      <c r="CI383" s="697"/>
      <c r="CJ383" s="698"/>
      <c r="CK383" s="627"/>
      <c r="CL383" s="628"/>
      <c r="CM383" s="628"/>
      <c r="CN383" s="628"/>
      <c r="CO383" s="628"/>
      <c r="CP383" s="628"/>
      <c r="CQ383" s="628"/>
      <c r="CR383" s="628"/>
      <c r="CS383" s="628"/>
      <c r="CT383" s="628"/>
      <c r="CU383" s="628"/>
      <c r="CV383" s="628"/>
      <c r="CW383" s="628"/>
      <c r="CX383" s="628"/>
      <c r="CY383" s="628"/>
      <c r="CZ383" s="629"/>
      <c r="DA383" s="240"/>
    </row>
    <row r="384" spans="1:105" s="16" customFormat="1" ht="15" hidden="1" customHeight="1" x14ac:dyDescent="0.3">
      <c r="A384" s="553" t="s">
        <v>292</v>
      </c>
      <c r="B384" s="554"/>
      <c r="C384" s="554"/>
      <c r="D384" s="554"/>
      <c r="E384" s="554"/>
      <c r="F384" s="554"/>
      <c r="G384" s="554"/>
      <c r="H384" s="554"/>
      <c r="I384" s="554"/>
      <c r="J384" s="554"/>
      <c r="K384" s="554"/>
      <c r="L384" s="554"/>
      <c r="M384" s="554"/>
      <c r="N384" s="554"/>
      <c r="O384" s="554"/>
      <c r="P384" s="554"/>
      <c r="Q384" s="554"/>
      <c r="R384" s="554"/>
      <c r="S384" s="554"/>
      <c r="T384" s="554"/>
      <c r="U384" s="554"/>
      <c r="V384" s="554"/>
      <c r="W384" s="554"/>
      <c r="X384" s="554"/>
      <c r="Y384" s="554"/>
      <c r="Z384" s="554"/>
      <c r="AA384" s="554"/>
      <c r="AB384" s="554"/>
      <c r="AC384" s="554"/>
      <c r="AD384" s="554"/>
      <c r="AE384" s="554"/>
      <c r="AF384" s="554"/>
      <c r="AG384" s="554"/>
      <c r="AH384" s="554"/>
      <c r="AI384" s="554"/>
      <c r="AJ384" s="554"/>
      <c r="AK384" s="554"/>
      <c r="AL384" s="554"/>
      <c r="AM384" s="554"/>
      <c r="AN384" s="555"/>
      <c r="AO384" s="544" t="s">
        <v>4</v>
      </c>
      <c r="AP384" s="545"/>
      <c r="AQ384" s="545"/>
      <c r="AR384" s="545"/>
      <c r="AS384" s="545"/>
      <c r="AT384" s="545"/>
      <c r="AU384" s="545"/>
      <c r="AV384" s="545"/>
      <c r="AW384" s="545"/>
      <c r="AX384" s="545"/>
      <c r="AY384" s="545"/>
      <c r="AZ384" s="545"/>
      <c r="BA384" s="545"/>
      <c r="BB384" s="545"/>
      <c r="BC384" s="545"/>
      <c r="BD384" s="546"/>
      <c r="BE384" s="544" t="s">
        <v>4</v>
      </c>
      <c r="BF384" s="545"/>
      <c r="BG384" s="545"/>
      <c r="BH384" s="545"/>
      <c r="BI384" s="545"/>
      <c r="BJ384" s="545"/>
      <c r="BK384" s="545"/>
      <c r="BL384" s="545"/>
      <c r="BM384" s="545"/>
      <c r="BN384" s="545"/>
      <c r="BO384" s="545"/>
      <c r="BP384" s="545"/>
      <c r="BQ384" s="545"/>
      <c r="BR384" s="545"/>
      <c r="BS384" s="545"/>
      <c r="BT384" s="546"/>
      <c r="BU384" s="544" t="s">
        <v>4</v>
      </c>
      <c r="BV384" s="545"/>
      <c r="BW384" s="545"/>
      <c r="BX384" s="545"/>
      <c r="BY384" s="545"/>
      <c r="BZ384" s="545"/>
      <c r="CA384" s="545"/>
      <c r="CB384" s="545"/>
      <c r="CC384" s="545"/>
      <c r="CD384" s="545"/>
      <c r="CE384" s="545"/>
      <c r="CF384" s="545"/>
      <c r="CG384" s="545"/>
      <c r="CH384" s="545"/>
      <c r="CI384" s="545"/>
      <c r="CJ384" s="546"/>
      <c r="CK384" s="636">
        <f>CK380+CK381+CK382+CK383</f>
        <v>0</v>
      </c>
      <c r="CL384" s="654"/>
      <c r="CM384" s="654"/>
      <c r="CN384" s="654"/>
      <c r="CO384" s="654"/>
      <c r="CP384" s="654"/>
      <c r="CQ384" s="654"/>
      <c r="CR384" s="654"/>
      <c r="CS384" s="654"/>
      <c r="CT384" s="654"/>
      <c r="CU384" s="654"/>
      <c r="CV384" s="654"/>
      <c r="CW384" s="654"/>
      <c r="CX384" s="654"/>
      <c r="CY384" s="654"/>
      <c r="CZ384" s="655"/>
      <c r="DA384" s="214"/>
    </row>
    <row r="385" spans="1:105" s="16" customFormat="1" ht="15" hidden="1" customHeight="1" x14ac:dyDescent="0.3">
      <c r="A385" s="648" t="s">
        <v>258</v>
      </c>
      <c r="B385" s="649"/>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9"/>
      <c r="AL385" s="649"/>
      <c r="AM385" s="649"/>
      <c r="AN385" s="649"/>
      <c r="AO385" s="649"/>
      <c r="AP385" s="649"/>
      <c r="AQ385" s="649"/>
      <c r="AR385" s="649"/>
      <c r="AS385" s="649"/>
      <c r="AT385" s="649"/>
      <c r="AU385" s="649"/>
      <c r="AV385" s="649"/>
      <c r="AW385" s="649"/>
      <c r="AX385" s="649"/>
      <c r="AY385" s="649"/>
      <c r="AZ385" s="649"/>
      <c r="BA385" s="649"/>
      <c r="BB385" s="649"/>
      <c r="BC385" s="649"/>
      <c r="BD385" s="649"/>
      <c r="BE385" s="649"/>
      <c r="BF385" s="649"/>
      <c r="BG385" s="649"/>
      <c r="BH385" s="649"/>
      <c r="BI385" s="649"/>
      <c r="BJ385" s="649"/>
      <c r="BK385" s="649"/>
      <c r="BL385" s="649"/>
      <c r="BM385" s="649"/>
      <c r="BN385" s="649"/>
      <c r="BO385" s="649"/>
      <c r="BP385" s="649"/>
      <c r="BQ385" s="649"/>
      <c r="BR385" s="649"/>
      <c r="BS385" s="649"/>
      <c r="BT385" s="649"/>
      <c r="BU385" s="649"/>
      <c r="BV385" s="649"/>
      <c r="BW385" s="649"/>
      <c r="BX385" s="649"/>
      <c r="BY385" s="649"/>
      <c r="BZ385" s="649"/>
      <c r="CA385" s="649"/>
      <c r="CB385" s="649"/>
      <c r="CC385" s="649"/>
      <c r="CD385" s="649"/>
      <c r="CE385" s="649"/>
      <c r="CF385" s="649"/>
      <c r="CG385" s="649"/>
      <c r="CH385" s="649"/>
      <c r="CI385" s="649"/>
      <c r="CJ385" s="649"/>
      <c r="CK385" s="649"/>
      <c r="CL385" s="649"/>
      <c r="CM385" s="649"/>
      <c r="CN385" s="649"/>
      <c r="CO385" s="649"/>
      <c r="CP385" s="649"/>
      <c r="CQ385" s="649"/>
      <c r="CR385" s="649"/>
      <c r="CS385" s="649"/>
      <c r="CT385" s="649"/>
      <c r="CU385" s="649"/>
      <c r="CV385" s="649"/>
      <c r="CW385" s="649"/>
      <c r="CX385" s="649"/>
      <c r="CY385" s="649"/>
      <c r="CZ385" s="649"/>
      <c r="DA385" s="214"/>
    </row>
    <row r="386" spans="1:105" s="16" customFormat="1" ht="15" hidden="1" customHeight="1" x14ac:dyDescent="0.3">
      <c r="A386" s="630"/>
      <c r="B386" s="631"/>
      <c r="C386" s="631"/>
      <c r="D386" s="631"/>
      <c r="E386" s="631"/>
      <c r="F386" s="631"/>
      <c r="G386" s="632"/>
      <c r="H386" s="584"/>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5"/>
      <c r="AL386" s="585"/>
      <c r="AM386" s="585"/>
      <c r="AN386" s="585"/>
      <c r="AO386" s="585"/>
      <c r="AP386" s="585"/>
      <c r="AQ386" s="585"/>
      <c r="AR386" s="585"/>
      <c r="AS386" s="585"/>
      <c r="AT386" s="585"/>
      <c r="AU386" s="585"/>
      <c r="AV386" s="585"/>
      <c r="AW386" s="585"/>
      <c r="AX386" s="585"/>
      <c r="AY386" s="585"/>
      <c r="AZ386" s="585"/>
      <c r="BA386" s="585"/>
      <c r="BB386" s="586"/>
      <c r="BC386" s="544"/>
      <c r="BD386" s="545"/>
      <c r="BE386" s="545"/>
      <c r="BF386" s="545"/>
      <c r="BG386" s="545"/>
      <c r="BH386" s="545"/>
      <c r="BI386" s="545"/>
      <c r="BJ386" s="545"/>
      <c r="BK386" s="545"/>
      <c r="BL386" s="545"/>
      <c r="BM386" s="545"/>
      <c r="BN386" s="545"/>
      <c r="BO386" s="545"/>
      <c r="BP386" s="545"/>
      <c r="BQ386" s="545"/>
      <c r="BR386" s="546"/>
      <c r="BS386" s="544"/>
      <c r="BT386" s="545"/>
      <c r="BU386" s="545"/>
      <c r="BV386" s="545"/>
      <c r="BW386" s="545"/>
      <c r="BX386" s="545"/>
      <c r="BY386" s="545"/>
      <c r="BZ386" s="545"/>
      <c r="CA386" s="545"/>
      <c r="CB386" s="545"/>
      <c r="CC386" s="545"/>
      <c r="CD386" s="545"/>
      <c r="CE386" s="545"/>
      <c r="CF386" s="545"/>
      <c r="CG386" s="545"/>
      <c r="CH386" s="546"/>
      <c r="CI386" s="544"/>
      <c r="CJ386" s="545"/>
      <c r="CK386" s="545"/>
      <c r="CL386" s="545"/>
      <c r="CM386" s="545"/>
      <c r="CN386" s="545"/>
      <c r="CO386" s="545"/>
      <c r="CP386" s="545"/>
      <c r="CQ386" s="545"/>
      <c r="CR386" s="545"/>
      <c r="CS386" s="545"/>
      <c r="CT386" s="545"/>
      <c r="CU386" s="545"/>
      <c r="CV386" s="545"/>
      <c r="CW386" s="545"/>
      <c r="CX386" s="545"/>
      <c r="CY386" s="545"/>
      <c r="CZ386" s="546"/>
      <c r="DA386" s="214"/>
    </row>
    <row r="387" spans="1:105" s="16" customFormat="1" ht="15" hidden="1" customHeight="1" x14ac:dyDescent="0.3">
      <c r="A387" s="633" t="s">
        <v>292</v>
      </c>
      <c r="B387" s="634"/>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4"/>
      <c r="AL387" s="634"/>
      <c r="AM387" s="634"/>
      <c r="AN387" s="634"/>
      <c r="AO387" s="634"/>
      <c r="AP387" s="634"/>
      <c r="AQ387" s="634"/>
      <c r="AR387" s="634"/>
      <c r="AS387" s="634"/>
      <c r="AT387" s="634"/>
      <c r="AU387" s="634"/>
      <c r="AV387" s="634"/>
      <c r="AW387" s="634"/>
      <c r="AX387" s="634"/>
      <c r="AY387" s="634"/>
      <c r="AZ387" s="634"/>
      <c r="BA387" s="634"/>
      <c r="BB387" s="635"/>
      <c r="BC387" s="582" t="s">
        <v>4</v>
      </c>
      <c r="BD387" s="582"/>
      <c r="BE387" s="582"/>
      <c r="BF387" s="582"/>
      <c r="BG387" s="582"/>
      <c r="BH387" s="582"/>
      <c r="BI387" s="582"/>
      <c r="BJ387" s="582"/>
      <c r="BK387" s="582"/>
      <c r="BL387" s="582"/>
      <c r="BM387" s="582"/>
      <c r="BN387" s="582"/>
      <c r="BO387" s="582"/>
      <c r="BP387" s="582"/>
      <c r="BQ387" s="582"/>
      <c r="BR387" s="582"/>
      <c r="BS387" s="582" t="s">
        <v>4</v>
      </c>
      <c r="BT387" s="582"/>
      <c r="BU387" s="582"/>
      <c r="BV387" s="582"/>
      <c r="BW387" s="582"/>
      <c r="BX387" s="582"/>
      <c r="BY387" s="582"/>
      <c r="BZ387" s="582"/>
      <c r="CA387" s="582"/>
      <c r="CB387" s="582"/>
      <c r="CC387" s="582"/>
      <c r="CD387" s="582"/>
      <c r="CE387" s="582"/>
      <c r="CF387" s="582"/>
      <c r="CG387" s="582"/>
      <c r="CH387" s="582"/>
      <c r="CI387" s="544"/>
      <c r="CJ387" s="545"/>
      <c r="CK387" s="545"/>
      <c r="CL387" s="545"/>
      <c r="CM387" s="545"/>
      <c r="CN387" s="545"/>
      <c r="CO387" s="545"/>
      <c r="CP387" s="545"/>
      <c r="CQ387" s="545"/>
      <c r="CR387" s="545"/>
      <c r="CS387" s="545"/>
      <c r="CT387" s="545"/>
      <c r="CU387" s="545"/>
      <c r="CV387" s="545"/>
      <c r="CW387" s="545"/>
      <c r="CX387" s="545"/>
      <c r="CY387" s="545"/>
      <c r="CZ387" s="546"/>
      <c r="DA387" s="214"/>
    </row>
    <row r="388" spans="1:105" s="16" customFormat="1" ht="15" hidden="1" customHeight="1" x14ac:dyDescent="0.3">
      <c r="A388" s="553" t="s">
        <v>56</v>
      </c>
      <c r="B388" s="554"/>
      <c r="C388" s="554"/>
      <c r="D388" s="554"/>
      <c r="E388" s="554"/>
      <c r="F388" s="554"/>
      <c r="G388" s="554"/>
      <c r="H388" s="554"/>
      <c r="I388" s="554"/>
      <c r="J388" s="554"/>
      <c r="K388" s="554"/>
      <c r="L388" s="554"/>
      <c r="M388" s="554"/>
      <c r="N388" s="554"/>
      <c r="O388" s="554"/>
      <c r="P388" s="554"/>
      <c r="Q388" s="554"/>
      <c r="R388" s="554"/>
      <c r="S388" s="554"/>
      <c r="T388" s="554"/>
      <c r="U388" s="554"/>
      <c r="V388" s="554"/>
      <c r="W388" s="554"/>
      <c r="X388" s="554"/>
      <c r="Y388" s="554"/>
      <c r="Z388" s="554"/>
      <c r="AA388" s="554"/>
      <c r="AB388" s="554"/>
      <c r="AC388" s="554"/>
      <c r="AD388" s="554"/>
      <c r="AE388" s="554"/>
      <c r="AF388" s="554"/>
      <c r="AG388" s="554"/>
      <c r="AH388" s="554"/>
      <c r="AI388" s="554"/>
      <c r="AJ388" s="554"/>
      <c r="AK388" s="554"/>
      <c r="AL388" s="554"/>
      <c r="AM388" s="554"/>
      <c r="AN388" s="555"/>
      <c r="AO388" s="544" t="s">
        <v>4</v>
      </c>
      <c r="AP388" s="545"/>
      <c r="AQ388" s="545"/>
      <c r="AR388" s="545"/>
      <c r="AS388" s="545"/>
      <c r="AT388" s="545"/>
      <c r="AU388" s="545"/>
      <c r="AV388" s="545"/>
      <c r="AW388" s="545"/>
      <c r="AX388" s="545"/>
      <c r="AY388" s="545"/>
      <c r="AZ388" s="545"/>
      <c r="BA388" s="545"/>
      <c r="BB388" s="545"/>
      <c r="BC388" s="545"/>
      <c r="BD388" s="546"/>
      <c r="BE388" s="544" t="s">
        <v>4</v>
      </c>
      <c r="BF388" s="545"/>
      <c r="BG388" s="545"/>
      <c r="BH388" s="545"/>
      <c r="BI388" s="545"/>
      <c r="BJ388" s="545"/>
      <c r="BK388" s="545"/>
      <c r="BL388" s="545"/>
      <c r="BM388" s="545"/>
      <c r="BN388" s="545"/>
      <c r="BO388" s="545"/>
      <c r="BP388" s="545"/>
      <c r="BQ388" s="545"/>
      <c r="BR388" s="545"/>
      <c r="BS388" s="545"/>
      <c r="BT388" s="546"/>
      <c r="BU388" s="544" t="s">
        <v>4</v>
      </c>
      <c r="BV388" s="545"/>
      <c r="BW388" s="545"/>
      <c r="BX388" s="545"/>
      <c r="BY388" s="545"/>
      <c r="BZ388" s="545"/>
      <c r="CA388" s="545"/>
      <c r="CB388" s="545"/>
      <c r="CC388" s="545"/>
      <c r="CD388" s="545"/>
      <c r="CE388" s="545"/>
      <c r="CF388" s="545"/>
      <c r="CG388" s="545"/>
      <c r="CH388" s="545"/>
      <c r="CI388" s="545"/>
      <c r="CJ388" s="546"/>
      <c r="CK388" s="636">
        <f>CK384</f>
        <v>0</v>
      </c>
      <c r="CL388" s="637"/>
      <c r="CM388" s="637"/>
      <c r="CN388" s="637"/>
      <c r="CO388" s="637"/>
      <c r="CP388" s="637"/>
      <c r="CQ388" s="637"/>
      <c r="CR388" s="637"/>
      <c r="CS388" s="637"/>
      <c r="CT388" s="637"/>
      <c r="CU388" s="637"/>
      <c r="CV388" s="637"/>
      <c r="CW388" s="637"/>
      <c r="CX388" s="637"/>
      <c r="CY388" s="637"/>
      <c r="CZ388" s="638"/>
      <c r="DA388" s="220"/>
    </row>
    <row r="389" spans="1:105" s="16" customFormat="1" ht="15" hidden="1" customHeight="1" x14ac:dyDescent="0.3">
      <c r="A389" s="656" t="s">
        <v>591</v>
      </c>
      <c r="B389" s="657"/>
      <c r="C389" s="657"/>
      <c r="D389" s="657"/>
      <c r="E389" s="657"/>
      <c r="F389" s="657"/>
      <c r="G389" s="657"/>
      <c r="H389" s="657"/>
      <c r="I389" s="657"/>
      <c r="J389" s="657"/>
      <c r="K389" s="657"/>
      <c r="L389" s="657"/>
      <c r="M389" s="657"/>
      <c r="N389" s="657"/>
      <c r="O389" s="657"/>
      <c r="P389" s="657"/>
      <c r="Q389" s="657"/>
      <c r="R389" s="657"/>
      <c r="S389" s="657"/>
      <c r="T389" s="657"/>
      <c r="U389" s="657"/>
      <c r="V389" s="657"/>
      <c r="W389" s="657"/>
      <c r="X389" s="657"/>
      <c r="Y389" s="657"/>
      <c r="Z389" s="657"/>
      <c r="AA389" s="657"/>
      <c r="AB389" s="657"/>
      <c r="AC389" s="657"/>
      <c r="AD389" s="657"/>
      <c r="AE389" s="657"/>
      <c r="AF389" s="657"/>
      <c r="AG389" s="657"/>
      <c r="AH389" s="657"/>
      <c r="AI389" s="657"/>
      <c r="AJ389" s="657"/>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57"/>
      <c r="BQ389" s="657"/>
      <c r="BR389" s="657"/>
      <c r="BS389" s="657"/>
      <c r="BT389" s="657"/>
      <c r="BU389" s="657"/>
      <c r="BV389" s="657"/>
      <c r="BW389" s="657"/>
      <c r="BX389" s="657"/>
      <c r="BY389" s="657"/>
      <c r="BZ389" s="657"/>
      <c r="CA389" s="657"/>
      <c r="CB389" s="657"/>
      <c r="CC389" s="657"/>
      <c r="CD389" s="657"/>
      <c r="CE389" s="657"/>
      <c r="CF389" s="657"/>
      <c r="CG389" s="657"/>
      <c r="CH389" s="657"/>
      <c r="CI389" s="657"/>
      <c r="CJ389" s="657"/>
      <c r="CK389" s="657"/>
      <c r="CL389" s="657"/>
      <c r="CM389" s="657"/>
      <c r="CN389" s="657"/>
      <c r="CO389" s="657"/>
      <c r="CP389" s="657"/>
      <c r="CQ389" s="657"/>
      <c r="CR389" s="657"/>
      <c r="CS389" s="657"/>
      <c r="CT389" s="657"/>
      <c r="CU389" s="657"/>
      <c r="CV389" s="657"/>
      <c r="CW389" s="657"/>
      <c r="CX389" s="657"/>
      <c r="CY389" s="657"/>
      <c r="CZ389" s="658"/>
      <c r="DA389" s="220"/>
    </row>
    <row r="390" spans="1:105" s="16" customFormat="1" ht="15" hidden="1" customHeight="1" x14ac:dyDescent="0.3">
      <c r="A390" s="630"/>
      <c r="B390" s="631"/>
      <c r="C390" s="631"/>
      <c r="D390" s="631"/>
      <c r="E390" s="631"/>
      <c r="F390" s="631"/>
      <c r="G390" s="632"/>
      <c r="H390" s="584"/>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5"/>
      <c r="AL390" s="585"/>
      <c r="AM390" s="585"/>
      <c r="AN390" s="586"/>
      <c r="AO390" s="639"/>
      <c r="AP390" s="640"/>
      <c r="AQ390" s="640"/>
      <c r="AR390" s="640"/>
      <c r="AS390" s="640"/>
      <c r="AT390" s="640"/>
      <c r="AU390" s="640"/>
      <c r="AV390" s="640"/>
      <c r="AW390" s="640"/>
      <c r="AX390" s="640"/>
      <c r="AY390" s="640"/>
      <c r="AZ390" s="640"/>
      <c r="BA390" s="640"/>
      <c r="BB390" s="640"/>
      <c r="BC390" s="640"/>
      <c r="BD390" s="641"/>
      <c r="BE390" s="627"/>
      <c r="BF390" s="628"/>
      <c r="BG390" s="628"/>
      <c r="BH390" s="628"/>
      <c r="BI390" s="628"/>
      <c r="BJ390" s="628"/>
      <c r="BK390" s="628"/>
      <c r="BL390" s="628"/>
      <c r="BM390" s="628"/>
      <c r="BN390" s="628"/>
      <c r="BO390" s="628"/>
      <c r="BP390" s="628"/>
      <c r="BQ390" s="628"/>
      <c r="BR390" s="628"/>
      <c r="BS390" s="628"/>
      <c r="BT390" s="629"/>
      <c r="BU390" s="696"/>
      <c r="BV390" s="697"/>
      <c r="BW390" s="697"/>
      <c r="BX390" s="697"/>
      <c r="BY390" s="697"/>
      <c r="BZ390" s="697"/>
      <c r="CA390" s="697"/>
      <c r="CB390" s="697"/>
      <c r="CC390" s="697"/>
      <c r="CD390" s="697"/>
      <c r="CE390" s="697"/>
      <c r="CF390" s="697"/>
      <c r="CG390" s="697"/>
      <c r="CH390" s="697"/>
      <c r="CI390" s="697"/>
      <c r="CJ390" s="698"/>
      <c r="CK390" s="627"/>
      <c r="CL390" s="628"/>
      <c r="CM390" s="628"/>
      <c r="CN390" s="628"/>
      <c r="CO390" s="628"/>
      <c r="CP390" s="628"/>
      <c r="CQ390" s="628"/>
      <c r="CR390" s="628"/>
      <c r="CS390" s="628"/>
      <c r="CT390" s="628"/>
      <c r="CU390" s="628"/>
      <c r="CV390" s="628"/>
      <c r="CW390" s="628"/>
      <c r="CX390" s="628"/>
      <c r="CY390" s="628"/>
      <c r="CZ390" s="629"/>
      <c r="DA390" s="214"/>
    </row>
    <row r="391" spans="1:105" s="16" customFormat="1" ht="15" hidden="1" customHeight="1" x14ac:dyDescent="0.3">
      <c r="A391" s="630"/>
      <c r="B391" s="631"/>
      <c r="C391" s="631"/>
      <c r="D391" s="631"/>
      <c r="E391" s="631"/>
      <c r="F391" s="631"/>
      <c r="G391" s="632"/>
      <c r="H391" s="584"/>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5"/>
      <c r="AL391" s="585"/>
      <c r="AM391" s="585"/>
      <c r="AN391" s="586"/>
      <c r="AO391" s="639"/>
      <c r="AP391" s="640"/>
      <c r="AQ391" s="640"/>
      <c r="AR391" s="640"/>
      <c r="AS391" s="640"/>
      <c r="AT391" s="640"/>
      <c r="AU391" s="640"/>
      <c r="AV391" s="640"/>
      <c r="AW391" s="640"/>
      <c r="AX391" s="640"/>
      <c r="AY391" s="640"/>
      <c r="AZ391" s="640"/>
      <c r="BA391" s="640"/>
      <c r="BB391" s="640"/>
      <c r="BC391" s="640"/>
      <c r="BD391" s="641"/>
      <c r="BE391" s="627"/>
      <c r="BF391" s="628"/>
      <c r="BG391" s="628"/>
      <c r="BH391" s="628"/>
      <c r="BI391" s="628"/>
      <c r="BJ391" s="628"/>
      <c r="BK391" s="628"/>
      <c r="BL391" s="628"/>
      <c r="BM391" s="628"/>
      <c r="BN391" s="628"/>
      <c r="BO391" s="628"/>
      <c r="BP391" s="628"/>
      <c r="BQ391" s="628"/>
      <c r="BR391" s="628"/>
      <c r="BS391" s="628"/>
      <c r="BT391" s="629"/>
      <c r="BU391" s="696"/>
      <c r="BV391" s="697"/>
      <c r="BW391" s="697"/>
      <c r="BX391" s="697"/>
      <c r="BY391" s="697"/>
      <c r="BZ391" s="697"/>
      <c r="CA391" s="697"/>
      <c r="CB391" s="697"/>
      <c r="CC391" s="697"/>
      <c r="CD391" s="697"/>
      <c r="CE391" s="697"/>
      <c r="CF391" s="697"/>
      <c r="CG391" s="697"/>
      <c r="CH391" s="697"/>
      <c r="CI391" s="697"/>
      <c r="CJ391" s="698"/>
      <c r="CK391" s="627"/>
      <c r="CL391" s="628"/>
      <c r="CM391" s="628"/>
      <c r="CN391" s="628"/>
      <c r="CO391" s="628"/>
      <c r="CP391" s="628"/>
      <c r="CQ391" s="628"/>
      <c r="CR391" s="628"/>
      <c r="CS391" s="628"/>
      <c r="CT391" s="628"/>
      <c r="CU391" s="628"/>
      <c r="CV391" s="628"/>
      <c r="CW391" s="628"/>
      <c r="CX391" s="628"/>
      <c r="CY391" s="628"/>
      <c r="CZ391" s="629"/>
      <c r="DA391" s="214"/>
    </row>
    <row r="392" spans="1:105" s="16" customFormat="1" ht="15" hidden="1" customHeight="1" x14ac:dyDescent="0.3">
      <c r="A392" s="630"/>
      <c r="B392" s="631"/>
      <c r="C392" s="631"/>
      <c r="D392" s="631"/>
      <c r="E392" s="631"/>
      <c r="F392" s="631"/>
      <c r="G392" s="632"/>
      <c r="H392" s="584"/>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5"/>
      <c r="AL392" s="585"/>
      <c r="AM392" s="585"/>
      <c r="AN392" s="586"/>
      <c r="AO392" s="639"/>
      <c r="AP392" s="640"/>
      <c r="AQ392" s="640"/>
      <c r="AR392" s="640"/>
      <c r="AS392" s="640"/>
      <c r="AT392" s="640"/>
      <c r="AU392" s="640"/>
      <c r="AV392" s="640"/>
      <c r="AW392" s="640"/>
      <c r="AX392" s="640"/>
      <c r="AY392" s="640"/>
      <c r="AZ392" s="640"/>
      <c r="BA392" s="640"/>
      <c r="BB392" s="640"/>
      <c r="BC392" s="640"/>
      <c r="BD392" s="641"/>
      <c r="BE392" s="627"/>
      <c r="BF392" s="628"/>
      <c r="BG392" s="628"/>
      <c r="BH392" s="628"/>
      <c r="BI392" s="628"/>
      <c r="BJ392" s="628"/>
      <c r="BK392" s="628"/>
      <c r="BL392" s="628"/>
      <c r="BM392" s="628"/>
      <c r="BN392" s="628"/>
      <c r="BO392" s="628"/>
      <c r="BP392" s="628"/>
      <c r="BQ392" s="628"/>
      <c r="BR392" s="628"/>
      <c r="BS392" s="628"/>
      <c r="BT392" s="629"/>
      <c r="BU392" s="696"/>
      <c r="BV392" s="697"/>
      <c r="BW392" s="697"/>
      <c r="BX392" s="697"/>
      <c r="BY392" s="697"/>
      <c r="BZ392" s="697"/>
      <c r="CA392" s="697"/>
      <c r="CB392" s="697"/>
      <c r="CC392" s="697"/>
      <c r="CD392" s="697"/>
      <c r="CE392" s="697"/>
      <c r="CF392" s="697"/>
      <c r="CG392" s="697"/>
      <c r="CH392" s="697"/>
      <c r="CI392" s="697"/>
      <c r="CJ392" s="698"/>
      <c r="CK392" s="627"/>
      <c r="CL392" s="628"/>
      <c r="CM392" s="628"/>
      <c r="CN392" s="628"/>
      <c r="CO392" s="628"/>
      <c r="CP392" s="628"/>
      <c r="CQ392" s="628"/>
      <c r="CR392" s="628"/>
      <c r="CS392" s="628"/>
      <c r="CT392" s="628"/>
      <c r="CU392" s="628"/>
      <c r="CV392" s="628"/>
      <c r="CW392" s="628"/>
      <c r="CX392" s="628"/>
      <c r="CY392" s="628"/>
      <c r="CZ392" s="629"/>
      <c r="DA392" s="214"/>
    </row>
    <row r="393" spans="1:105" s="16" customFormat="1" ht="15" hidden="1" customHeight="1" x14ac:dyDescent="0.3">
      <c r="A393" s="553" t="s">
        <v>292</v>
      </c>
      <c r="B393" s="554"/>
      <c r="C393" s="554"/>
      <c r="D393" s="554"/>
      <c r="E393" s="554"/>
      <c r="F393" s="554"/>
      <c r="G393" s="554"/>
      <c r="H393" s="554"/>
      <c r="I393" s="554"/>
      <c r="J393" s="554"/>
      <c r="K393" s="554"/>
      <c r="L393" s="554"/>
      <c r="M393" s="554"/>
      <c r="N393" s="554"/>
      <c r="O393" s="554"/>
      <c r="P393" s="554"/>
      <c r="Q393" s="554"/>
      <c r="R393" s="554"/>
      <c r="S393" s="554"/>
      <c r="T393" s="554"/>
      <c r="U393" s="554"/>
      <c r="V393" s="554"/>
      <c r="W393" s="554"/>
      <c r="X393" s="554"/>
      <c r="Y393" s="554"/>
      <c r="Z393" s="554"/>
      <c r="AA393" s="554"/>
      <c r="AB393" s="554"/>
      <c r="AC393" s="554"/>
      <c r="AD393" s="554"/>
      <c r="AE393" s="554"/>
      <c r="AF393" s="554"/>
      <c r="AG393" s="554"/>
      <c r="AH393" s="554"/>
      <c r="AI393" s="554"/>
      <c r="AJ393" s="554"/>
      <c r="AK393" s="554"/>
      <c r="AL393" s="554"/>
      <c r="AM393" s="554"/>
      <c r="AN393" s="555"/>
      <c r="AO393" s="544" t="s">
        <v>4</v>
      </c>
      <c r="AP393" s="545"/>
      <c r="AQ393" s="545"/>
      <c r="AR393" s="545"/>
      <c r="AS393" s="545"/>
      <c r="AT393" s="545"/>
      <c r="AU393" s="545"/>
      <c r="AV393" s="545"/>
      <c r="AW393" s="545"/>
      <c r="AX393" s="545"/>
      <c r="AY393" s="545"/>
      <c r="AZ393" s="545"/>
      <c r="BA393" s="545"/>
      <c r="BB393" s="545"/>
      <c r="BC393" s="545"/>
      <c r="BD393" s="546"/>
      <c r="BE393" s="544" t="s">
        <v>4</v>
      </c>
      <c r="BF393" s="545"/>
      <c r="BG393" s="545"/>
      <c r="BH393" s="545"/>
      <c r="BI393" s="545"/>
      <c r="BJ393" s="545"/>
      <c r="BK393" s="545"/>
      <c r="BL393" s="545"/>
      <c r="BM393" s="545"/>
      <c r="BN393" s="545"/>
      <c r="BO393" s="545"/>
      <c r="BP393" s="545"/>
      <c r="BQ393" s="545"/>
      <c r="BR393" s="545"/>
      <c r="BS393" s="545"/>
      <c r="BT393" s="546"/>
      <c r="BU393" s="544" t="s">
        <v>4</v>
      </c>
      <c r="BV393" s="545"/>
      <c r="BW393" s="545"/>
      <c r="BX393" s="545"/>
      <c r="BY393" s="545"/>
      <c r="BZ393" s="545"/>
      <c r="CA393" s="545"/>
      <c r="CB393" s="545"/>
      <c r="CC393" s="545"/>
      <c r="CD393" s="545"/>
      <c r="CE393" s="545"/>
      <c r="CF393" s="545"/>
      <c r="CG393" s="545"/>
      <c r="CH393" s="545"/>
      <c r="CI393" s="545"/>
      <c r="CJ393" s="546"/>
      <c r="CK393" s="636">
        <f>SUM(CK390:CK392)</f>
        <v>0</v>
      </c>
      <c r="CL393" s="654"/>
      <c r="CM393" s="654"/>
      <c r="CN393" s="654"/>
      <c r="CO393" s="654"/>
      <c r="CP393" s="654"/>
      <c r="CQ393" s="654"/>
      <c r="CR393" s="654"/>
      <c r="CS393" s="654"/>
      <c r="CT393" s="654"/>
      <c r="CU393" s="654"/>
      <c r="CV393" s="654"/>
      <c r="CW393" s="654"/>
      <c r="CX393" s="654"/>
      <c r="CY393" s="654"/>
      <c r="CZ393" s="655"/>
      <c r="DA393" s="214"/>
    </row>
    <row r="394" spans="1:105" s="16" customFormat="1" ht="15" hidden="1" customHeight="1" x14ac:dyDescent="0.3">
      <c r="A394" s="553" t="s">
        <v>56</v>
      </c>
      <c r="B394" s="554"/>
      <c r="C394" s="554"/>
      <c r="D394" s="554"/>
      <c r="E394" s="554"/>
      <c r="F394" s="554"/>
      <c r="G394" s="554"/>
      <c r="H394" s="554"/>
      <c r="I394" s="554"/>
      <c r="J394" s="554"/>
      <c r="K394" s="554"/>
      <c r="L394" s="554"/>
      <c r="M394" s="554"/>
      <c r="N394" s="554"/>
      <c r="O394" s="554"/>
      <c r="P394" s="554"/>
      <c r="Q394" s="554"/>
      <c r="R394" s="554"/>
      <c r="S394" s="554"/>
      <c r="T394" s="554"/>
      <c r="U394" s="554"/>
      <c r="V394" s="554"/>
      <c r="W394" s="554"/>
      <c r="X394" s="554"/>
      <c r="Y394" s="554"/>
      <c r="Z394" s="554"/>
      <c r="AA394" s="554"/>
      <c r="AB394" s="554"/>
      <c r="AC394" s="554"/>
      <c r="AD394" s="554"/>
      <c r="AE394" s="554"/>
      <c r="AF394" s="554"/>
      <c r="AG394" s="554"/>
      <c r="AH394" s="554"/>
      <c r="AI394" s="554"/>
      <c r="AJ394" s="554"/>
      <c r="AK394" s="554"/>
      <c r="AL394" s="554"/>
      <c r="AM394" s="554"/>
      <c r="AN394" s="555"/>
      <c r="AO394" s="544" t="s">
        <v>4</v>
      </c>
      <c r="AP394" s="545"/>
      <c r="AQ394" s="545"/>
      <c r="AR394" s="545"/>
      <c r="AS394" s="545"/>
      <c r="AT394" s="545"/>
      <c r="AU394" s="545"/>
      <c r="AV394" s="545"/>
      <c r="AW394" s="545"/>
      <c r="AX394" s="545"/>
      <c r="AY394" s="545"/>
      <c r="AZ394" s="545"/>
      <c r="BA394" s="545"/>
      <c r="BB394" s="545"/>
      <c r="BC394" s="545"/>
      <c r="BD394" s="546"/>
      <c r="BE394" s="544" t="s">
        <v>4</v>
      </c>
      <c r="BF394" s="545"/>
      <c r="BG394" s="545"/>
      <c r="BH394" s="545"/>
      <c r="BI394" s="545"/>
      <c r="BJ394" s="545"/>
      <c r="BK394" s="545"/>
      <c r="BL394" s="545"/>
      <c r="BM394" s="545"/>
      <c r="BN394" s="545"/>
      <c r="BO394" s="545"/>
      <c r="BP394" s="545"/>
      <c r="BQ394" s="545"/>
      <c r="BR394" s="545"/>
      <c r="BS394" s="545"/>
      <c r="BT394" s="546"/>
      <c r="BU394" s="544" t="s">
        <v>4</v>
      </c>
      <c r="BV394" s="545"/>
      <c r="BW394" s="545"/>
      <c r="BX394" s="545"/>
      <c r="BY394" s="545"/>
      <c r="BZ394" s="545"/>
      <c r="CA394" s="545"/>
      <c r="CB394" s="545"/>
      <c r="CC394" s="545"/>
      <c r="CD394" s="545"/>
      <c r="CE394" s="545"/>
      <c r="CF394" s="545"/>
      <c r="CG394" s="545"/>
      <c r="CH394" s="545"/>
      <c r="CI394" s="545"/>
      <c r="CJ394" s="546"/>
      <c r="CK394" s="636">
        <f>CK388+CK393</f>
        <v>0</v>
      </c>
      <c r="CL394" s="637"/>
      <c r="CM394" s="637"/>
      <c r="CN394" s="637"/>
      <c r="CO394" s="637"/>
      <c r="CP394" s="637"/>
      <c r="CQ394" s="637"/>
      <c r="CR394" s="637"/>
      <c r="CS394" s="637"/>
      <c r="CT394" s="637"/>
      <c r="CU394" s="637"/>
      <c r="CV394" s="637"/>
      <c r="CW394" s="637"/>
      <c r="CX394" s="637"/>
      <c r="CY394" s="637"/>
      <c r="CZ394" s="638"/>
      <c r="DA394" s="214"/>
    </row>
    <row r="395" spans="1:105" s="16" customFormat="1" ht="15"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0"/>
    </row>
    <row r="396" spans="1:105" s="16" customFormat="1" ht="15" customHeight="1" x14ac:dyDescent="0.25">
      <c r="A396" s="594" t="s">
        <v>364</v>
      </c>
      <c r="B396" s="594"/>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4"/>
      <c r="AL396" s="594"/>
      <c r="AM396" s="594"/>
      <c r="AN396" s="594"/>
      <c r="AO396" s="594"/>
      <c r="AP396" s="594"/>
      <c r="AQ396" s="594"/>
      <c r="AR396" s="594"/>
      <c r="AS396" s="594"/>
      <c r="AT396" s="594"/>
      <c r="AU396" s="594"/>
      <c r="AV396" s="594"/>
      <c r="AW396" s="594"/>
      <c r="AX396" s="594"/>
      <c r="AY396" s="594"/>
      <c r="AZ396" s="594"/>
      <c r="BA396" s="594"/>
      <c r="BB396" s="594"/>
      <c r="BC396" s="594"/>
      <c r="BD396" s="594"/>
      <c r="BE396" s="594"/>
      <c r="BF396" s="594"/>
      <c r="BG396" s="594"/>
      <c r="BH396" s="594"/>
      <c r="BI396" s="594"/>
      <c r="BJ396" s="594"/>
      <c r="BK396" s="594"/>
      <c r="BL396" s="594"/>
      <c r="BM396" s="594"/>
      <c r="BN396" s="594"/>
      <c r="BO396" s="594"/>
      <c r="BP396" s="594"/>
      <c r="BQ396" s="594"/>
      <c r="BR396" s="594"/>
      <c r="BS396" s="594"/>
      <c r="BT396" s="594"/>
      <c r="BU396" s="594"/>
      <c r="BV396" s="594"/>
      <c r="BW396" s="594"/>
      <c r="BX396" s="594"/>
      <c r="BY396" s="594"/>
      <c r="BZ396" s="594"/>
      <c r="CA396" s="594"/>
      <c r="CB396" s="594"/>
      <c r="CC396" s="594"/>
      <c r="CD396" s="594"/>
      <c r="CE396" s="594"/>
      <c r="CF396" s="594"/>
      <c r="CG396" s="594"/>
      <c r="CH396" s="594"/>
      <c r="CI396" s="594"/>
      <c r="CJ396" s="594"/>
      <c r="CK396" s="594"/>
      <c r="CL396" s="594"/>
      <c r="CM396" s="594"/>
      <c r="CN396" s="594"/>
      <c r="CO396" s="594"/>
      <c r="CP396" s="594"/>
      <c r="CQ396" s="594"/>
      <c r="CR396" s="594"/>
      <c r="CS396" s="594"/>
      <c r="CT396" s="594"/>
      <c r="CU396" s="594"/>
      <c r="CV396" s="594"/>
      <c r="CW396" s="594"/>
      <c r="CX396" s="594"/>
      <c r="CY396" s="594"/>
      <c r="CZ396" s="594"/>
      <c r="DA396" s="220"/>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4"/>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95" t="s">
        <v>603</v>
      </c>
      <c r="X398" s="595"/>
      <c r="Y398" s="595"/>
      <c r="Z398" s="595"/>
      <c r="AA398" s="595"/>
      <c r="AB398" s="595"/>
      <c r="AC398" s="595"/>
      <c r="AD398" s="595"/>
      <c r="AE398" s="595"/>
      <c r="AF398" s="595"/>
      <c r="AG398" s="595"/>
      <c r="AH398" s="595"/>
      <c r="AI398" s="595"/>
      <c r="AJ398" s="595"/>
      <c r="AK398" s="595"/>
      <c r="AL398" s="595"/>
      <c r="AM398" s="595"/>
      <c r="AN398" s="595"/>
      <c r="AO398" s="595"/>
      <c r="AP398" s="595"/>
      <c r="AQ398" s="595"/>
      <c r="AR398" s="595"/>
      <c r="AS398" s="595"/>
      <c r="AT398" s="595"/>
      <c r="AU398" s="595"/>
      <c r="AV398" s="595"/>
      <c r="AW398" s="595"/>
      <c r="AX398" s="595"/>
      <c r="AY398" s="595"/>
      <c r="AZ398" s="595"/>
      <c r="BA398" s="595"/>
      <c r="BB398" s="595"/>
      <c r="BC398" s="595"/>
      <c r="BD398" s="595"/>
      <c r="BE398" s="595"/>
      <c r="BF398" s="595"/>
      <c r="BG398" s="595"/>
      <c r="BH398" s="595"/>
      <c r="BI398" s="595"/>
      <c r="BJ398" s="595"/>
      <c r="BK398" s="595"/>
      <c r="BL398" s="595"/>
      <c r="BM398" s="595"/>
      <c r="BN398" s="595"/>
      <c r="BO398" s="595"/>
      <c r="BP398" s="595"/>
      <c r="BQ398" s="595"/>
      <c r="BR398" s="595"/>
      <c r="BS398" s="595"/>
      <c r="BT398" s="595"/>
      <c r="BU398" s="595"/>
      <c r="BV398" s="595"/>
      <c r="BW398" s="595"/>
      <c r="BX398" s="595"/>
      <c r="BY398" s="595"/>
      <c r="BZ398" s="595"/>
      <c r="CA398" s="595"/>
      <c r="CB398" s="595"/>
      <c r="CC398" s="595"/>
      <c r="CD398" s="595"/>
      <c r="CE398" s="595"/>
      <c r="CF398" s="595"/>
      <c r="CG398" s="595"/>
      <c r="CH398" s="595"/>
      <c r="CI398" s="595"/>
      <c r="CJ398" s="595"/>
      <c r="CK398" s="595"/>
      <c r="CL398" s="595"/>
      <c r="CM398" s="595"/>
      <c r="CN398" s="595"/>
      <c r="CO398" s="595"/>
      <c r="CP398" s="595"/>
      <c r="CQ398" s="595"/>
      <c r="CR398" s="595"/>
      <c r="CS398" s="595"/>
      <c r="CT398" s="595"/>
      <c r="CU398" s="595"/>
      <c r="CV398" s="595"/>
      <c r="CW398" s="595"/>
      <c r="CX398" s="595"/>
      <c r="CY398" s="595"/>
      <c r="CZ398" s="595"/>
      <c r="DA398" s="227">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4"/>
    </row>
    <row r="400" spans="1:105" s="16" customFormat="1" ht="41.25" customHeight="1" x14ac:dyDescent="0.3">
      <c r="A400" s="475" t="s">
        <v>49</v>
      </c>
      <c r="B400" s="476"/>
      <c r="C400" s="476"/>
      <c r="D400" s="476"/>
      <c r="E400" s="476"/>
      <c r="F400" s="476"/>
      <c r="G400" s="477"/>
      <c r="H400" s="475" t="s">
        <v>0</v>
      </c>
      <c r="I400" s="476"/>
      <c r="J400" s="476"/>
      <c r="K400" s="476"/>
      <c r="L400" s="476"/>
      <c r="M400" s="476"/>
      <c r="N400" s="476"/>
      <c r="O400" s="476"/>
      <c r="P400" s="476"/>
      <c r="Q400" s="476"/>
      <c r="R400" s="476"/>
      <c r="S400" s="476"/>
      <c r="T400" s="476"/>
      <c r="U400" s="476"/>
      <c r="V400" s="476"/>
      <c r="W400" s="476"/>
      <c r="X400" s="476"/>
      <c r="Y400" s="476"/>
      <c r="Z400" s="476"/>
      <c r="AA400" s="476"/>
      <c r="AB400" s="476"/>
      <c r="AC400" s="476"/>
      <c r="AD400" s="476"/>
      <c r="AE400" s="476"/>
      <c r="AF400" s="476"/>
      <c r="AG400" s="476"/>
      <c r="AH400" s="476"/>
      <c r="AI400" s="476"/>
      <c r="AJ400" s="476"/>
      <c r="AK400" s="476"/>
      <c r="AL400" s="476"/>
      <c r="AM400" s="476"/>
      <c r="AN400" s="477"/>
      <c r="AO400" s="475" t="s">
        <v>88</v>
      </c>
      <c r="AP400" s="476"/>
      <c r="AQ400" s="476"/>
      <c r="AR400" s="476"/>
      <c r="AS400" s="476"/>
      <c r="AT400" s="476"/>
      <c r="AU400" s="476"/>
      <c r="AV400" s="476"/>
      <c r="AW400" s="476"/>
      <c r="AX400" s="476"/>
      <c r="AY400" s="476"/>
      <c r="AZ400" s="476"/>
      <c r="BA400" s="476"/>
      <c r="BB400" s="476"/>
      <c r="BC400" s="476"/>
      <c r="BD400" s="477"/>
      <c r="BE400" s="475" t="s">
        <v>89</v>
      </c>
      <c r="BF400" s="476"/>
      <c r="BG400" s="476"/>
      <c r="BH400" s="476"/>
      <c r="BI400" s="476"/>
      <c r="BJ400" s="476"/>
      <c r="BK400" s="476"/>
      <c r="BL400" s="476"/>
      <c r="BM400" s="476"/>
      <c r="BN400" s="476"/>
      <c r="BO400" s="476"/>
      <c r="BP400" s="476"/>
      <c r="BQ400" s="476"/>
      <c r="BR400" s="476"/>
      <c r="BS400" s="476"/>
      <c r="BT400" s="477"/>
      <c r="BU400" s="475" t="s">
        <v>90</v>
      </c>
      <c r="BV400" s="476"/>
      <c r="BW400" s="476"/>
      <c r="BX400" s="476"/>
      <c r="BY400" s="476"/>
      <c r="BZ400" s="476"/>
      <c r="CA400" s="476"/>
      <c r="CB400" s="476"/>
      <c r="CC400" s="476"/>
      <c r="CD400" s="476"/>
      <c r="CE400" s="476"/>
      <c r="CF400" s="476"/>
      <c r="CG400" s="476"/>
      <c r="CH400" s="476"/>
      <c r="CI400" s="476"/>
      <c r="CJ400" s="477"/>
      <c r="CK400" s="475" t="s">
        <v>98</v>
      </c>
      <c r="CL400" s="476"/>
      <c r="CM400" s="476"/>
      <c r="CN400" s="476"/>
      <c r="CO400" s="476"/>
      <c r="CP400" s="476"/>
      <c r="CQ400" s="476"/>
      <c r="CR400" s="476"/>
      <c r="CS400" s="476"/>
      <c r="CT400" s="476"/>
      <c r="CU400" s="476"/>
      <c r="CV400" s="476"/>
      <c r="CW400" s="476"/>
      <c r="CX400" s="476"/>
      <c r="CY400" s="476"/>
      <c r="CZ400" s="477"/>
      <c r="DA400" s="214"/>
    </row>
    <row r="401" spans="1:149" s="16" customFormat="1" ht="15" customHeight="1" x14ac:dyDescent="0.3">
      <c r="A401" s="591">
        <v>1</v>
      </c>
      <c r="B401" s="591"/>
      <c r="C401" s="591"/>
      <c r="D401" s="591"/>
      <c r="E401" s="591"/>
      <c r="F401" s="591"/>
      <c r="G401" s="591"/>
      <c r="H401" s="591">
        <v>2</v>
      </c>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1"/>
      <c r="AL401" s="591"/>
      <c r="AM401" s="591"/>
      <c r="AN401" s="591"/>
      <c r="AO401" s="591">
        <v>3</v>
      </c>
      <c r="AP401" s="591"/>
      <c r="AQ401" s="591"/>
      <c r="AR401" s="591"/>
      <c r="AS401" s="591"/>
      <c r="AT401" s="591"/>
      <c r="AU401" s="591"/>
      <c r="AV401" s="591"/>
      <c r="AW401" s="591"/>
      <c r="AX401" s="591"/>
      <c r="AY401" s="591"/>
      <c r="AZ401" s="591"/>
      <c r="BA401" s="591"/>
      <c r="BB401" s="591"/>
      <c r="BC401" s="591"/>
      <c r="BD401" s="591"/>
      <c r="BE401" s="591">
        <v>4</v>
      </c>
      <c r="BF401" s="591"/>
      <c r="BG401" s="591"/>
      <c r="BH401" s="591"/>
      <c r="BI401" s="591"/>
      <c r="BJ401" s="591"/>
      <c r="BK401" s="591"/>
      <c r="BL401" s="591"/>
      <c r="BM401" s="591"/>
      <c r="BN401" s="591"/>
      <c r="BO401" s="591"/>
      <c r="BP401" s="591"/>
      <c r="BQ401" s="591"/>
      <c r="BR401" s="591"/>
      <c r="BS401" s="591"/>
      <c r="BT401" s="591"/>
      <c r="BU401" s="591">
        <v>5</v>
      </c>
      <c r="BV401" s="591"/>
      <c r="BW401" s="591"/>
      <c r="BX401" s="591"/>
      <c r="BY401" s="591"/>
      <c r="BZ401" s="591"/>
      <c r="CA401" s="591"/>
      <c r="CB401" s="591"/>
      <c r="CC401" s="591"/>
      <c r="CD401" s="591"/>
      <c r="CE401" s="591"/>
      <c r="CF401" s="591"/>
      <c r="CG401" s="591"/>
      <c r="CH401" s="591"/>
      <c r="CI401" s="591"/>
      <c r="CJ401" s="591"/>
      <c r="CK401" s="591">
        <v>6</v>
      </c>
      <c r="CL401" s="591"/>
      <c r="CM401" s="591"/>
      <c r="CN401" s="591"/>
      <c r="CO401" s="591"/>
      <c r="CP401" s="591"/>
      <c r="CQ401" s="591"/>
      <c r="CR401" s="591"/>
      <c r="CS401" s="591"/>
      <c r="CT401" s="591"/>
      <c r="CU401" s="591"/>
      <c r="CV401" s="591"/>
      <c r="CW401" s="591"/>
      <c r="CX401" s="591"/>
      <c r="CY401" s="591"/>
      <c r="CZ401" s="591"/>
      <c r="DA401" s="214"/>
    </row>
    <row r="402" spans="1:149" s="16" customFormat="1" ht="15" customHeight="1" x14ac:dyDescent="0.3">
      <c r="A402" s="656" t="s">
        <v>604</v>
      </c>
      <c r="B402" s="657"/>
      <c r="C402" s="657"/>
      <c r="D402" s="657"/>
      <c r="E402" s="657"/>
      <c r="F402" s="657"/>
      <c r="G402" s="657"/>
      <c r="H402" s="657"/>
      <c r="I402" s="657"/>
      <c r="J402" s="657"/>
      <c r="K402" s="657"/>
      <c r="L402" s="657"/>
      <c r="M402" s="657"/>
      <c r="N402" s="657"/>
      <c r="O402" s="657"/>
      <c r="P402" s="657"/>
      <c r="Q402" s="657"/>
      <c r="R402" s="657"/>
      <c r="S402" s="657"/>
      <c r="T402" s="657"/>
      <c r="U402" s="657"/>
      <c r="V402" s="657"/>
      <c r="W402" s="657"/>
      <c r="X402" s="657"/>
      <c r="Y402" s="657"/>
      <c r="Z402" s="657"/>
      <c r="AA402" s="657"/>
      <c r="AB402" s="657"/>
      <c r="AC402" s="657"/>
      <c r="AD402" s="657"/>
      <c r="AE402" s="657"/>
      <c r="AF402" s="657"/>
      <c r="AG402" s="657"/>
      <c r="AH402" s="657"/>
      <c r="AI402" s="657"/>
      <c r="AJ402" s="657"/>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57"/>
      <c r="BQ402" s="657"/>
      <c r="BR402" s="657"/>
      <c r="BS402" s="657"/>
      <c r="BT402" s="657"/>
      <c r="BU402" s="657"/>
      <c r="BV402" s="657"/>
      <c r="BW402" s="657"/>
      <c r="BX402" s="657"/>
      <c r="BY402" s="657"/>
      <c r="BZ402" s="657"/>
      <c r="CA402" s="657"/>
      <c r="CB402" s="657"/>
      <c r="CC402" s="657"/>
      <c r="CD402" s="657"/>
      <c r="CE402" s="657"/>
      <c r="CF402" s="657"/>
      <c r="CG402" s="657"/>
      <c r="CH402" s="657"/>
      <c r="CI402" s="657"/>
      <c r="CJ402" s="657"/>
      <c r="CK402" s="657"/>
      <c r="CL402" s="657"/>
      <c r="CM402" s="657"/>
      <c r="CN402" s="657"/>
      <c r="CO402" s="657"/>
      <c r="CP402" s="657"/>
      <c r="CQ402" s="657"/>
      <c r="CR402" s="657"/>
      <c r="CS402" s="657"/>
      <c r="CT402" s="657"/>
      <c r="CU402" s="657"/>
      <c r="CV402" s="657"/>
      <c r="CW402" s="657"/>
      <c r="CX402" s="657"/>
      <c r="CY402" s="657"/>
      <c r="CZ402" s="658"/>
      <c r="DA402" s="220"/>
    </row>
    <row r="403" spans="1:149" s="16" customFormat="1" ht="15" customHeight="1" x14ac:dyDescent="0.3">
      <c r="A403" s="630" t="s">
        <v>441</v>
      </c>
      <c r="B403" s="631"/>
      <c r="C403" s="631"/>
      <c r="D403" s="631"/>
      <c r="E403" s="631"/>
      <c r="F403" s="631"/>
      <c r="G403" s="632"/>
      <c r="H403" s="584" t="s">
        <v>593</v>
      </c>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5"/>
      <c r="AL403" s="585"/>
      <c r="AM403" s="585"/>
      <c r="AN403" s="586"/>
      <c r="AO403" s="627">
        <v>400</v>
      </c>
      <c r="AP403" s="628"/>
      <c r="AQ403" s="628"/>
      <c r="AR403" s="628"/>
      <c r="AS403" s="628"/>
      <c r="AT403" s="628"/>
      <c r="AU403" s="628"/>
      <c r="AV403" s="628"/>
      <c r="AW403" s="628"/>
      <c r="AX403" s="628"/>
      <c r="AY403" s="628"/>
      <c r="AZ403" s="628"/>
      <c r="BA403" s="628"/>
      <c r="BB403" s="628"/>
      <c r="BC403" s="628"/>
      <c r="BD403" s="629"/>
      <c r="BE403" s="693">
        <v>4011.64</v>
      </c>
      <c r="BF403" s="694"/>
      <c r="BG403" s="694"/>
      <c r="BH403" s="694"/>
      <c r="BI403" s="694"/>
      <c r="BJ403" s="694"/>
      <c r="BK403" s="694"/>
      <c r="BL403" s="694"/>
      <c r="BM403" s="694"/>
      <c r="BN403" s="694"/>
      <c r="BO403" s="694"/>
      <c r="BP403" s="694"/>
      <c r="BQ403" s="694"/>
      <c r="BR403" s="694"/>
      <c r="BS403" s="694"/>
      <c r="BT403" s="695"/>
      <c r="BU403" s="696">
        <v>0.04</v>
      </c>
      <c r="BV403" s="697"/>
      <c r="BW403" s="697"/>
      <c r="BX403" s="697"/>
      <c r="BY403" s="697"/>
      <c r="BZ403" s="697"/>
      <c r="CA403" s="697"/>
      <c r="CB403" s="697"/>
      <c r="CC403" s="697"/>
      <c r="CD403" s="697"/>
      <c r="CE403" s="697"/>
      <c r="CF403" s="697"/>
      <c r="CG403" s="697"/>
      <c r="CH403" s="697"/>
      <c r="CI403" s="697"/>
      <c r="CJ403" s="698"/>
      <c r="CK403" s="627">
        <f>ROUND(AO403*BE403*BU403+(AO403*BE403),2)</f>
        <v>1668842.24</v>
      </c>
      <c r="CL403" s="628"/>
      <c r="CM403" s="628"/>
      <c r="CN403" s="628"/>
      <c r="CO403" s="628"/>
      <c r="CP403" s="628"/>
      <c r="CQ403" s="628"/>
      <c r="CR403" s="628"/>
      <c r="CS403" s="628"/>
      <c r="CT403" s="628"/>
      <c r="CU403" s="628"/>
      <c r="CV403" s="628"/>
      <c r="CW403" s="628"/>
      <c r="CX403" s="628"/>
      <c r="CY403" s="628"/>
      <c r="CZ403" s="629"/>
      <c r="DA403" s="220"/>
    </row>
    <row r="404" spans="1:149" s="16" customFormat="1" ht="15" customHeight="1" x14ac:dyDescent="0.3">
      <c r="A404" s="630" t="s">
        <v>444</v>
      </c>
      <c r="B404" s="631"/>
      <c r="C404" s="631"/>
      <c r="D404" s="631"/>
      <c r="E404" s="631"/>
      <c r="F404" s="631"/>
      <c r="G404" s="632"/>
      <c r="H404" s="584" t="s">
        <v>595</v>
      </c>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5"/>
      <c r="AL404" s="585"/>
      <c r="AM404" s="585"/>
      <c r="AN404" s="586"/>
      <c r="AO404" s="627">
        <v>140</v>
      </c>
      <c r="AP404" s="628"/>
      <c r="AQ404" s="628"/>
      <c r="AR404" s="628"/>
      <c r="AS404" s="628"/>
      <c r="AT404" s="628"/>
      <c r="AU404" s="628"/>
      <c r="AV404" s="628"/>
      <c r="AW404" s="628"/>
      <c r="AX404" s="628"/>
      <c r="AY404" s="628"/>
      <c r="AZ404" s="628"/>
      <c r="BA404" s="628"/>
      <c r="BB404" s="628"/>
      <c r="BC404" s="628"/>
      <c r="BD404" s="629"/>
      <c r="BE404" s="693">
        <v>26.54</v>
      </c>
      <c r="BF404" s="694"/>
      <c r="BG404" s="694"/>
      <c r="BH404" s="694"/>
      <c r="BI404" s="694"/>
      <c r="BJ404" s="694"/>
      <c r="BK404" s="694"/>
      <c r="BL404" s="694"/>
      <c r="BM404" s="694"/>
      <c r="BN404" s="694"/>
      <c r="BO404" s="694"/>
      <c r="BP404" s="694"/>
      <c r="BQ404" s="694"/>
      <c r="BR404" s="694"/>
      <c r="BS404" s="694"/>
      <c r="BT404" s="695"/>
      <c r="BU404" s="696">
        <v>0.04</v>
      </c>
      <c r="BV404" s="697"/>
      <c r="BW404" s="697"/>
      <c r="BX404" s="697"/>
      <c r="BY404" s="697"/>
      <c r="BZ404" s="697"/>
      <c r="CA404" s="697"/>
      <c r="CB404" s="697"/>
      <c r="CC404" s="697"/>
      <c r="CD404" s="697"/>
      <c r="CE404" s="697"/>
      <c r="CF404" s="697"/>
      <c r="CG404" s="697"/>
      <c r="CH404" s="697"/>
      <c r="CI404" s="697"/>
      <c r="CJ404" s="698"/>
      <c r="CK404" s="627">
        <f>ROUND(AO404*BE404*BU404+(AO404*BE404),2)-2.5</f>
        <v>3861.72</v>
      </c>
      <c r="CL404" s="628"/>
      <c r="CM404" s="628"/>
      <c r="CN404" s="628"/>
      <c r="CO404" s="628"/>
      <c r="CP404" s="628"/>
      <c r="CQ404" s="628"/>
      <c r="CR404" s="628"/>
      <c r="CS404" s="628"/>
      <c r="CT404" s="628"/>
      <c r="CU404" s="628"/>
      <c r="CV404" s="628"/>
      <c r="CW404" s="628"/>
      <c r="CX404" s="628"/>
      <c r="CY404" s="628"/>
      <c r="CZ404" s="629"/>
      <c r="DA404" s="220"/>
    </row>
    <row r="405" spans="1:149" s="16" customFormat="1" ht="15" customHeight="1" x14ac:dyDescent="0.3">
      <c r="A405" s="630" t="s">
        <v>446</v>
      </c>
      <c r="B405" s="631"/>
      <c r="C405" s="631"/>
      <c r="D405" s="631"/>
      <c r="E405" s="631"/>
      <c r="F405" s="631"/>
      <c r="G405" s="632"/>
      <c r="H405" s="584" t="s">
        <v>605</v>
      </c>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5"/>
      <c r="AL405" s="585"/>
      <c r="AM405" s="585"/>
      <c r="AN405" s="586"/>
      <c r="AO405" s="627">
        <v>30000</v>
      </c>
      <c r="AP405" s="628"/>
      <c r="AQ405" s="628"/>
      <c r="AR405" s="628"/>
      <c r="AS405" s="628"/>
      <c r="AT405" s="628"/>
      <c r="AU405" s="628"/>
      <c r="AV405" s="628"/>
      <c r="AW405" s="628"/>
      <c r="AX405" s="628"/>
      <c r="AY405" s="628"/>
      <c r="AZ405" s="628"/>
      <c r="BA405" s="628"/>
      <c r="BB405" s="628"/>
      <c r="BC405" s="628"/>
      <c r="BD405" s="629"/>
      <c r="BE405" s="693">
        <v>8.39</v>
      </c>
      <c r="BF405" s="694"/>
      <c r="BG405" s="694"/>
      <c r="BH405" s="694"/>
      <c r="BI405" s="694"/>
      <c r="BJ405" s="694"/>
      <c r="BK405" s="694"/>
      <c r="BL405" s="694"/>
      <c r="BM405" s="694"/>
      <c r="BN405" s="694"/>
      <c r="BO405" s="694"/>
      <c r="BP405" s="694"/>
      <c r="BQ405" s="694"/>
      <c r="BR405" s="694"/>
      <c r="BS405" s="694"/>
      <c r="BT405" s="695"/>
      <c r="BU405" s="696">
        <v>0.04</v>
      </c>
      <c r="BV405" s="697"/>
      <c r="BW405" s="697"/>
      <c r="BX405" s="697"/>
      <c r="BY405" s="697"/>
      <c r="BZ405" s="697"/>
      <c r="CA405" s="697"/>
      <c r="CB405" s="697"/>
      <c r="CC405" s="697"/>
      <c r="CD405" s="697"/>
      <c r="CE405" s="697"/>
      <c r="CF405" s="697"/>
      <c r="CG405" s="697"/>
      <c r="CH405" s="697"/>
      <c r="CI405" s="697"/>
      <c r="CJ405" s="698"/>
      <c r="CK405" s="627">
        <f>ROUND(AO405*BE405*BU405+(AO405*BE405),2)</f>
        <v>261768</v>
      </c>
      <c r="CL405" s="628"/>
      <c r="CM405" s="628"/>
      <c r="CN405" s="628"/>
      <c r="CO405" s="628"/>
      <c r="CP405" s="628"/>
      <c r="CQ405" s="628"/>
      <c r="CR405" s="628"/>
      <c r="CS405" s="628"/>
      <c r="CT405" s="628"/>
      <c r="CU405" s="628"/>
      <c r="CV405" s="628"/>
      <c r="CW405" s="628"/>
      <c r="CX405" s="628"/>
      <c r="CY405" s="628"/>
      <c r="CZ405" s="629"/>
      <c r="DA405" s="214"/>
    </row>
    <row r="406" spans="1:149" s="16" customFormat="1" ht="23.25" customHeight="1" x14ac:dyDescent="0.3">
      <c r="A406" s="630" t="s">
        <v>551</v>
      </c>
      <c r="B406" s="631"/>
      <c r="C406" s="631"/>
      <c r="D406" s="631"/>
      <c r="E406" s="631"/>
      <c r="F406" s="631"/>
      <c r="G406" s="632"/>
      <c r="H406" s="584" t="s">
        <v>606</v>
      </c>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5"/>
      <c r="AL406" s="585"/>
      <c r="AM406" s="585"/>
      <c r="AN406" s="586"/>
      <c r="AO406" s="627">
        <f>CK406/BE406</f>
        <v>150.42693900324375</v>
      </c>
      <c r="AP406" s="628"/>
      <c r="AQ406" s="628"/>
      <c r="AR406" s="628"/>
      <c r="AS406" s="628"/>
      <c r="AT406" s="628"/>
      <c r="AU406" s="628"/>
      <c r="AV406" s="628"/>
      <c r="AW406" s="628"/>
      <c r="AX406" s="628"/>
      <c r="AY406" s="628"/>
      <c r="AZ406" s="628"/>
      <c r="BA406" s="628"/>
      <c r="BB406" s="628"/>
      <c r="BC406" s="628"/>
      <c r="BD406" s="629"/>
      <c r="BE406" s="693">
        <v>3656.26</v>
      </c>
      <c r="BF406" s="694"/>
      <c r="BG406" s="694"/>
      <c r="BH406" s="694"/>
      <c r="BI406" s="694"/>
      <c r="BJ406" s="694"/>
      <c r="BK406" s="694"/>
      <c r="BL406" s="694"/>
      <c r="BM406" s="694"/>
      <c r="BN406" s="694"/>
      <c r="BO406" s="694"/>
      <c r="BP406" s="694"/>
      <c r="BQ406" s="694"/>
      <c r="BR406" s="694"/>
      <c r="BS406" s="694"/>
      <c r="BT406" s="695"/>
      <c r="BU406" s="696"/>
      <c r="BV406" s="697"/>
      <c r="BW406" s="697"/>
      <c r="BX406" s="697"/>
      <c r="BY406" s="697"/>
      <c r="BZ406" s="697"/>
      <c r="CA406" s="697"/>
      <c r="CB406" s="697"/>
      <c r="CC406" s="697"/>
      <c r="CD406" s="697"/>
      <c r="CE406" s="697"/>
      <c r="CF406" s="697"/>
      <c r="CG406" s="697"/>
      <c r="CH406" s="697"/>
      <c r="CI406" s="697"/>
      <c r="CJ406" s="698"/>
      <c r="CK406" s="627">
        <v>550000</v>
      </c>
      <c r="CL406" s="628"/>
      <c r="CM406" s="628"/>
      <c r="CN406" s="628"/>
      <c r="CO406" s="628"/>
      <c r="CP406" s="628"/>
      <c r="CQ406" s="628"/>
      <c r="CR406" s="628"/>
      <c r="CS406" s="628"/>
      <c r="CT406" s="628"/>
      <c r="CU406" s="628"/>
      <c r="CV406" s="628"/>
      <c r="CW406" s="628"/>
      <c r="CX406" s="628"/>
      <c r="CY406" s="628"/>
      <c r="CZ406" s="629"/>
      <c r="DA406" s="220"/>
    </row>
    <row r="407" spans="1:149" s="16" customFormat="1" ht="15" customHeight="1" x14ac:dyDescent="0.3">
      <c r="A407" s="553" t="s">
        <v>292</v>
      </c>
      <c r="B407" s="554"/>
      <c r="C407" s="554"/>
      <c r="D407" s="554"/>
      <c r="E407" s="554"/>
      <c r="F407" s="554"/>
      <c r="G407" s="554"/>
      <c r="H407" s="554"/>
      <c r="I407" s="554"/>
      <c r="J407" s="554"/>
      <c r="K407" s="554"/>
      <c r="L407" s="554"/>
      <c r="M407" s="554"/>
      <c r="N407" s="554"/>
      <c r="O407" s="554"/>
      <c r="P407" s="554"/>
      <c r="Q407" s="554"/>
      <c r="R407" s="554"/>
      <c r="S407" s="554"/>
      <c r="T407" s="554"/>
      <c r="U407" s="554"/>
      <c r="V407" s="554"/>
      <c r="W407" s="554"/>
      <c r="X407" s="554"/>
      <c r="Y407" s="554"/>
      <c r="Z407" s="554"/>
      <c r="AA407" s="554"/>
      <c r="AB407" s="554"/>
      <c r="AC407" s="554"/>
      <c r="AD407" s="554"/>
      <c r="AE407" s="554"/>
      <c r="AF407" s="554"/>
      <c r="AG407" s="554"/>
      <c r="AH407" s="554"/>
      <c r="AI407" s="554"/>
      <c r="AJ407" s="554"/>
      <c r="AK407" s="554"/>
      <c r="AL407" s="554"/>
      <c r="AM407" s="554"/>
      <c r="AN407" s="555"/>
      <c r="AO407" s="544" t="s">
        <v>4</v>
      </c>
      <c r="AP407" s="545"/>
      <c r="AQ407" s="545"/>
      <c r="AR407" s="545"/>
      <c r="AS407" s="545"/>
      <c r="AT407" s="545"/>
      <c r="AU407" s="545"/>
      <c r="AV407" s="545"/>
      <c r="AW407" s="545"/>
      <c r="AX407" s="545"/>
      <c r="AY407" s="545"/>
      <c r="AZ407" s="545"/>
      <c r="BA407" s="545"/>
      <c r="BB407" s="545"/>
      <c r="BC407" s="545"/>
      <c r="BD407" s="546"/>
      <c r="BE407" s="544" t="s">
        <v>4</v>
      </c>
      <c r="BF407" s="545"/>
      <c r="BG407" s="545"/>
      <c r="BH407" s="545"/>
      <c r="BI407" s="545"/>
      <c r="BJ407" s="545"/>
      <c r="BK407" s="545"/>
      <c r="BL407" s="545"/>
      <c r="BM407" s="545"/>
      <c r="BN407" s="545"/>
      <c r="BO407" s="545"/>
      <c r="BP407" s="545"/>
      <c r="BQ407" s="545"/>
      <c r="BR407" s="545"/>
      <c r="BS407" s="545"/>
      <c r="BT407" s="546"/>
      <c r="BU407" s="544" t="s">
        <v>4</v>
      </c>
      <c r="BV407" s="545"/>
      <c r="BW407" s="545"/>
      <c r="BX407" s="545"/>
      <c r="BY407" s="545"/>
      <c r="BZ407" s="545"/>
      <c r="CA407" s="545"/>
      <c r="CB407" s="545"/>
      <c r="CC407" s="545"/>
      <c r="CD407" s="545"/>
      <c r="CE407" s="545"/>
      <c r="CF407" s="545"/>
      <c r="CG407" s="545"/>
      <c r="CH407" s="545"/>
      <c r="CI407" s="545"/>
      <c r="CJ407" s="546"/>
      <c r="CK407" s="636">
        <f>CK403+CK404+CK405+CK406</f>
        <v>2484471.96</v>
      </c>
      <c r="CL407" s="654"/>
      <c r="CM407" s="654"/>
      <c r="CN407" s="654"/>
      <c r="CO407" s="654"/>
      <c r="CP407" s="654"/>
      <c r="CQ407" s="654"/>
      <c r="CR407" s="654"/>
      <c r="CS407" s="654"/>
      <c r="CT407" s="654"/>
      <c r="CU407" s="654"/>
      <c r="CV407" s="654"/>
      <c r="CW407" s="654"/>
      <c r="CX407" s="654"/>
      <c r="CY407" s="654"/>
      <c r="CZ407" s="655"/>
      <c r="DA407" s="220"/>
      <c r="ES407" s="251"/>
    </row>
    <row r="408" spans="1:149" s="16" customFormat="1" ht="15" customHeight="1" x14ac:dyDescent="0.3">
      <c r="A408" s="656" t="s">
        <v>591</v>
      </c>
      <c r="B408" s="657"/>
      <c r="C408" s="657"/>
      <c r="D408" s="657"/>
      <c r="E408" s="657"/>
      <c r="F408" s="657"/>
      <c r="G408" s="657"/>
      <c r="H408" s="657"/>
      <c r="I408" s="657"/>
      <c r="J408" s="657"/>
      <c r="K408" s="657"/>
      <c r="L408" s="657"/>
      <c r="M408" s="657"/>
      <c r="N408" s="657"/>
      <c r="O408" s="657"/>
      <c r="P408" s="657"/>
      <c r="Q408" s="657"/>
      <c r="R408" s="657"/>
      <c r="S408" s="657"/>
      <c r="T408" s="657"/>
      <c r="U408" s="657"/>
      <c r="V408" s="657"/>
      <c r="W408" s="657"/>
      <c r="X408" s="657"/>
      <c r="Y408" s="657"/>
      <c r="Z408" s="657"/>
      <c r="AA408" s="657"/>
      <c r="AB408" s="657"/>
      <c r="AC408" s="657"/>
      <c r="AD408" s="657"/>
      <c r="AE408" s="657"/>
      <c r="AF408" s="657"/>
      <c r="AG408" s="657"/>
      <c r="AH408" s="657"/>
      <c r="AI408" s="657"/>
      <c r="AJ408" s="657"/>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57"/>
      <c r="BQ408" s="657"/>
      <c r="BR408" s="657"/>
      <c r="BS408" s="657"/>
      <c r="BT408" s="657"/>
      <c r="BU408" s="657"/>
      <c r="BV408" s="657"/>
      <c r="BW408" s="657"/>
      <c r="BX408" s="657"/>
      <c r="BY408" s="657"/>
      <c r="BZ408" s="657"/>
      <c r="CA408" s="657"/>
      <c r="CB408" s="657"/>
      <c r="CC408" s="657"/>
      <c r="CD408" s="657"/>
      <c r="CE408" s="657"/>
      <c r="CF408" s="657"/>
      <c r="CG408" s="657"/>
      <c r="CH408" s="657"/>
      <c r="CI408" s="657"/>
      <c r="CJ408" s="657"/>
      <c r="CK408" s="657"/>
      <c r="CL408" s="657"/>
      <c r="CM408" s="657"/>
      <c r="CN408" s="657"/>
      <c r="CO408" s="657"/>
      <c r="CP408" s="657"/>
      <c r="CQ408" s="657"/>
      <c r="CR408" s="657"/>
      <c r="CS408" s="657"/>
      <c r="CT408" s="657"/>
      <c r="CU408" s="657"/>
      <c r="CV408" s="657"/>
      <c r="CW408" s="657"/>
      <c r="CX408" s="657"/>
      <c r="CY408" s="657"/>
      <c r="CZ408" s="658"/>
      <c r="DA408" s="214"/>
    </row>
    <row r="409" spans="1:149" s="16" customFormat="1" ht="15" customHeight="1" x14ac:dyDescent="0.3">
      <c r="A409" s="630" t="s">
        <v>441</v>
      </c>
      <c r="B409" s="631"/>
      <c r="C409" s="631"/>
      <c r="D409" s="631"/>
      <c r="E409" s="631"/>
      <c r="F409" s="631"/>
      <c r="G409" s="632"/>
      <c r="H409" s="584" t="s">
        <v>593</v>
      </c>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5"/>
      <c r="AL409" s="585"/>
      <c r="AM409" s="585"/>
      <c r="AN409" s="586"/>
      <c r="AO409" s="627">
        <v>500</v>
      </c>
      <c r="AP409" s="628"/>
      <c r="AQ409" s="628"/>
      <c r="AR409" s="628"/>
      <c r="AS409" s="628"/>
      <c r="AT409" s="628"/>
      <c r="AU409" s="628"/>
      <c r="AV409" s="628"/>
      <c r="AW409" s="628"/>
      <c r="AX409" s="628"/>
      <c r="AY409" s="628"/>
      <c r="AZ409" s="628"/>
      <c r="BA409" s="628"/>
      <c r="BB409" s="628"/>
      <c r="BC409" s="628"/>
      <c r="BD409" s="629"/>
      <c r="BE409" s="693">
        <v>4011.64</v>
      </c>
      <c r="BF409" s="694"/>
      <c r="BG409" s="694"/>
      <c r="BH409" s="694"/>
      <c r="BI409" s="694"/>
      <c r="BJ409" s="694"/>
      <c r="BK409" s="694"/>
      <c r="BL409" s="694"/>
      <c r="BM409" s="694"/>
      <c r="BN409" s="694"/>
      <c r="BO409" s="694"/>
      <c r="BP409" s="694"/>
      <c r="BQ409" s="694"/>
      <c r="BR409" s="694"/>
      <c r="BS409" s="694"/>
      <c r="BT409" s="695"/>
      <c r="BU409" s="696">
        <v>0.04</v>
      </c>
      <c r="BV409" s="697"/>
      <c r="BW409" s="697"/>
      <c r="BX409" s="697"/>
      <c r="BY409" s="697"/>
      <c r="BZ409" s="697"/>
      <c r="CA409" s="697"/>
      <c r="CB409" s="697"/>
      <c r="CC409" s="697"/>
      <c r="CD409" s="697"/>
      <c r="CE409" s="697"/>
      <c r="CF409" s="697"/>
      <c r="CG409" s="697"/>
      <c r="CH409" s="697"/>
      <c r="CI409" s="697"/>
      <c r="CJ409" s="698"/>
      <c r="CK409" s="627">
        <f>ROUND(AO409*BE409*BU409+(AO409*BE409),2)</f>
        <v>2086052.8</v>
      </c>
      <c r="CL409" s="628"/>
      <c r="CM409" s="628"/>
      <c r="CN409" s="628"/>
      <c r="CO409" s="628"/>
      <c r="CP409" s="628"/>
      <c r="CQ409" s="628"/>
      <c r="CR409" s="628"/>
      <c r="CS409" s="628"/>
      <c r="CT409" s="628"/>
      <c r="CU409" s="628"/>
      <c r="CV409" s="628"/>
      <c r="CW409" s="628"/>
      <c r="CX409" s="628"/>
      <c r="CY409" s="628"/>
      <c r="CZ409" s="629"/>
      <c r="DA409" s="214"/>
    </row>
    <row r="410" spans="1:149" s="16" customFormat="1" ht="15" customHeight="1" x14ac:dyDescent="0.3">
      <c r="A410" s="630" t="s">
        <v>444</v>
      </c>
      <c r="B410" s="631"/>
      <c r="C410" s="631"/>
      <c r="D410" s="631"/>
      <c r="E410" s="631"/>
      <c r="F410" s="631"/>
      <c r="G410" s="632"/>
      <c r="H410" s="584" t="s">
        <v>595</v>
      </c>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5"/>
      <c r="AL410" s="585"/>
      <c r="AM410" s="585"/>
      <c r="AN410" s="586"/>
      <c r="AO410" s="627">
        <v>500</v>
      </c>
      <c r="AP410" s="628"/>
      <c r="AQ410" s="628"/>
      <c r="AR410" s="628"/>
      <c r="AS410" s="628"/>
      <c r="AT410" s="628"/>
      <c r="AU410" s="628"/>
      <c r="AV410" s="628"/>
      <c r="AW410" s="628"/>
      <c r="AX410" s="628"/>
      <c r="AY410" s="628"/>
      <c r="AZ410" s="628"/>
      <c r="BA410" s="628"/>
      <c r="BB410" s="628"/>
      <c r="BC410" s="628"/>
      <c r="BD410" s="629"/>
      <c r="BE410" s="693">
        <v>26.54</v>
      </c>
      <c r="BF410" s="694"/>
      <c r="BG410" s="694"/>
      <c r="BH410" s="694"/>
      <c r="BI410" s="694"/>
      <c r="BJ410" s="694"/>
      <c r="BK410" s="694"/>
      <c r="BL410" s="694"/>
      <c r="BM410" s="694"/>
      <c r="BN410" s="694"/>
      <c r="BO410" s="694"/>
      <c r="BP410" s="694"/>
      <c r="BQ410" s="694"/>
      <c r="BR410" s="694"/>
      <c r="BS410" s="694"/>
      <c r="BT410" s="695"/>
      <c r="BU410" s="696">
        <v>0.04</v>
      </c>
      <c r="BV410" s="697"/>
      <c r="BW410" s="697"/>
      <c r="BX410" s="697"/>
      <c r="BY410" s="697"/>
      <c r="BZ410" s="697"/>
      <c r="CA410" s="697"/>
      <c r="CB410" s="697"/>
      <c r="CC410" s="697"/>
      <c r="CD410" s="697"/>
      <c r="CE410" s="697"/>
      <c r="CF410" s="697"/>
      <c r="CG410" s="697"/>
      <c r="CH410" s="697"/>
      <c r="CI410" s="697"/>
      <c r="CJ410" s="698"/>
      <c r="CK410" s="627">
        <f t="shared" ref="CK410" si="5">ROUND(AO410*BE410*BU410+(AO410*BE410),2)</f>
        <v>13800.8</v>
      </c>
      <c r="CL410" s="628"/>
      <c r="CM410" s="628"/>
      <c r="CN410" s="628"/>
      <c r="CO410" s="628"/>
      <c r="CP410" s="628"/>
      <c r="CQ410" s="628"/>
      <c r="CR410" s="628"/>
      <c r="CS410" s="628"/>
      <c r="CT410" s="628"/>
      <c r="CU410" s="628"/>
      <c r="CV410" s="628"/>
      <c r="CW410" s="628"/>
      <c r="CX410" s="628"/>
      <c r="CY410" s="628"/>
      <c r="CZ410" s="629"/>
      <c r="DA410" s="214"/>
    </row>
    <row r="411" spans="1:149" s="16" customFormat="1" ht="15" customHeight="1" x14ac:dyDescent="0.3">
      <c r="A411" s="630" t="s">
        <v>446</v>
      </c>
      <c r="B411" s="631"/>
      <c r="C411" s="631"/>
      <c r="D411" s="631"/>
      <c r="E411" s="631"/>
      <c r="F411" s="631"/>
      <c r="G411" s="632"/>
      <c r="H411" s="584" t="s">
        <v>605</v>
      </c>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5"/>
      <c r="AL411" s="585"/>
      <c r="AM411" s="585"/>
      <c r="AN411" s="586"/>
      <c r="AO411" s="627">
        <v>50000</v>
      </c>
      <c r="AP411" s="628"/>
      <c r="AQ411" s="628"/>
      <c r="AR411" s="628"/>
      <c r="AS411" s="628"/>
      <c r="AT411" s="628"/>
      <c r="AU411" s="628"/>
      <c r="AV411" s="628"/>
      <c r="AW411" s="628"/>
      <c r="AX411" s="628"/>
      <c r="AY411" s="628"/>
      <c r="AZ411" s="628"/>
      <c r="BA411" s="628"/>
      <c r="BB411" s="628"/>
      <c r="BC411" s="628"/>
      <c r="BD411" s="629"/>
      <c r="BE411" s="693">
        <v>8.39</v>
      </c>
      <c r="BF411" s="694"/>
      <c r="BG411" s="694"/>
      <c r="BH411" s="694"/>
      <c r="BI411" s="694"/>
      <c r="BJ411" s="694"/>
      <c r="BK411" s="694"/>
      <c r="BL411" s="694"/>
      <c r="BM411" s="694"/>
      <c r="BN411" s="694"/>
      <c r="BO411" s="694"/>
      <c r="BP411" s="694"/>
      <c r="BQ411" s="694"/>
      <c r="BR411" s="694"/>
      <c r="BS411" s="694"/>
      <c r="BT411" s="695"/>
      <c r="BU411" s="696">
        <v>0.04</v>
      </c>
      <c r="BV411" s="697"/>
      <c r="BW411" s="697"/>
      <c r="BX411" s="697"/>
      <c r="BY411" s="697"/>
      <c r="BZ411" s="697"/>
      <c r="CA411" s="697"/>
      <c r="CB411" s="697"/>
      <c r="CC411" s="697"/>
      <c r="CD411" s="697"/>
      <c r="CE411" s="697"/>
      <c r="CF411" s="697"/>
      <c r="CG411" s="697"/>
      <c r="CH411" s="697"/>
      <c r="CI411" s="697"/>
      <c r="CJ411" s="698"/>
      <c r="CK411" s="627">
        <f>ROUND(AO411*BE411*BU411+(AO411*BE411),2)</f>
        <v>436280</v>
      </c>
      <c r="CL411" s="628"/>
      <c r="CM411" s="628"/>
      <c r="CN411" s="628"/>
      <c r="CO411" s="628"/>
      <c r="CP411" s="628"/>
      <c r="CQ411" s="628"/>
      <c r="CR411" s="628"/>
      <c r="CS411" s="628"/>
      <c r="CT411" s="628"/>
      <c r="CU411" s="628"/>
      <c r="CV411" s="628"/>
      <c r="CW411" s="628"/>
      <c r="CX411" s="628"/>
      <c r="CY411" s="628"/>
      <c r="CZ411" s="629"/>
      <c r="DA411" s="214"/>
    </row>
    <row r="412" spans="1:149" s="16" customFormat="1" ht="15" customHeight="1" x14ac:dyDescent="0.3">
      <c r="A412" s="553" t="s">
        <v>292</v>
      </c>
      <c r="B412" s="554"/>
      <c r="C412" s="554"/>
      <c r="D412" s="554"/>
      <c r="E412" s="554"/>
      <c r="F412" s="554"/>
      <c r="G412" s="554"/>
      <c r="H412" s="554"/>
      <c r="I412" s="554"/>
      <c r="J412" s="554"/>
      <c r="K412" s="554"/>
      <c r="L412" s="554"/>
      <c r="M412" s="554"/>
      <c r="N412" s="554"/>
      <c r="O412" s="554"/>
      <c r="P412" s="554"/>
      <c r="Q412" s="554"/>
      <c r="R412" s="554"/>
      <c r="S412" s="554"/>
      <c r="T412" s="554"/>
      <c r="U412" s="554"/>
      <c r="V412" s="554"/>
      <c r="W412" s="554"/>
      <c r="X412" s="554"/>
      <c r="Y412" s="554"/>
      <c r="Z412" s="554"/>
      <c r="AA412" s="554"/>
      <c r="AB412" s="554"/>
      <c r="AC412" s="554"/>
      <c r="AD412" s="554"/>
      <c r="AE412" s="554"/>
      <c r="AF412" s="554"/>
      <c r="AG412" s="554"/>
      <c r="AH412" s="554"/>
      <c r="AI412" s="554"/>
      <c r="AJ412" s="554"/>
      <c r="AK412" s="554"/>
      <c r="AL412" s="554"/>
      <c r="AM412" s="554"/>
      <c r="AN412" s="555"/>
      <c r="AO412" s="544" t="s">
        <v>4</v>
      </c>
      <c r="AP412" s="545"/>
      <c r="AQ412" s="545"/>
      <c r="AR412" s="545"/>
      <c r="AS412" s="545"/>
      <c r="AT412" s="545"/>
      <c r="AU412" s="545"/>
      <c r="AV412" s="545"/>
      <c r="AW412" s="545"/>
      <c r="AX412" s="545"/>
      <c r="AY412" s="545"/>
      <c r="AZ412" s="545"/>
      <c r="BA412" s="545"/>
      <c r="BB412" s="545"/>
      <c r="BC412" s="545"/>
      <c r="BD412" s="546"/>
      <c r="BE412" s="544" t="s">
        <v>4</v>
      </c>
      <c r="BF412" s="545"/>
      <c r="BG412" s="545"/>
      <c r="BH412" s="545"/>
      <c r="BI412" s="545"/>
      <c r="BJ412" s="545"/>
      <c r="BK412" s="545"/>
      <c r="BL412" s="545"/>
      <c r="BM412" s="545"/>
      <c r="BN412" s="545"/>
      <c r="BO412" s="545"/>
      <c r="BP412" s="545"/>
      <c r="BQ412" s="545"/>
      <c r="BR412" s="545"/>
      <c r="BS412" s="545"/>
      <c r="BT412" s="546"/>
      <c r="BU412" s="544" t="s">
        <v>4</v>
      </c>
      <c r="BV412" s="545"/>
      <c r="BW412" s="545"/>
      <c r="BX412" s="545"/>
      <c r="BY412" s="545"/>
      <c r="BZ412" s="545"/>
      <c r="CA412" s="545"/>
      <c r="CB412" s="545"/>
      <c r="CC412" s="545"/>
      <c r="CD412" s="545"/>
      <c r="CE412" s="545"/>
      <c r="CF412" s="545"/>
      <c r="CG412" s="545"/>
      <c r="CH412" s="545"/>
      <c r="CI412" s="545"/>
      <c r="CJ412" s="546"/>
      <c r="CK412" s="636">
        <f>CK409+CK411+CK410</f>
        <v>2536133.5999999996</v>
      </c>
      <c r="CL412" s="654"/>
      <c r="CM412" s="654"/>
      <c r="CN412" s="654"/>
      <c r="CO412" s="654"/>
      <c r="CP412" s="654"/>
      <c r="CQ412" s="654"/>
      <c r="CR412" s="654"/>
      <c r="CS412" s="654"/>
      <c r="CT412" s="654"/>
      <c r="CU412" s="654"/>
      <c r="CV412" s="654"/>
      <c r="CW412" s="654"/>
      <c r="CX412" s="654"/>
      <c r="CY412" s="654"/>
      <c r="CZ412" s="655"/>
      <c r="DA412" s="214"/>
    </row>
    <row r="413" spans="1:149" s="16" customFormat="1" ht="15" customHeight="1" x14ac:dyDescent="0.3">
      <c r="A413" s="553" t="s">
        <v>56</v>
      </c>
      <c r="B413" s="554"/>
      <c r="C413" s="554"/>
      <c r="D413" s="554"/>
      <c r="E413" s="554"/>
      <c r="F413" s="554"/>
      <c r="G413" s="554"/>
      <c r="H413" s="554"/>
      <c r="I413" s="554"/>
      <c r="J413" s="554"/>
      <c r="K413" s="554"/>
      <c r="L413" s="554"/>
      <c r="M413" s="554"/>
      <c r="N413" s="554"/>
      <c r="O413" s="554"/>
      <c r="P413" s="554"/>
      <c r="Q413" s="554"/>
      <c r="R413" s="554"/>
      <c r="S413" s="554"/>
      <c r="T413" s="554"/>
      <c r="U413" s="554"/>
      <c r="V413" s="554"/>
      <c r="W413" s="554"/>
      <c r="X413" s="554"/>
      <c r="Y413" s="554"/>
      <c r="Z413" s="554"/>
      <c r="AA413" s="554"/>
      <c r="AB413" s="554"/>
      <c r="AC413" s="554"/>
      <c r="AD413" s="554"/>
      <c r="AE413" s="554"/>
      <c r="AF413" s="554"/>
      <c r="AG413" s="554"/>
      <c r="AH413" s="554"/>
      <c r="AI413" s="554"/>
      <c r="AJ413" s="554"/>
      <c r="AK413" s="554"/>
      <c r="AL413" s="554"/>
      <c r="AM413" s="554"/>
      <c r="AN413" s="555"/>
      <c r="AO413" s="544" t="s">
        <v>4</v>
      </c>
      <c r="AP413" s="545"/>
      <c r="AQ413" s="545"/>
      <c r="AR413" s="545"/>
      <c r="AS413" s="545"/>
      <c r="AT413" s="545"/>
      <c r="AU413" s="545"/>
      <c r="AV413" s="545"/>
      <c r="AW413" s="545"/>
      <c r="AX413" s="545"/>
      <c r="AY413" s="545"/>
      <c r="AZ413" s="545"/>
      <c r="BA413" s="545"/>
      <c r="BB413" s="545"/>
      <c r="BC413" s="545"/>
      <c r="BD413" s="546"/>
      <c r="BE413" s="544" t="s">
        <v>4</v>
      </c>
      <c r="BF413" s="545"/>
      <c r="BG413" s="545"/>
      <c r="BH413" s="545"/>
      <c r="BI413" s="545"/>
      <c r="BJ413" s="545"/>
      <c r="BK413" s="545"/>
      <c r="BL413" s="545"/>
      <c r="BM413" s="545"/>
      <c r="BN413" s="545"/>
      <c r="BO413" s="545"/>
      <c r="BP413" s="545"/>
      <c r="BQ413" s="545"/>
      <c r="BR413" s="545"/>
      <c r="BS413" s="545"/>
      <c r="BT413" s="546"/>
      <c r="BU413" s="544" t="s">
        <v>4</v>
      </c>
      <c r="BV413" s="545"/>
      <c r="BW413" s="545"/>
      <c r="BX413" s="545"/>
      <c r="BY413" s="545"/>
      <c r="BZ413" s="545"/>
      <c r="CA413" s="545"/>
      <c r="CB413" s="545"/>
      <c r="CC413" s="545"/>
      <c r="CD413" s="545"/>
      <c r="CE413" s="545"/>
      <c r="CF413" s="545"/>
      <c r="CG413" s="545"/>
      <c r="CH413" s="545"/>
      <c r="CI413" s="545"/>
      <c r="CJ413" s="546"/>
      <c r="CK413" s="636">
        <f>CK407+CK412</f>
        <v>5020605.5599999996</v>
      </c>
      <c r="CL413" s="654"/>
      <c r="CM413" s="654"/>
      <c r="CN413" s="654"/>
      <c r="CO413" s="654"/>
      <c r="CP413" s="654"/>
      <c r="CQ413" s="654"/>
      <c r="CR413" s="654"/>
      <c r="CS413" s="654"/>
      <c r="CT413" s="654"/>
      <c r="CU413" s="654"/>
      <c r="CV413" s="654"/>
      <c r="CW413" s="654"/>
      <c r="CX413" s="654"/>
      <c r="CY413" s="654"/>
      <c r="CZ413" s="655"/>
      <c r="DA413" s="220"/>
    </row>
    <row r="414" spans="1:149" s="16" customFormat="1" ht="1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3"/>
      <c r="BD414" s="223"/>
      <c r="BE414" s="223"/>
      <c r="BF414" s="223"/>
      <c r="BG414" s="223"/>
      <c r="BH414" s="223"/>
      <c r="BI414" s="223"/>
      <c r="BJ414" s="241"/>
      <c r="BK414" s="242"/>
      <c r="BL414" s="242"/>
      <c r="BM414" s="242"/>
      <c r="BN414" s="242"/>
      <c r="BO414" s="242"/>
      <c r="BP414" s="242"/>
      <c r="BQ414" s="242"/>
      <c r="BR414" s="242"/>
      <c r="BS414" s="242"/>
      <c r="BT414" s="242"/>
      <c r="BU414" s="241"/>
      <c r="BV414" s="242"/>
      <c r="BW414" s="242"/>
      <c r="BX414" s="242"/>
      <c r="BY414" s="242"/>
      <c r="BZ414" s="242"/>
      <c r="CA414" s="242"/>
      <c r="CB414" s="242"/>
      <c r="CC414" s="242"/>
      <c r="CD414" s="242"/>
      <c r="CE414" s="242"/>
      <c r="CF414" s="242"/>
      <c r="CG414" s="242"/>
      <c r="CH414" s="241"/>
      <c r="CI414" s="242"/>
      <c r="CJ414" s="242"/>
      <c r="CK414" s="242"/>
      <c r="CL414" s="242"/>
      <c r="CM414" s="242"/>
      <c r="CN414" s="242"/>
      <c r="CO414" s="242"/>
      <c r="CP414" s="242"/>
      <c r="CQ414" s="242"/>
      <c r="CR414" s="242"/>
      <c r="CS414" s="242"/>
      <c r="CT414" s="242"/>
      <c r="CU414" s="242"/>
      <c r="CV414" s="242"/>
      <c r="CW414" s="223"/>
      <c r="CX414" s="223"/>
      <c r="CY414" s="223"/>
      <c r="CZ414" s="223"/>
      <c r="DA414" s="214"/>
    </row>
    <row r="415" spans="1:149" s="16" customFormat="1" ht="15" customHeight="1" x14ac:dyDescent="0.25">
      <c r="A415" s="594" t="s">
        <v>358</v>
      </c>
      <c r="B415" s="594"/>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4"/>
      <c r="AL415" s="594"/>
      <c r="AM415" s="594"/>
      <c r="AN415" s="594"/>
      <c r="AO415" s="594"/>
      <c r="AP415" s="594"/>
      <c r="AQ415" s="594"/>
      <c r="AR415" s="594"/>
      <c r="AS415" s="594"/>
      <c r="AT415" s="594"/>
      <c r="AU415" s="594"/>
      <c r="AV415" s="594"/>
      <c r="AW415" s="594"/>
      <c r="AX415" s="594"/>
      <c r="AY415" s="594"/>
      <c r="AZ415" s="594"/>
      <c r="BA415" s="594"/>
      <c r="BB415" s="594"/>
      <c r="BC415" s="594"/>
      <c r="BD415" s="594"/>
      <c r="BE415" s="594"/>
      <c r="BF415" s="594"/>
      <c r="BG415" s="594"/>
      <c r="BH415" s="594"/>
      <c r="BI415" s="594"/>
      <c r="BJ415" s="594"/>
      <c r="BK415" s="594"/>
      <c r="BL415" s="594"/>
      <c r="BM415" s="594"/>
      <c r="BN415" s="594"/>
      <c r="BO415" s="594"/>
      <c r="BP415" s="594"/>
      <c r="BQ415" s="594"/>
      <c r="BR415" s="594"/>
      <c r="BS415" s="594"/>
      <c r="BT415" s="594"/>
      <c r="BU415" s="594"/>
      <c r="BV415" s="594"/>
      <c r="BW415" s="594"/>
      <c r="BX415" s="594"/>
      <c r="BY415" s="594"/>
      <c r="BZ415" s="594"/>
      <c r="CA415" s="594"/>
      <c r="CB415" s="594"/>
      <c r="CC415" s="594"/>
      <c r="CD415" s="594"/>
      <c r="CE415" s="594"/>
      <c r="CF415" s="594"/>
      <c r="CG415" s="594"/>
      <c r="CH415" s="594"/>
      <c r="CI415" s="594"/>
      <c r="CJ415" s="594"/>
      <c r="CK415" s="594"/>
      <c r="CL415" s="594"/>
      <c r="CM415" s="594"/>
      <c r="CN415" s="594"/>
      <c r="CO415" s="594"/>
      <c r="CP415" s="594"/>
      <c r="CQ415" s="594"/>
      <c r="CR415" s="594"/>
      <c r="CS415" s="594"/>
      <c r="CT415" s="594"/>
      <c r="CU415" s="594"/>
      <c r="CV415" s="594"/>
      <c r="CW415" s="594"/>
      <c r="CX415" s="594"/>
      <c r="CY415" s="594"/>
      <c r="CZ415" s="594"/>
      <c r="DA415" s="214"/>
    </row>
    <row r="416" spans="1:149"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4"/>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595" t="s">
        <v>587</v>
      </c>
      <c r="X417" s="595"/>
      <c r="Y417" s="595"/>
      <c r="Z417" s="595"/>
      <c r="AA417" s="595"/>
      <c r="AB417" s="595"/>
      <c r="AC417" s="595"/>
      <c r="AD417" s="595"/>
      <c r="AE417" s="595"/>
      <c r="AF417" s="595"/>
      <c r="AG417" s="595"/>
      <c r="AH417" s="595"/>
      <c r="AI417" s="595"/>
      <c r="AJ417" s="595"/>
      <c r="AK417" s="595"/>
      <c r="AL417" s="595"/>
      <c r="AM417" s="595"/>
      <c r="AN417" s="595"/>
      <c r="AO417" s="595"/>
      <c r="AP417" s="595"/>
      <c r="AQ417" s="595"/>
      <c r="AR417" s="595"/>
      <c r="AS417" s="595"/>
      <c r="AT417" s="595"/>
      <c r="AU417" s="595"/>
      <c r="AV417" s="595"/>
      <c r="AW417" s="595"/>
      <c r="AX417" s="595"/>
      <c r="AY417" s="595"/>
      <c r="AZ417" s="595"/>
      <c r="BA417" s="595"/>
      <c r="BB417" s="595"/>
      <c r="BC417" s="595"/>
      <c r="BD417" s="595"/>
      <c r="BE417" s="595"/>
      <c r="BF417" s="595"/>
      <c r="BG417" s="595"/>
      <c r="BH417" s="595"/>
      <c r="BI417" s="595"/>
      <c r="BJ417" s="595"/>
      <c r="BK417" s="595"/>
      <c r="BL417" s="595"/>
      <c r="BM417" s="595"/>
      <c r="BN417" s="595"/>
      <c r="BO417" s="595"/>
      <c r="BP417" s="595"/>
      <c r="BQ417" s="595"/>
      <c r="BR417" s="595"/>
      <c r="BS417" s="595"/>
      <c r="BT417" s="595"/>
      <c r="BU417" s="595"/>
      <c r="BV417" s="595"/>
      <c r="BW417" s="595"/>
      <c r="BX417" s="595"/>
      <c r="BY417" s="595"/>
      <c r="BZ417" s="595"/>
      <c r="CA417" s="595"/>
      <c r="CB417" s="595"/>
      <c r="CC417" s="595"/>
      <c r="CD417" s="595"/>
      <c r="CE417" s="595"/>
      <c r="CF417" s="595"/>
      <c r="CG417" s="595"/>
      <c r="CH417" s="595"/>
      <c r="CI417" s="595"/>
      <c r="CJ417" s="595"/>
      <c r="CK417" s="595"/>
      <c r="CL417" s="595"/>
      <c r="CM417" s="595"/>
      <c r="CN417" s="595"/>
      <c r="CO417" s="595"/>
      <c r="CP417" s="595"/>
      <c r="CQ417" s="595"/>
      <c r="CR417" s="595"/>
      <c r="CS417" s="595"/>
      <c r="CT417" s="595"/>
      <c r="CU417" s="595"/>
      <c r="CV417" s="595"/>
      <c r="CW417" s="595"/>
      <c r="CX417" s="595"/>
      <c r="CY417" s="595"/>
      <c r="CZ417" s="595"/>
      <c r="DA417" s="227">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4"/>
    </row>
    <row r="419" spans="1:268" s="16" customFormat="1" ht="45" customHeight="1" x14ac:dyDescent="0.3">
      <c r="A419" s="475" t="s">
        <v>49</v>
      </c>
      <c r="B419" s="476"/>
      <c r="C419" s="476"/>
      <c r="D419" s="476"/>
      <c r="E419" s="476"/>
      <c r="F419" s="476"/>
      <c r="G419" s="477"/>
      <c r="H419" s="475" t="s">
        <v>0</v>
      </c>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6"/>
      <c r="AL419" s="476"/>
      <c r="AM419" s="476"/>
      <c r="AN419" s="476"/>
      <c r="AO419" s="476"/>
      <c r="AP419" s="476"/>
      <c r="AQ419" s="476"/>
      <c r="AR419" s="476"/>
      <c r="AS419" s="476"/>
      <c r="AT419" s="476"/>
      <c r="AU419" s="476"/>
      <c r="AV419" s="476"/>
      <c r="AW419" s="476"/>
      <c r="AX419" s="476"/>
      <c r="AY419" s="476"/>
      <c r="AZ419" s="476"/>
      <c r="BA419" s="476"/>
      <c r="BB419" s="477"/>
      <c r="BC419" s="475" t="s">
        <v>91</v>
      </c>
      <c r="BD419" s="476"/>
      <c r="BE419" s="476"/>
      <c r="BF419" s="476"/>
      <c r="BG419" s="476"/>
      <c r="BH419" s="476"/>
      <c r="BI419" s="476"/>
      <c r="BJ419" s="476"/>
      <c r="BK419" s="476"/>
      <c r="BL419" s="476"/>
      <c r="BM419" s="476"/>
      <c r="BN419" s="476"/>
      <c r="BO419" s="476"/>
      <c r="BP419" s="476"/>
      <c r="BQ419" s="476"/>
      <c r="BR419" s="477"/>
      <c r="BS419" s="475" t="s">
        <v>92</v>
      </c>
      <c r="BT419" s="476"/>
      <c r="BU419" s="476"/>
      <c r="BV419" s="476"/>
      <c r="BW419" s="476"/>
      <c r="BX419" s="476"/>
      <c r="BY419" s="476"/>
      <c r="BZ419" s="476"/>
      <c r="CA419" s="476"/>
      <c r="CB419" s="476"/>
      <c r="CC419" s="476"/>
      <c r="CD419" s="476"/>
      <c r="CE419" s="476"/>
      <c r="CF419" s="476"/>
      <c r="CG419" s="476"/>
      <c r="CH419" s="477"/>
      <c r="CI419" s="475" t="s">
        <v>93</v>
      </c>
      <c r="CJ419" s="476"/>
      <c r="CK419" s="476"/>
      <c r="CL419" s="476"/>
      <c r="CM419" s="476"/>
      <c r="CN419" s="476"/>
      <c r="CO419" s="476"/>
      <c r="CP419" s="476"/>
      <c r="CQ419" s="476"/>
      <c r="CR419" s="476"/>
      <c r="CS419" s="476"/>
      <c r="CT419" s="476"/>
      <c r="CU419" s="476"/>
      <c r="CV419" s="476"/>
      <c r="CW419" s="476"/>
      <c r="CX419" s="476"/>
      <c r="CY419" s="476"/>
      <c r="CZ419" s="477"/>
      <c r="DA419" s="214"/>
    </row>
    <row r="420" spans="1:268" s="16" customFormat="1" ht="13.2" customHeight="1" x14ac:dyDescent="0.3">
      <c r="A420" s="661">
        <v>1</v>
      </c>
      <c r="B420" s="662"/>
      <c r="C420" s="662"/>
      <c r="D420" s="662"/>
      <c r="E420" s="662"/>
      <c r="F420" s="662"/>
      <c r="G420" s="663"/>
      <c r="H420" s="661">
        <v>2</v>
      </c>
      <c r="I420" s="662"/>
      <c r="J420" s="662"/>
      <c r="K420" s="662"/>
      <c r="L420" s="662"/>
      <c r="M420" s="662"/>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2"/>
      <c r="AK420" s="662"/>
      <c r="AL420" s="662"/>
      <c r="AM420" s="662"/>
      <c r="AN420" s="662"/>
      <c r="AO420" s="662"/>
      <c r="AP420" s="662"/>
      <c r="AQ420" s="662"/>
      <c r="AR420" s="662"/>
      <c r="AS420" s="662"/>
      <c r="AT420" s="662"/>
      <c r="AU420" s="662"/>
      <c r="AV420" s="662"/>
      <c r="AW420" s="662"/>
      <c r="AX420" s="662"/>
      <c r="AY420" s="662"/>
      <c r="AZ420" s="662"/>
      <c r="BA420" s="662"/>
      <c r="BB420" s="663"/>
      <c r="BC420" s="661">
        <v>3</v>
      </c>
      <c r="BD420" s="662"/>
      <c r="BE420" s="662"/>
      <c r="BF420" s="662"/>
      <c r="BG420" s="662"/>
      <c r="BH420" s="662"/>
      <c r="BI420" s="662"/>
      <c r="BJ420" s="662"/>
      <c r="BK420" s="662"/>
      <c r="BL420" s="662"/>
      <c r="BM420" s="662"/>
      <c r="BN420" s="662"/>
      <c r="BO420" s="662"/>
      <c r="BP420" s="662"/>
      <c r="BQ420" s="662"/>
      <c r="BR420" s="663"/>
      <c r="BS420" s="661">
        <v>4</v>
      </c>
      <c r="BT420" s="662"/>
      <c r="BU420" s="662"/>
      <c r="BV420" s="662"/>
      <c r="BW420" s="662"/>
      <c r="BX420" s="662"/>
      <c r="BY420" s="662"/>
      <c r="BZ420" s="662"/>
      <c r="CA420" s="662"/>
      <c r="CB420" s="662"/>
      <c r="CC420" s="662"/>
      <c r="CD420" s="662"/>
      <c r="CE420" s="662"/>
      <c r="CF420" s="662"/>
      <c r="CG420" s="662"/>
      <c r="CH420" s="663"/>
      <c r="CI420" s="661">
        <v>5</v>
      </c>
      <c r="CJ420" s="662"/>
      <c r="CK420" s="662"/>
      <c r="CL420" s="662"/>
      <c r="CM420" s="662"/>
      <c r="CN420" s="662"/>
      <c r="CO420" s="662"/>
      <c r="CP420" s="662"/>
      <c r="CQ420" s="662"/>
      <c r="CR420" s="662"/>
      <c r="CS420" s="662"/>
      <c r="CT420" s="662"/>
      <c r="CU420" s="662"/>
      <c r="CV420" s="662"/>
      <c r="CW420" s="662"/>
      <c r="CX420" s="662"/>
      <c r="CY420" s="662"/>
      <c r="CZ420" s="663"/>
      <c r="DA420" s="214"/>
    </row>
    <row r="421" spans="1:268" s="16" customFormat="1" ht="15" customHeight="1" x14ac:dyDescent="0.3">
      <c r="A421" s="648" t="s">
        <v>569</v>
      </c>
      <c r="B421" s="649"/>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9"/>
      <c r="AL421" s="649"/>
      <c r="AM421" s="649"/>
      <c r="AN421" s="649"/>
      <c r="AO421" s="649"/>
      <c r="AP421" s="649"/>
      <c r="AQ421" s="649"/>
      <c r="AR421" s="649"/>
      <c r="AS421" s="649"/>
      <c r="AT421" s="649"/>
      <c r="AU421" s="649"/>
      <c r="AV421" s="649"/>
      <c r="AW421" s="649"/>
      <c r="AX421" s="649"/>
      <c r="AY421" s="649"/>
      <c r="AZ421" s="649"/>
      <c r="BA421" s="649"/>
      <c r="BB421" s="649"/>
      <c r="BC421" s="649"/>
      <c r="BD421" s="649"/>
      <c r="BE421" s="649"/>
      <c r="BF421" s="649"/>
      <c r="BG421" s="649"/>
      <c r="BH421" s="649"/>
      <c r="BI421" s="649"/>
      <c r="BJ421" s="649"/>
      <c r="BK421" s="649"/>
      <c r="BL421" s="649"/>
      <c r="BM421" s="649"/>
      <c r="BN421" s="649"/>
      <c r="BO421" s="649"/>
      <c r="BP421" s="649"/>
      <c r="BQ421" s="649"/>
      <c r="BR421" s="649"/>
      <c r="BS421" s="649"/>
      <c r="BT421" s="649"/>
      <c r="BU421" s="649"/>
      <c r="BV421" s="649"/>
      <c r="BW421" s="649"/>
      <c r="BX421" s="649"/>
      <c r="BY421" s="649"/>
      <c r="BZ421" s="649"/>
      <c r="CA421" s="649"/>
      <c r="CB421" s="649"/>
      <c r="CC421" s="649"/>
      <c r="CD421" s="649"/>
      <c r="CE421" s="649"/>
      <c r="CF421" s="649"/>
      <c r="CG421" s="649"/>
      <c r="CH421" s="649"/>
      <c r="CI421" s="692"/>
      <c r="CJ421" s="692"/>
      <c r="CK421" s="649"/>
      <c r="CL421" s="649"/>
      <c r="CM421" s="649"/>
      <c r="CN421" s="649"/>
      <c r="CO421" s="649"/>
      <c r="CP421" s="649"/>
      <c r="CQ421" s="649"/>
      <c r="CR421" s="649"/>
      <c r="CS421" s="649"/>
      <c r="CT421" s="649"/>
      <c r="CU421" s="649"/>
      <c r="CV421" s="649"/>
      <c r="CW421" s="649"/>
      <c r="CX421" s="649"/>
      <c r="CY421" s="649"/>
      <c r="CZ421" s="649"/>
      <c r="DA421" s="214"/>
    </row>
    <row r="422" spans="1:268" s="16" customFormat="1" ht="15" customHeight="1" x14ac:dyDescent="0.3">
      <c r="A422" s="659" t="s">
        <v>67</v>
      </c>
      <c r="B422" s="659"/>
      <c r="C422" s="659"/>
      <c r="D422" s="659"/>
      <c r="E422" s="659"/>
      <c r="F422" s="659"/>
      <c r="G422" s="659"/>
      <c r="H422" s="556" t="s">
        <v>595</v>
      </c>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6"/>
      <c r="AL422" s="556"/>
      <c r="AM422" s="556"/>
      <c r="AN422" s="556"/>
      <c r="AO422" s="556"/>
      <c r="AP422" s="556"/>
      <c r="AQ422" s="556"/>
      <c r="AR422" s="556"/>
      <c r="AS422" s="556"/>
      <c r="AT422" s="556"/>
      <c r="AU422" s="556"/>
      <c r="AV422" s="556"/>
      <c r="AW422" s="556"/>
      <c r="AX422" s="556"/>
      <c r="AY422" s="556"/>
      <c r="AZ422" s="556"/>
      <c r="BA422" s="556"/>
      <c r="BB422" s="556"/>
      <c r="BC422" s="771">
        <v>7</v>
      </c>
      <c r="BD422" s="771"/>
      <c r="BE422" s="771"/>
      <c r="BF422" s="771"/>
      <c r="BG422" s="771"/>
      <c r="BH422" s="771"/>
      <c r="BI422" s="771"/>
      <c r="BJ422" s="771"/>
      <c r="BK422" s="771"/>
      <c r="BL422" s="771"/>
      <c r="BM422" s="771"/>
      <c r="BN422" s="771"/>
      <c r="BO422" s="771"/>
      <c r="BP422" s="771"/>
      <c r="BQ422" s="771"/>
      <c r="BR422" s="771"/>
      <c r="BS422" s="771">
        <v>188.45</v>
      </c>
      <c r="BT422" s="771"/>
      <c r="BU422" s="771"/>
      <c r="BV422" s="771"/>
      <c r="BW422" s="771"/>
      <c r="BX422" s="771"/>
      <c r="BY422" s="771"/>
      <c r="BZ422" s="771"/>
      <c r="CA422" s="771"/>
      <c r="CB422" s="771"/>
      <c r="CC422" s="771"/>
      <c r="CD422" s="771"/>
      <c r="CE422" s="771"/>
      <c r="CF422" s="771"/>
      <c r="CG422" s="771"/>
      <c r="CH422" s="771"/>
      <c r="CI422" s="329"/>
      <c r="CJ422" s="330"/>
      <c r="CK422" s="628">
        <v>1371.92</v>
      </c>
      <c r="CL422" s="628"/>
      <c r="CM422" s="628"/>
      <c r="CN422" s="628"/>
      <c r="CO422" s="628"/>
      <c r="CP422" s="628"/>
      <c r="CQ422" s="628"/>
      <c r="CR422" s="628"/>
      <c r="CS422" s="628"/>
      <c r="CT422" s="628"/>
      <c r="CU422" s="628"/>
      <c r="CV422" s="628"/>
      <c r="CW422" s="628"/>
      <c r="CX422" s="628"/>
      <c r="CY422" s="628"/>
      <c r="CZ422" s="629"/>
      <c r="DA422" s="214"/>
      <c r="GW422" s="779"/>
      <c r="GX422" s="779"/>
      <c r="GY422" s="779"/>
      <c r="GZ422" s="779"/>
      <c r="HA422" s="779"/>
      <c r="HB422" s="779"/>
      <c r="HC422" s="779"/>
      <c r="HD422" s="779"/>
      <c r="HE422" s="779"/>
      <c r="HF422" s="779"/>
      <c r="HG422" s="779"/>
      <c r="HH422" s="779"/>
      <c r="HI422" s="779"/>
      <c r="HJ422" s="779"/>
      <c r="HK422" s="779"/>
      <c r="HL422" s="779"/>
      <c r="HM422" s="773"/>
      <c r="HN422" s="773"/>
      <c r="HO422" s="773"/>
      <c r="HP422" s="773"/>
      <c r="HQ422" s="773"/>
      <c r="HR422" s="773"/>
      <c r="HS422" s="773"/>
      <c r="HT422" s="773"/>
      <c r="HU422" s="773"/>
      <c r="HV422" s="773"/>
      <c r="HW422" s="773"/>
      <c r="HX422" s="773"/>
      <c r="HY422" s="773"/>
      <c r="HZ422" s="773"/>
      <c r="IA422" s="773"/>
      <c r="IB422" s="773"/>
      <c r="IC422" s="780"/>
      <c r="ID422" s="780"/>
      <c r="IE422" s="780"/>
      <c r="IF422" s="780"/>
      <c r="IG422" s="780"/>
      <c r="IH422" s="780"/>
      <c r="II422" s="780"/>
      <c r="IJ422" s="780"/>
      <c r="IK422" s="780"/>
      <c r="IL422" s="780"/>
      <c r="IM422" s="780"/>
      <c r="IN422" s="780"/>
      <c r="IO422" s="780"/>
      <c r="IP422" s="780"/>
      <c r="IQ422" s="780"/>
      <c r="IR422" s="780"/>
      <c r="IS422" s="779"/>
      <c r="IT422" s="779"/>
      <c r="IU422" s="779"/>
      <c r="IV422" s="779"/>
      <c r="IW422" s="779"/>
      <c r="IX422" s="779"/>
      <c r="IY422" s="779"/>
      <c r="IZ422" s="779"/>
      <c r="JA422" s="779"/>
      <c r="JB422" s="779"/>
      <c r="JC422" s="779"/>
      <c r="JD422" s="779"/>
      <c r="JE422" s="779"/>
      <c r="JF422" s="779"/>
      <c r="JG422" s="779"/>
      <c r="JH422" s="779"/>
    </row>
    <row r="423" spans="1:268" s="16" customFormat="1" ht="15" customHeight="1" x14ac:dyDescent="0.3">
      <c r="A423" s="659" t="s">
        <v>71</v>
      </c>
      <c r="B423" s="659"/>
      <c r="C423" s="659"/>
      <c r="D423" s="659"/>
      <c r="E423" s="659"/>
      <c r="F423" s="659"/>
      <c r="G423" s="659"/>
      <c r="H423" s="556" t="s">
        <v>824</v>
      </c>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6"/>
      <c r="AL423" s="556"/>
      <c r="AM423" s="556"/>
      <c r="AN423" s="556"/>
      <c r="AO423" s="556"/>
      <c r="AP423" s="556"/>
      <c r="AQ423" s="556"/>
      <c r="AR423" s="556"/>
      <c r="AS423" s="556"/>
      <c r="AT423" s="556"/>
      <c r="AU423" s="556"/>
      <c r="AV423" s="556"/>
      <c r="AW423" s="556"/>
      <c r="AX423" s="556"/>
      <c r="AY423" s="556"/>
      <c r="AZ423" s="556"/>
      <c r="BA423" s="556"/>
      <c r="BB423" s="556"/>
      <c r="BC423" s="771">
        <v>8</v>
      </c>
      <c r="BD423" s="771"/>
      <c r="BE423" s="771"/>
      <c r="BF423" s="771"/>
      <c r="BG423" s="771"/>
      <c r="BH423" s="771"/>
      <c r="BI423" s="771"/>
      <c r="BJ423" s="771"/>
      <c r="BK423" s="771"/>
      <c r="BL423" s="771"/>
      <c r="BM423" s="771"/>
      <c r="BN423" s="771"/>
      <c r="BO423" s="771"/>
      <c r="BP423" s="771"/>
      <c r="BQ423" s="771"/>
      <c r="BR423" s="771"/>
      <c r="BS423" s="771">
        <v>226.15</v>
      </c>
      <c r="BT423" s="771"/>
      <c r="BU423" s="771"/>
      <c r="BV423" s="771"/>
      <c r="BW423" s="771"/>
      <c r="BX423" s="771"/>
      <c r="BY423" s="771"/>
      <c r="BZ423" s="771"/>
      <c r="CA423" s="771"/>
      <c r="CB423" s="771"/>
      <c r="CC423" s="771"/>
      <c r="CD423" s="771"/>
      <c r="CE423" s="771"/>
      <c r="CF423" s="771"/>
      <c r="CG423" s="771"/>
      <c r="CH423" s="771"/>
      <c r="CI423" s="329"/>
      <c r="CJ423" s="330"/>
      <c r="CK423" s="628">
        <v>1881.57</v>
      </c>
      <c r="CL423" s="628"/>
      <c r="CM423" s="628"/>
      <c r="CN423" s="628"/>
      <c r="CO423" s="628"/>
      <c r="CP423" s="628"/>
      <c r="CQ423" s="628"/>
      <c r="CR423" s="628"/>
      <c r="CS423" s="628"/>
      <c r="CT423" s="628"/>
      <c r="CU423" s="628"/>
      <c r="CV423" s="628"/>
      <c r="CW423" s="628"/>
      <c r="CX423" s="628"/>
      <c r="CY423" s="628"/>
      <c r="CZ423" s="629"/>
      <c r="DA423" s="214"/>
      <c r="GW423" s="779"/>
      <c r="GX423" s="779"/>
      <c r="GY423" s="779"/>
      <c r="GZ423" s="779"/>
      <c r="HA423" s="779"/>
      <c r="HB423" s="779"/>
      <c r="HC423" s="779"/>
      <c r="HD423" s="779"/>
      <c r="HE423" s="779"/>
      <c r="HF423" s="779"/>
      <c r="HG423" s="779"/>
      <c r="HH423" s="779"/>
      <c r="HI423" s="779"/>
      <c r="HJ423" s="779"/>
      <c r="HK423" s="779"/>
      <c r="HL423" s="779"/>
      <c r="HM423" s="773"/>
      <c r="HN423" s="773"/>
      <c r="HO423" s="773"/>
      <c r="HP423" s="773"/>
      <c r="HQ423" s="773"/>
      <c r="HR423" s="773"/>
      <c r="HS423" s="773"/>
      <c r="HT423" s="773"/>
      <c r="HU423" s="773"/>
      <c r="HV423" s="773"/>
      <c r="HW423" s="773"/>
      <c r="HX423" s="773"/>
      <c r="HY423" s="773"/>
      <c r="HZ423" s="773"/>
      <c r="IA423" s="773"/>
      <c r="IB423" s="773"/>
      <c r="IC423" s="780"/>
      <c r="ID423" s="780"/>
      <c r="IE423" s="780"/>
      <c r="IF423" s="780"/>
      <c r="IG423" s="780"/>
      <c r="IH423" s="780"/>
      <c r="II423" s="780"/>
      <c r="IJ423" s="780"/>
      <c r="IK423" s="780"/>
      <c r="IL423" s="780"/>
      <c r="IM423" s="780"/>
      <c r="IN423" s="780"/>
      <c r="IO423" s="780"/>
      <c r="IP423" s="780"/>
      <c r="IQ423" s="780"/>
      <c r="IR423" s="780"/>
      <c r="IS423" s="779"/>
      <c r="IT423" s="779"/>
      <c r="IU423" s="779"/>
      <c r="IV423" s="779"/>
      <c r="IW423" s="779"/>
      <c r="IX423" s="779"/>
      <c r="IY423" s="779"/>
      <c r="IZ423" s="779"/>
      <c r="JA423" s="779"/>
      <c r="JB423" s="779"/>
      <c r="JC423" s="779"/>
      <c r="JD423" s="779"/>
      <c r="JE423" s="779"/>
      <c r="JF423" s="779"/>
      <c r="JG423" s="779"/>
      <c r="JH423" s="779"/>
    </row>
    <row r="424" spans="1:268" s="16" customFormat="1" ht="15" customHeight="1" x14ac:dyDescent="0.3">
      <c r="A424" s="659" t="s">
        <v>462</v>
      </c>
      <c r="B424" s="659"/>
      <c r="C424" s="659"/>
      <c r="D424" s="659"/>
      <c r="E424" s="659"/>
      <c r="F424" s="659"/>
      <c r="G424" s="659"/>
      <c r="H424" s="556" t="s">
        <v>596</v>
      </c>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6"/>
      <c r="AL424" s="556"/>
      <c r="AM424" s="556"/>
      <c r="AN424" s="556"/>
      <c r="AO424" s="556"/>
      <c r="AP424" s="556"/>
      <c r="AQ424" s="556"/>
      <c r="AR424" s="556"/>
      <c r="AS424" s="556"/>
      <c r="AT424" s="556"/>
      <c r="AU424" s="556"/>
      <c r="AV424" s="556"/>
      <c r="AW424" s="556"/>
      <c r="AX424" s="556"/>
      <c r="AY424" s="556"/>
      <c r="AZ424" s="556"/>
      <c r="BA424" s="556"/>
      <c r="BB424" s="556"/>
      <c r="BC424" s="771">
        <v>15</v>
      </c>
      <c r="BD424" s="771"/>
      <c r="BE424" s="771"/>
      <c r="BF424" s="771"/>
      <c r="BG424" s="771"/>
      <c r="BH424" s="771"/>
      <c r="BI424" s="771"/>
      <c r="BJ424" s="771"/>
      <c r="BK424" s="771"/>
      <c r="BL424" s="771"/>
      <c r="BM424" s="771"/>
      <c r="BN424" s="771"/>
      <c r="BO424" s="771"/>
      <c r="BP424" s="771"/>
      <c r="BQ424" s="771"/>
      <c r="BR424" s="771"/>
      <c r="BS424" s="771">
        <v>213.69</v>
      </c>
      <c r="BT424" s="771"/>
      <c r="BU424" s="771"/>
      <c r="BV424" s="771"/>
      <c r="BW424" s="771"/>
      <c r="BX424" s="771"/>
      <c r="BY424" s="771"/>
      <c r="BZ424" s="771"/>
      <c r="CA424" s="771"/>
      <c r="CB424" s="771"/>
      <c r="CC424" s="771"/>
      <c r="CD424" s="771"/>
      <c r="CE424" s="771"/>
      <c r="CF424" s="771"/>
      <c r="CG424" s="771"/>
      <c r="CH424" s="771"/>
      <c r="CI424" s="329"/>
      <c r="CJ424" s="330"/>
      <c r="CK424" s="628">
        <v>3333.56</v>
      </c>
      <c r="CL424" s="628"/>
      <c r="CM424" s="628"/>
      <c r="CN424" s="628"/>
      <c r="CO424" s="628"/>
      <c r="CP424" s="628"/>
      <c r="CQ424" s="628"/>
      <c r="CR424" s="628"/>
      <c r="CS424" s="628"/>
      <c r="CT424" s="628"/>
      <c r="CU424" s="628"/>
      <c r="CV424" s="628"/>
      <c r="CW424" s="628"/>
      <c r="CX424" s="628"/>
      <c r="CY424" s="628"/>
      <c r="CZ424" s="629"/>
      <c r="DA424" s="214"/>
      <c r="GW424" s="779"/>
      <c r="GX424" s="779"/>
      <c r="GY424" s="779"/>
      <c r="GZ424" s="779"/>
      <c r="HA424" s="779"/>
      <c r="HB424" s="779"/>
      <c r="HC424" s="779"/>
      <c r="HD424" s="779"/>
      <c r="HE424" s="779"/>
      <c r="HF424" s="779"/>
      <c r="HG424" s="779"/>
      <c r="HH424" s="779"/>
      <c r="HI424" s="779"/>
      <c r="HJ424" s="779"/>
      <c r="HK424" s="779"/>
      <c r="HL424" s="779"/>
      <c r="HM424" s="773"/>
      <c r="HN424" s="773"/>
      <c r="HO424" s="773"/>
      <c r="HP424" s="773"/>
      <c r="HQ424" s="773"/>
      <c r="HR424" s="773"/>
      <c r="HS424" s="773"/>
      <c r="HT424" s="773"/>
      <c r="HU424" s="773"/>
      <c r="HV424" s="773"/>
      <c r="HW424" s="773"/>
      <c r="HX424" s="773"/>
      <c r="HY424" s="773"/>
      <c r="HZ424" s="773"/>
      <c r="IA424" s="773"/>
      <c r="IB424" s="773"/>
      <c r="IC424" s="780"/>
      <c r="ID424" s="780"/>
      <c r="IE424" s="780"/>
      <c r="IF424" s="780"/>
      <c r="IG424" s="780"/>
      <c r="IH424" s="780"/>
      <c r="II424" s="780"/>
      <c r="IJ424" s="780"/>
      <c r="IK424" s="780"/>
      <c r="IL424" s="780"/>
      <c r="IM424" s="780"/>
      <c r="IN424" s="780"/>
      <c r="IO424" s="780"/>
      <c r="IP424" s="780"/>
      <c r="IQ424" s="780"/>
      <c r="IR424" s="780"/>
      <c r="IS424" s="779"/>
      <c r="IT424" s="779"/>
      <c r="IU424" s="779"/>
      <c r="IV424" s="779"/>
      <c r="IW424" s="779"/>
      <c r="IX424" s="779"/>
      <c r="IY424" s="779"/>
      <c r="IZ424" s="779"/>
      <c r="JA424" s="779"/>
      <c r="JB424" s="779"/>
      <c r="JC424" s="779"/>
      <c r="JD424" s="779"/>
      <c r="JE424" s="779"/>
      <c r="JF424" s="779"/>
      <c r="JG424" s="779"/>
      <c r="JH424" s="779"/>
    </row>
    <row r="425" spans="1:268" s="16" customFormat="1" ht="15" customHeight="1" x14ac:dyDescent="0.3">
      <c r="A425" s="659" t="s">
        <v>477</v>
      </c>
      <c r="B425" s="659"/>
      <c r="C425" s="659"/>
      <c r="D425" s="659"/>
      <c r="E425" s="659"/>
      <c r="F425" s="659"/>
      <c r="G425" s="659"/>
      <c r="H425" s="556" t="s">
        <v>593</v>
      </c>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6"/>
      <c r="AL425" s="556"/>
      <c r="AM425" s="556"/>
      <c r="AN425" s="556"/>
      <c r="AO425" s="556"/>
      <c r="AP425" s="556"/>
      <c r="AQ425" s="556"/>
      <c r="AR425" s="556"/>
      <c r="AS425" s="556"/>
      <c r="AT425" s="556"/>
      <c r="AU425" s="556"/>
      <c r="AV425" s="556"/>
      <c r="AW425" s="556"/>
      <c r="AX425" s="556"/>
      <c r="AY425" s="556"/>
      <c r="AZ425" s="556"/>
      <c r="BA425" s="556"/>
      <c r="BB425" s="556"/>
      <c r="BC425" s="693">
        <v>10</v>
      </c>
      <c r="BD425" s="694"/>
      <c r="BE425" s="694"/>
      <c r="BF425" s="694"/>
      <c r="BG425" s="694"/>
      <c r="BH425" s="694"/>
      <c r="BI425" s="694"/>
      <c r="BJ425" s="694"/>
      <c r="BK425" s="694"/>
      <c r="BL425" s="694"/>
      <c r="BM425" s="694"/>
      <c r="BN425" s="694"/>
      <c r="BO425" s="694"/>
      <c r="BP425" s="694"/>
      <c r="BQ425" s="694"/>
      <c r="BR425" s="695"/>
      <c r="BS425" s="693">
        <v>6861.23</v>
      </c>
      <c r="BT425" s="694"/>
      <c r="BU425" s="694"/>
      <c r="BV425" s="694"/>
      <c r="BW425" s="694"/>
      <c r="BX425" s="694"/>
      <c r="BY425" s="694"/>
      <c r="BZ425" s="694"/>
      <c r="CA425" s="694"/>
      <c r="CB425" s="694"/>
      <c r="CC425" s="694"/>
      <c r="CD425" s="694"/>
      <c r="CE425" s="694"/>
      <c r="CF425" s="694"/>
      <c r="CG425" s="694"/>
      <c r="CH425" s="695"/>
      <c r="CI425" s="329"/>
      <c r="CJ425" s="330"/>
      <c r="CK425" s="628">
        <v>71356.789999999994</v>
      </c>
      <c r="CL425" s="628"/>
      <c r="CM425" s="628"/>
      <c r="CN425" s="628"/>
      <c r="CO425" s="628"/>
      <c r="CP425" s="628"/>
      <c r="CQ425" s="628"/>
      <c r="CR425" s="628"/>
      <c r="CS425" s="628"/>
      <c r="CT425" s="628"/>
      <c r="CU425" s="628"/>
      <c r="CV425" s="628"/>
      <c r="CW425" s="628"/>
      <c r="CX425" s="628"/>
      <c r="CY425" s="628"/>
      <c r="CZ425" s="629"/>
      <c r="DA425" s="214"/>
      <c r="ES425" s="238"/>
      <c r="GW425" s="779"/>
      <c r="GX425" s="779"/>
      <c r="GY425" s="779"/>
      <c r="GZ425" s="779"/>
      <c r="HA425" s="779"/>
      <c r="HB425" s="779"/>
      <c r="HC425" s="779"/>
      <c r="HD425" s="779"/>
      <c r="HE425" s="779"/>
      <c r="HF425" s="779"/>
      <c r="HG425" s="779"/>
      <c r="HH425" s="779"/>
      <c r="HI425" s="779"/>
      <c r="HJ425" s="779"/>
      <c r="HK425" s="779"/>
      <c r="HL425" s="779"/>
      <c r="HM425" s="773"/>
      <c r="HN425" s="773"/>
      <c r="HO425" s="773"/>
      <c r="HP425" s="773"/>
      <c r="HQ425" s="773"/>
      <c r="HR425" s="773"/>
      <c r="HS425" s="773"/>
      <c r="HT425" s="773"/>
      <c r="HU425" s="773"/>
      <c r="HV425" s="773"/>
      <c r="HW425" s="773"/>
      <c r="HX425" s="773"/>
      <c r="HY425" s="773"/>
      <c r="HZ425" s="773"/>
      <c r="IA425" s="773"/>
      <c r="IB425" s="773"/>
      <c r="IC425" s="780"/>
      <c r="ID425" s="780"/>
      <c r="IE425" s="780"/>
      <c r="IF425" s="780"/>
      <c r="IG425" s="780"/>
      <c r="IH425" s="780"/>
      <c r="II425" s="780"/>
      <c r="IJ425" s="780"/>
      <c r="IK425" s="780"/>
      <c r="IL425" s="780"/>
      <c r="IM425" s="780"/>
      <c r="IN425" s="780"/>
      <c r="IO425" s="780"/>
      <c r="IP425" s="780"/>
      <c r="IQ425" s="780"/>
      <c r="IR425" s="780"/>
      <c r="IS425" s="779"/>
      <c r="IT425" s="779"/>
      <c r="IU425" s="779"/>
      <c r="IV425" s="779"/>
      <c r="IW425" s="779"/>
      <c r="IX425" s="779"/>
      <c r="IY425" s="779"/>
      <c r="IZ425" s="779"/>
      <c r="JA425" s="779"/>
      <c r="JB425" s="779"/>
      <c r="JC425" s="779"/>
      <c r="JD425" s="779"/>
      <c r="JE425" s="779"/>
      <c r="JF425" s="779"/>
      <c r="JG425" s="779"/>
      <c r="JH425" s="779"/>
    </row>
    <row r="426" spans="1:268" s="16" customFormat="1" ht="15" customHeight="1" x14ac:dyDescent="0.3">
      <c r="A426" s="778" t="s">
        <v>292</v>
      </c>
      <c r="B426" s="778"/>
      <c r="C426" s="778"/>
      <c r="D426" s="778"/>
      <c r="E426" s="778"/>
      <c r="F426" s="778"/>
      <c r="G426" s="778"/>
      <c r="H426" s="778"/>
      <c r="I426" s="778"/>
      <c r="J426" s="778"/>
      <c r="K426" s="778"/>
      <c r="L426" s="778"/>
      <c r="M426" s="778"/>
      <c r="N426" s="778"/>
      <c r="O426" s="778"/>
      <c r="P426" s="778"/>
      <c r="Q426" s="778"/>
      <c r="R426" s="778"/>
      <c r="S426" s="778"/>
      <c r="T426" s="778"/>
      <c r="U426" s="778"/>
      <c r="V426" s="778"/>
      <c r="W426" s="778"/>
      <c r="X426" s="778"/>
      <c r="Y426" s="778"/>
      <c r="Z426" s="778"/>
      <c r="AA426" s="778"/>
      <c r="AB426" s="778"/>
      <c r="AC426" s="778"/>
      <c r="AD426" s="778"/>
      <c r="AE426" s="778"/>
      <c r="AF426" s="778"/>
      <c r="AG426" s="778"/>
      <c r="AH426" s="778"/>
      <c r="AI426" s="778"/>
      <c r="AJ426" s="778"/>
      <c r="AK426" s="778"/>
      <c r="AL426" s="778"/>
      <c r="AM426" s="778"/>
      <c r="AN426" s="778"/>
      <c r="AO426" s="778"/>
      <c r="AP426" s="778"/>
      <c r="AQ426" s="778"/>
      <c r="AR426" s="778"/>
      <c r="AS426" s="778"/>
      <c r="AT426" s="778"/>
      <c r="AU426" s="778"/>
      <c r="AV426" s="778"/>
      <c r="AW426" s="778"/>
      <c r="AX426" s="778"/>
      <c r="AY426" s="778"/>
      <c r="AZ426" s="778"/>
      <c r="BA426" s="778"/>
      <c r="BB426" s="778"/>
      <c r="BC426" s="582" t="s">
        <v>4</v>
      </c>
      <c r="BD426" s="582"/>
      <c r="BE426" s="582"/>
      <c r="BF426" s="582"/>
      <c r="BG426" s="582"/>
      <c r="BH426" s="582"/>
      <c r="BI426" s="582"/>
      <c r="BJ426" s="582"/>
      <c r="BK426" s="582"/>
      <c r="BL426" s="582"/>
      <c r="BM426" s="582"/>
      <c r="BN426" s="582"/>
      <c r="BO426" s="582"/>
      <c r="BP426" s="582"/>
      <c r="BQ426" s="582"/>
      <c r="BR426" s="582"/>
      <c r="BS426" s="582" t="s">
        <v>4</v>
      </c>
      <c r="BT426" s="582"/>
      <c r="BU426" s="582"/>
      <c r="BV426" s="582"/>
      <c r="BW426" s="582"/>
      <c r="BX426" s="582"/>
      <c r="BY426" s="582"/>
      <c r="BZ426" s="582"/>
      <c r="CA426" s="582"/>
      <c r="CB426" s="582"/>
      <c r="CC426" s="582"/>
      <c r="CD426" s="582"/>
      <c r="CE426" s="582"/>
      <c r="CF426" s="582"/>
      <c r="CG426" s="582"/>
      <c r="CH426" s="582"/>
      <c r="CI426" s="332"/>
      <c r="CJ426" s="333"/>
      <c r="CK426" s="654">
        <f>CK422+CK423+CK424+CK425</f>
        <v>77943.839999999997</v>
      </c>
      <c r="CL426" s="654"/>
      <c r="CM426" s="654"/>
      <c r="CN426" s="654"/>
      <c r="CO426" s="654"/>
      <c r="CP426" s="654"/>
      <c r="CQ426" s="654"/>
      <c r="CR426" s="654"/>
      <c r="CS426" s="654"/>
      <c r="CT426" s="654"/>
      <c r="CU426" s="654"/>
      <c r="CV426" s="654"/>
      <c r="CW426" s="654"/>
      <c r="CX426" s="654"/>
      <c r="CY426" s="654"/>
      <c r="CZ426" s="655"/>
      <c r="DA426" s="214"/>
    </row>
    <row r="427" spans="1:268" s="16" customFormat="1" ht="15" customHeight="1" x14ac:dyDescent="0.3">
      <c r="A427" s="648" t="s">
        <v>584</v>
      </c>
      <c r="B427" s="649"/>
      <c r="C427" s="649"/>
      <c r="D427" s="649"/>
      <c r="E427" s="649"/>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49"/>
      <c r="AY427" s="649"/>
      <c r="AZ427" s="649"/>
      <c r="BA427" s="649"/>
      <c r="BB427" s="649"/>
      <c r="BC427" s="649"/>
      <c r="BD427" s="649"/>
      <c r="BE427" s="649"/>
      <c r="BF427" s="649"/>
      <c r="BG427" s="649"/>
      <c r="BH427" s="649"/>
      <c r="BI427" s="649"/>
      <c r="BJ427" s="649"/>
      <c r="BK427" s="649"/>
      <c r="BL427" s="649"/>
      <c r="BM427" s="649"/>
      <c r="BN427" s="649"/>
      <c r="BO427" s="649"/>
      <c r="BP427" s="649"/>
      <c r="BQ427" s="649"/>
      <c r="BR427" s="649"/>
      <c r="BS427" s="649"/>
      <c r="BT427" s="649"/>
      <c r="BU427" s="649"/>
      <c r="BV427" s="649"/>
      <c r="BW427" s="649"/>
      <c r="BX427" s="649"/>
      <c r="BY427" s="649"/>
      <c r="BZ427" s="649"/>
      <c r="CA427" s="649"/>
      <c r="CB427" s="649"/>
      <c r="CC427" s="649"/>
      <c r="CD427" s="649"/>
      <c r="CE427" s="649"/>
      <c r="CF427" s="649"/>
      <c r="CG427" s="649"/>
      <c r="CH427" s="649"/>
      <c r="CI427" s="744"/>
      <c r="CJ427" s="744"/>
      <c r="CK427" s="744"/>
      <c r="CL427" s="744"/>
      <c r="CM427" s="744"/>
      <c r="CN427" s="744"/>
      <c r="CO427" s="744"/>
      <c r="CP427" s="744"/>
      <c r="CQ427" s="744"/>
      <c r="CR427" s="744"/>
      <c r="CS427" s="744"/>
      <c r="CT427" s="744"/>
      <c r="CU427" s="744"/>
      <c r="CV427" s="744"/>
      <c r="CW427" s="744"/>
      <c r="CX427" s="744"/>
      <c r="CY427" s="744"/>
      <c r="CZ427" s="745"/>
      <c r="DA427" s="214"/>
    </row>
    <row r="428" spans="1:268" s="16" customFormat="1" ht="15" hidden="1" customHeight="1" x14ac:dyDescent="0.3">
      <c r="A428" s="630" t="s">
        <v>441</v>
      </c>
      <c r="B428" s="631"/>
      <c r="C428" s="631"/>
      <c r="D428" s="631"/>
      <c r="E428" s="631"/>
      <c r="F428" s="631"/>
      <c r="G428" s="632"/>
      <c r="H428" s="584" t="s">
        <v>824</v>
      </c>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5"/>
      <c r="AL428" s="585"/>
      <c r="AM428" s="585"/>
      <c r="AN428" s="586"/>
      <c r="AO428" s="639">
        <v>25</v>
      </c>
      <c r="AP428" s="640"/>
      <c r="AQ428" s="640"/>
      <c r="AR428" s="640"/>
      <c r="AS428" s="640"/>
      <c r="AT428" s="640"/>
      <c r="AU428" s="640"/>
      <c r="AV428" s="640"/>
      <c r="AW428" s="640"/>
      <c r="AX428" s="640"/>
      <c r="AY428" s="640"/>
      <c r="AZ428" s="640"/>
      <c r="BA428" s="640"/>
      <c r="BB428" s="640"/>
      <c r="BC428" s="640"/>
      <c r="BD428" s="641"/>
      <c r="BE428" s="693"/>
      <c r="BF428" s="694"/>
      <c r="BG428" s="694"/>
      <c r="BH428" s="694"/>
      <c r="BI428" s="694"/>
      <c r="BJ428" s="694"/>
      <c r="BK428" s="694"/>
      <c r="BL428" s="694"/>
      <c r="BM428" s="694"/>
      <c r="BN428" s="694"/>
      <c r="BO428" s="694"/>
      <c r="BP428" s="694"/>
      <c r="BQ428" s="694"/>
      <c r="BR428" s="694"/>
      <c r="BS428" s="694"/>
      <c r="BT428" s="695"/>
      <c r="BU428" s="696">
        <v>0.04</v>
      </c>
      <c r="BV428" s="697"/>
      <c r="BW428" s="697"/>
      <c r="BX428" s="697"/>
      <c r="BY428" s="697"/>
      <c r="BZ428" s="697"/>
      <c r="CA428" s="697"/>
      <c r="CB428" s="697"/>
      <c r="CC428" s="697"/>
      <c r="CD428" s="697"/>
      <c r="CE428" s="697"/>
      <c r="CF428" s="697"/>
      <c r="CG428" s="697"/>
      <c r="CH428" s="697"/>
      <c r="CI428" s="697"/>
      <c r="CJ428" s="698"/>
      <c r="CK428" s="627">
        <f>ROUND(AO428*BE428*BU428+(AO428*BE428),2)</f>
        <v>0</v>
      </c>
      <c r="CL428" s="628"/>
      <c r="CM428" s="628"/>
      <c r="CN428" s="628"/>
      <c r="CO428" s="628"/>
      <c r="CP428" s="628"/>
      <c r="CQ428" s="628"/>
      <c r="CR428" s="628"/>
      <c r="CS428" s="628"/>
      <c r="CT428" s="628"/>
      <c r="CU428" s="628"/>
      <c r="CV428" s="628"/>
      <c r="CW428" s="628"/>
      <c r="CX428" s="628"/>
      <c r="CY428" s="628"/>
      <c r="CZ428" s="629"/>
      <c r="DA428" s="214"/>
    </row>
    <row r="429" spans="1:268" s="16" customFormat="1" ht="15" hidden="1" customHeight="1" x14ac:dyDescent="0.3">
      <c r="A429" s="630" t="s">
        <v>444</v>
      </c>
      <c r="B429" s="631"/>
      <c r="C429" s="631"/>
      <c r="D429" s="631"/>
      <c r="E429" s="631"/>
      <c r="F429" s="631"/>
      <c r="G429" s="632"/>
      <c r="H429" s="584" t="s">
        <v>595</v>
      </c>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5"/>
      <c r="AL429" s="585"/>
      <c r="AM429" s="585"/>
      <c r="AN429" s="586"/>
      <c r="AO429" s="639">
        <v>25</v>
      </c>
      <c r="AP429" s="640"/>
      <c r="AQ429" s="640"/>
      <c r="AR429" s="640"/>
      <c r="AS429" s="640"/>
      <c r="AT429" s="640"/>
      <c r="AU429" s="640"/>
      <c r="AV429" s="640"/>
      <c r="AW429" s="640"/>
      <c r="AX429" s="640"/>
      <c r="AY429" s="640"/>
      <c r="AZ429" s="640"/>
      <c r="BA429" s="640"/>
      <c r="BB429" s="640"/>
      <c r="BC429" s="640"/>
      <c r="BD429" s="641"/>
      <c r="BE429" s="693"/>
      <c r="BF429" s="694"/>
      <c r="BG429" s="694"/>
      <c r="BH429" s="694"/>
      <c r="BI429" s="694"/>
      <c r="BJ429" s="694"/>
      <c r="BK429" s="694"/>
      <c r="BL429" s="694"/>
      <c r="BM429" s="694"/>
      <c r="BN429" s="694"/>
      <c r="BO429" s="694"/>
      <c r="BP429" s="694"/>
      <c r="BQ429" s="694"/>
      <c r="BR429" s="694"/>
      <c r="BS429" s="694"/>
      <c r="BT429" s="695"/>
      <c r="BU429" s="696">
        <v>0.04</v>
      </c>
      <c r="BV429" s="697"/>
      <c r="BW429" s="697"/>
      <c r="BX429" s="697"/>
      <c r="BY429" s="697"/>
      <c r="BZ429" s="697"/>
      <c r="CA429" s="697"/>
      <c r="CB429" s="697"/>
      <c r="CC429" s="697"/>
      <c r="CD429" s="697"/>
      <c r="CE429" s="697"/>
      <c r="CF429" s="697"/>
      <c r="CG429" s="697"/>
      <c r="CH429" s="697"/>
      <c r="CI429" s="697"/>
      <c r="CJ429" s="698"/>
      <c r="CK429" s="627">
        <f>ROUND(AO429*BE429*BU429+(AO429*BE429),2)</f>
        <v>0</v>
      </c>
      <c r="CL429" s="628"/>
      <c r="CM429" s="628"/>
      <c r="CN429" s="628"/>
      <c r="CO429" s="628"/>
      <c r="CP429" s="628"/>
      <c r="CQ429" s="628"/>
      <c r="CR429" s="628"/>
      <c r="CS429" s="628"/>
      <c r="CT429" s="628"/>
      <c r="CU429" s="628"/>
      <c r="CV429" s="628"/>
      <c r="CW429" s="628"/>
      <c r="CX429" s="628"/>
      <c r="CY429" s="628"/>
      <c r="CZ429" s="629"/>
      <c r="DA429" s="214"/>
    </row>
    <row r="430" spans="1:268" s="16" customFormat="1" ht="15" hidden="1" customHeight="1" x14ac:dyDescent="0.3">
      <c r="A430" s="630" t="s">
        <v>444</v>
      </c>
      <c r="B430" s="631"/>
      <c r="C430" s="631"/>
      <c r="D430" s="631"/>
      <c r="E430" s="631"/>
      <c r="F430" s="631"/>
      <c r="G430" s="632"/>
      <c r="H430" s="584" t="s">
        <v>596</v>
      </c>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5"/>
      <c r="AL430" s="585"/>
      <c r="AM430" s="585"/>
      <c r="AN430" s="586"/>
      <c r="AO430" s="639">
        <v>50</v>
      </c>
      <c r="AP430" s="640"/>
      <c r="AQ430" s="640"/>
      <c r="AR430" s="640"/>
      <c r="AS430" s="640"/>
      <c r="AT430" s="640"/>
      <c r="AU430" s="640"/>
      <c r="AV430" s="640"/>
      <c r="AW430" s="640"/>
      <c r="AX430" s="640"/>
      <c r="AY430" s="640"/>
      <c r="AZ430" s="640"/>
      <c r="BA430" s="640"/>
      <c r="BB430" s="640"/>
      <c r="BC430" s="640"/>
      <c r="BD430" s="641"/>
      <c r="BE430" s="693"/>
      <c r="BF430" s="694"/>
      <c r="BG430" s="694"/>
      <c r="BH430" s="694"/>
      <c r="BI430" s="694"/>
      <c r="BJ430" s="694"/>
      <c r="BK430" s="694"/>
      <c r="BL430" s="694"/>
      <c r="BM430" s="694"/>
      <c r="BN430" s="694"/>
      <c r="BO430" s="694"/>
      <c r="BP430" s="694"/>
      <c r="BQ430" s="694"/>
      <c r="BR430" s="694"/>
      <c r="BS430" s="694"/>
      <c r="BT430" s="695"/>
      <c r="BU430" s="696">
        <v>0.04</v>
      </c>
      <c r="BV430" s="697"/>
      <c r="BW430" s="697"/>
      <c r="BX430" s="697"/>
      <c r="BY430" s="697"/>
      <c r="BZ430" s="697"/>
      <c r="CA430" s="697"/>
      <c r="CB430" s="697"/>
      <c r="CC430" s="697"/>
      <c r="CD430" s="697"/>
      <c r="CE430" s="697"/>
      <c r="CF430" s="697"/>
      <c r="CG430" s="697"/>
      <c r="CH430" s="697"/>
      <c r="CI430" s="697"/>
      <c r="CJ430" s="698"/>
      <c r="CK430" s="627">
        <f>ROUND(AO430*BE430*BU430+(AO430*BE430),2)</f>
        <v>0</v>
      </c>
      <c r="CL430" s="628"/>
      <c r="CM430" s="628"/>
      <c r="CN430" s="628"/>
      <c r="CO430" s="628"/>
      <c r="CP430" s="628"/>
      <c r="CQ430" s="628"/>
      <c r="CR430" s="628"/>
      <c r="CS430" s="628"/>
      <c r="CT430" s="628"/>
      <c r="CU430" s="628"/>
      <c r="CV430" s="628"/>
      <c r="CW430" s="628"/>
      <c r="CX430" s="628"/>
      <c r="CY430" s="628"/>
      <c r="CZ430" s="629"/>
      <c r="DA430" s="214"/>
    </row>
    <row r="431" spans="1:268" s="16" customFormat="1" ht="15" hidden="1" customHeight="1" x14ac:dyDescent="0.3">
      <c r="A431" s="553" t="s">
        <v>292</v>
      </c>
      <c r="B431" s="554"/>
      <c r="C431" s="554"/>
      <c r="D431" s="554"/>
      <c r="E431" s="554"/>
      <c r="F431" s="554"/>
      <c r="G431" s="554"/>
      <c r="H431" s="554"/>
      <c r="I431" s="554"/>
      <c r="J431" s="554"/>
      <c r="K431" s="554"/>
      <c r="L431" s="554"/>
      <c r="M431" s="554"/>
      <c r="N431" s="554"/>
      <c r="O431" s="554"/>
      <c r="P431" s="554"/>
      <c r="Q431" s="554"/>
      <c r="R431" s="554"/>
      <c r="S431" s="554"/>
      <c r="T431" s="554"/>
      <c r="U431" s="554"/>
      <c r="V431" s="554"/>
      <c r="W431" s="554"/>
      <c r="X431" s="554"/>
      <c r="Y431" s="554"/>
      <c r="Z431" s="554"/>
      <c r="AA431" s="554"/>
      <c r="AB431" s="554"/>
      <c r="AC431" s="554"/>
      <c r="AD431" s="554"/>
      <c r="AE431" s="554"/>
      <c r="AF431" s="554"/>
      <c r="AG431" s="554"/>
      <c r="AH431" s="554"/>
      <c r="AI431" s="554"/>
      <c r="AJ431" s="554"/>
      <c r="AK431" s="554"/>
      <c r="AL431" s="554"/>
      <c r="AM431" s="554"/>
      <c r="AN431" s="555"/>
      <c r="AO431" s="544" t="s">
        <v>4</v>
      </c>
      <c r="AP431" s="545"/>
      <c r="AQ431" s="545"/>
      <c r="AR431" s="545"/>
      <c r="AS431" s="545"/>
      <c r="AT431" s="545"/>
      <c r="AU431" s="545"/>
      <c r="AV431" s="545"/>
      <c r="AW431" s="545"/>
      <c r="AX431" s="545"/>
      <c r="AY431" s="545"/>
      <c r="AZ431" s="545"/>
      <c r="BA431" s="545"/>
      <c r="BB431" s="545"/>
      <c r="BC431" s="545"/>
      <c r="BD431" s="546"/>
      <c r="BE431" s="544" t="s">
        <v>4</v>
      </c>
      <c r="BF431" s="545"/>
      <c r="BG431" s="545"/>
      <c r="BH431" s="545"/>
      <c r="BI431" s="545"/>
      <c r="BJ431" s="545"/>
      <c r="BK431" s="545"/>
      <c r="BL431" s="545"/>
      <c r="BM431" s="545"/>
      <c r="BN431" s="545"/>
      <c r="BO431" s="545"/>
      <c r="BP431" s="545"/>
      <c r="BQ431" s="545"/>
      <c r="BR431" s="545"/>
      <c r="BS431" s="545"/>
      <c r="BT431" s="546"/>
      <c r="BU431" s="544" t="s">
        <v>4</v>
      </c>
      <c r="BV431" s="545"/>
      <c r="BW431" s="545"/>
      <c r="BX431" s="545"/>
      <c r="BY431" s="545"/>
      <c r="BZ431" s="545"/>
      <c r="CA431" s="545"/>
      <c r="CB431" s="545"/>
      <c r="CC431" s="545"/>
      <c r="CD431" s="545"/>
      <c r="CE431" s="545"/>
      <c r="CF431" s="545"/>
      <c r="CG431" s="545"/>
      <c r="CH431" s="545"/>
      <c r="CI431" s="545"/>
      <c r="CJ431" s="546"/>
      <c r="CK431" s="636">
        <f>SUM(CK428:CK430)</f>
        <v>0</v>
      </c>
      <c r="CL431" s="654"/>
      <c r="CM431" s="654"/>
      <c r="CN431" s="654"/>
      <c r="CO431" s="654"/>
      <c r="CP431" s="654"/>
      <c r="CQ431" s="654"/>
      <c r="CR431" s="654"/>
      <c r="CS431" s="654"/>
      <c r="CT431" s="654"/>
      <c r="CU431" s="654"/>
      <c r="CV431" s="654"/>
      <c r="CW431" s="654"/>
      <c r="CX431" s="654"/>
      <c r="CY431" s="654"/>
      <c r="CZ431" s="655"/>
      <c r="DA431" s="214"/>
    </row>
    <row r="432" spans="1:268" s="16" customFormat="1" ht="15" customHeight="1" x14ac:dyDescent="0.3">
      <c r="A432" s="778" t="s">
        <v>56</v>
      </c>
      <c r="B432" s="778"/>
      <c r="C432" s="778"/>
      <c r="D432" s="778"/>
      <c r="E432" s="778"/>
      <c r="F432" s="778"/>
      <c r="G432" s="778"/>
      <c r="H432" s="778"/>
      <c r="I432" s="778"/>
      <c r="J432" s="778"/>
      <c r="K432" s="778"/>
      <c r="L432" s="778"/>
      <c r="M432" s="778"/>
      <c r="N432" s="778"/>
      <c r="O432" s="778"/>
      <c r="P432" s="778"/>
      <c r="Q432" s="778"/>
      <c r="R432" s="778"/>
      <c r="S432" s="778"/>
      <c r="T432" s="778"/>
      <c r="U432" s="778"/>
      <c r="V432" s="778"/>
      <c r="W432" s="778"/>
      <c r="X432" s="778"/>
      <c r="Y432" s="778"/>
      <c r="Z432" s="778"/>
      <c r="AA432" s="778"/>
      <c r="AB432" s="778"/>
      <c r="AC432" s="778"/>
      <c r="AD432" s="778"/>
      <c r="AE432" s="778"/>
      <c r="AF432" s="778"/>
      <c r="AG432" s="778"/>
      <c r="AH432" s="778"/>
      <c r="AI432" s="778"/>
      <c r="AJ432" s="778"/>
      <c r="AK432" s="778"/>
      <c r="AL432" s="778"/>
      <c r="AM432" s="778"/>
      <c r="AN432" s="778"/>
      <c r="AO432" s="778"/>
      <c r="AP432" s="778"/>
      <c r="AQ432" s="778"/>
      <c r="AR432" s="778"/>
      <c r="AS432" s="778"/>
      <c r="AT432" s="778"/>
      <c r="AU432" s="778"/>
      <c r="AV432" s="778"/>
      <c r="AW432" s="778"/>
      <c r="AX432" s="778"/>
      <c r="AY432" s="778"/>
      <c r="AZ432" s="778"/>
      <c r="BA432" s="778"/>
      <c r="BB432" s="778"/>
      <c r="BC432" s="582" t="s">
        <v>4</v>
      </c>
      <c r="BD432" s="582"/>
      <c r="BE432" s="582"/>
      <c r="BF432" s="582"/>
      <c r="BG432" s="582"/>
      <c r="BH432" s="582"/>
      <c r="BI432" s="582"/>
      <c r="BJ432" s="582"/>
      <c r="BK432" s="582"/>
      <c r="BL432" s="582"/>
      <c r="BM432" s="582"/>
      <c r="BN432" s="582"/>
      <c r="BO432" s="582"/>
      <c r="BP432" s="582"/>
      <c r="BQ432" s="582"/>
      <c r="BR432" s="582"/>
      <c r="BS432" s="582" t="s">
        <v>4</v>
      </c>
      <c r="BT432" s="582"/>
      <c r="BU432" s="582"/>
      <c r="BV432" s="582"/>
      <c r="BW432" s="582"/>
      <c r="BX432" s="582"/>
      <c r="BY432" s="582"/>
      <c r="BZ432" s="582"/>
      <c r="CA432" s="582"/>
      <c r="CB432" s="582"/>
      <c r="CC432" s="582"/>
      <c r="CD432" s="582"/>
      <c r="CE432" s="582"/>
      <c r="CF432" s="582"/>
      <c r="CG432" s="582"/>
      <c r="CH432" s="582"/>
      <c r="CI432" s="337"/>
      <c r="CJ432" s="338"/>
      <c r="CK432" s="636">
        <f>CK426+CK431</f>
        <v>77943.839999999997</v>
      </c>
      <c r="CL432" s="654"/>
      <c r="CM432" s="654"/>
      <c r="CN432" s="654"/>
      <c r="CO432" s="654"/>
      <c r="CP432" s="654"/>
      <c r="CQ432" s="654"/>
      <c r="CR432" s="654"/>
      <c r="CS432" s="654"/>
      <c r="CT432" s="654"/>
      <c r="CU432" s="654"/>
      <c r="CV432" s="654"/>
      <c r="CW432" s="654"/>
      <c r="CX432" s="654"/>
      <c r="CY432" s="654"/>
      <c r="CZ432" s="655"/>
      <c r="DA432" s="214"/>
    </row>
    <row r="433" spans="1:105" s="16" customFormat="1" ht="15" customHeight="1" x14ac:dyDescent="0.3">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14"/>
    </row>
    <row r="434" spans="1:105" s="20" customFormat="1" x14ac:dyDescent="0.25">
      <c r="A434" s="594" t="s">
        <v>359</v>
      </c>
      <c r="B434" s="594"/>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4"/>
      <c r="AL434" s="594"/>
      <c r="AM434" s="594"/>
      <c r="AN434" s="594"/>
      <c r="AO434" s="594"/>
      <c r="AP434" s="594"/>
      <c r="AQ434" s="594"/>
      <c r="AR434" s="594"/>
      <c r="AS434" s="594"/>
      <c r="AT434" s="594"/>
      <c r="AU434" s="594"/>
      <c r="AV434" s="594"/>
      <c r="AW434" s="594"/>
      <c r="AX434" s="594"/>
      <c r="AY434" s="594"/>
      <c r="AZ434" s="594"/>
      <c r="BA434" s="594"/>
      <c r="BB434" s="594"/>
      <c r="BC434" s="594"/>
      <c r="BD434" s="594"/>
      <c r="BE434" s="594"/>
      <c r="BF434" s="594"/>
      <c r="BG434" s="594"/>
      <c r="BH434" s="594"/>
      <c r="BI434" s="594"/>
      <c r="BJ434" s="594"/>
      <c r="BK434" s="594"/>
      <c r="BL434" s="594"/>
      <c r="BM434" s="594"/>
      <c r="BN434" s="594"/>
      <c r="BO434" s="594"/>
      <c r="BP434" s="594"/>
      <c r="BQ434" s="594"/>
      <c r="BR434" s="594"/>
      <c r="BS434" s="594"/>
      <c r="BT434" s="594"/>
      <c r="BU434" s="594"/>
      <c r="BV434" s="594"/>
      <c r="BW434" s="594"/>
      <c r="BX434" s="594"/>
      <c r="BY434" s="594"/>
      <c r="BZ434" s="594"/>
      <c r="CA434" s="594"/>
      <c r="CB434" s="594"/>
      <c r="CC434" s="594"/>
      <c r="CD434" s="594"/>
      <c r="CE434" s="594"/>
      <c r="CF434" s="594"/>
      <c r="CG434" s="594"/>
      <c r="CH434" s="594"/>
      <c r="CI434" s="594"/>
      <c r="CJ434" s="594"/>
      <c r="CK434" s="594"/>
      <c r="CL434" s="594"/>
      <c r="CM434" s="594"/>
      <c r="CN434" s="594"/>
      <c r="CO434" s="594"/>
      <c r="CP434" s="594"/>
      <c r="CQ434" s="594"/>
      <c r="CR434" s="594"/>
      <c r="CS434" s="594"/>
      <c r="CT434" s="594"/>
      <c r="CU434" s="594"/>
      <c r="CV434" s="594"/>
      <c r="CW434" s="594"/>
      <c r="CX434" s="594"/>
      <c r="CY434" s="594"/>
      <c r="CZ434" s="594"/>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595" t="s">
        <v>587</v>
      </c>
      <c r="X436" s="595"/>
      <c r="Y436" s="595"/>
      <c r="Z436" s="595"/>
      <c r="AA436" s="595"/>
      <c r="AB436" s="595"/>
      <c r="AC436" s="595"/>
      <c r="AD436" s="595"/>
      <c r="AE436" s="595"/>
      <c r="AF436" s="595"/>
      <c r="AG436" s="595"/>
      <c r="AH436" s="595"/>
      <c r="AI436" s="595"/>
      <c r="AJ436" s="595"/>
      <c r="AK436" s="595"/>
      <c r="AL436" s="595"/>
      <c r="AM436" s="595"/>
      <c r="AN436" s="595"/>
      <c r="AO436" s="595"/>
      <c r="AP436" s="595"/>
      <c r="AQ436" s="595"/>
      <c r="AR436" s="595"/>
      <c r="AS436" s="595"/>
      <c r="AT436" s="595"/>
      <c r="AU436" s="595"/>
      <c r="AV436" s="595"/>
      <c r="AW436" s="595"/>
      <c r="AX436" s="595"/>
      <c r="AY436" s="595"/>
      <c r="AZ436" s="595"/>
      <c r="BA436" s="595"/>
      <c r="BB436" s="595"/>
      <c r="BC436" s="595"/>
      <c r="BD436" s="595"/>
      <c r="BE436" s="595"/>
      <c r="BF436" s="595"/>
      <c r="BG436" s="595"/>
      <c r="BH436" s="595"/>
      <c r="BI436" s="595"/>
      <c r="BJ436" s="595"/>
      <c r="BK436" s="595"/>
      <c r="BL436" s="595"/>
      <c r="BM436" s="595"/>
      <c r="BN436" s="595"/>
      <c r="BO436" s="595"/>
      <c r="BP436" s="595"/>
      <c r="BQ436" s="595"/>
      <c r="BR436" s="595"/>
      <c r="BS436" s="595"/>
      <c r="BT436" s="595"/>
      <c r="BU436" s="595"/>
      <c r="BV436" s="595"/>
      <c r="BW436" s="595"/>
      <c r="BX436" s="595"/>
      <c r="BY436" s="595"/>
      <c r="BZ436" s="595"/>
      <c r="CA436" s="595"/>
      <c r="CB436" s="595"/>
      <c r="CC436" s="595"/>
      <c r="CD436" s="595"/>
      <c r="CE436" s="595"/>
      <c r="CF436" s="595"/>
      <c r="CG436" s="595"/>
      <c r="CH436" s="595"/>
      <c r="CI436" s="595"/>
      <c r="CJ436" s="595"/>
      <c r="CK436" s="595"/>
      <c r="CL436" s="595"/>
      <c r="CM436" s="595"/>
      <c r="CN436" s="595"/>
      <c r="CO436" s="595"/>
      <c r="CP436" s="595"/>
      <c r="CQ436" s="595"/>
      <c r="CR436" s="595"/>
      <c r="CS436" s="595"/>
      <c r="CT436" s="595"/>
      <c r="CU436" s="595"/>
      <c r="CV436" s="595"/>
      <c r="CW436" s="595"/>
      <c r="CX436" s="595"/>
      <c r="CY436" s="595"/>
      <c r="CZ436" s="595"/>
      <c r="DA436" s="230">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475" t="s">
        <v>49</v>
      </c>
      <c r="B438" s="476"/>
      <c r="C438" s="476"/>
      <c r="D438" s="476"/>
      <c r="E438" s="476"/>
      <c r="F438" s="476"/>
      <c r="G438" s="477"/>
      <c r="H438" s="475" t="s">
        <v>0</v>
      </c>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6"/>
      <c r="AL438" s="476"/>
      <c r="AM438" s="476"/>
      <c r="AN438" s="476"/>
      <c r="AO438" s="476"/>
      <c r="AP438" s="476"/>
      <c r="AQ438" s="476"/>
      <c r="AR438" s="476"/>
      <c r="AS438" s="476"/>
      <c r="AT438" s="476"/>
      <c r="AU438" s="476"/>
      <c r="AV438" s="476"/>
      <c r="AW438" s="476"/>
      <c r="AX438" s="476"/>
      <c r="AY438" s="476"/>
      <c r="AZ438" s="476"/>
      <c r="BA438" s="476"/>
      <c r="BB438" s="477"/>
      <c r="BC438" s="597" t="s">
        <v>94</v>
      </c>
      <c r="BD438" s="598"/>
      <c r="BE438" s="598"/>
      <c r="BF438" s="598"/>
      <c r="BG438" s="598"/>
      <c r="BH438" s="598"/>
      <c r="BI438" s="598"/>
      <c r="BJ438" s="598"/>
      <c r="BK438" s="598"/>
      <c r="BL438" s="598"/>
      <c r="BM438" s="598"/>
      <c r="BN438" s="598"/>
      <c r="BO438" s="598"/>
      <c r="BP438" s="598"/>
      <c r="BQ438" s="598"/>
      <c r="BR438" s="599"/>
      <c r="BS438" s="597" t="s">
        <v>310</v>
      </c>
      <c r="BT438" s="598"/>
      <c r="BU438" s="598"/>
      <c r="BV438" s="598"/>
      <c r="BW438" s="598"/>
      <c r="BX438" s="598"/>
      <c r="BY438" s="598"/>
      <c r="BZ438" s="598"/>
      <c r="CA438" s="598"/>
      <c r="CB438" s="598"/>
      <c r="CC438" s="598"/>
      <c r="CD438" s="598"/>
      <c r="CE438" s="598"/>
      <c r="CF438" s="598"/>
      <c r="CG438" s="598"/>
      <c r="CH438" s="599"/>
      <c r="CI438" s="597" t="s">
        <v>309</v>
      </c>
      <c r="CJ438" s="598"/>
      <c r="CK438" s="598"/>
      <c r="CL438" s="598"/>
      <c r="CM438" s="598"/>
      <c r="CN438" s="598"/>
      <c r="CO438" s="598"/>
      <c r="CP438" s="598"/>
      <c r="CQ438" s="598"/>
      <c r="CR438" s="598"/>
      <c r="CS438" s="598"/>
      <c r="CT438" s="598"/>
      <c r="CU438" s="598"/>
      <c r="CV438" s="598"/>
      <c r="CW438" s="598"/>
      <c r="CX438" s="598"/>
      <c r="CY438" s="598"/>
      <c r="CZ438" s="599"/>
      <c r="DA438" s="218"/>
    </row>
    <row r="439" spans="1:105" s="15" customFormat="1" ht="13.2" x14ac:dyDescent="0.3">
      <c r="A439" s="591">
        <v>1</v>
      </c>
      <c r="B439" s="591"/>
      <c r="C439" s="591"/>
      <c r="D439" s="591"/>
      <c r="E439" s="591"/>
      <c r="F439" s="591"/>
      <c r="G439" s="591"/>
      <c r="H439" s="591">
        <v>2</v>
      </c>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1"/>
      <c r="AL439" s="591"/>
      <c r="AM439" s="591"/>
      <c r="AN439" s="591"/>
      <c r="AO439" s="591"/>
      <c r="AP439" s="591"/>
      <c r="AQ439" s="591"/>
      <c r="AR439" s="591"/>
      <c r="AS439" s="591"/>
      <c r="AT439" s="591"/>
      <c r="AU439" s="591"/>
      <c r="AV439" s="591"/>
      <c r="AW439" s="591"/>
      <c r="AX439" s="591"/>
      <c r="AY439" s="591"/>
      <c r="AZ439" s="591"/>
      <c r="BA439" s="591"/>
      <c r="BB439" s="591"/>
      <c r="BC439" s="591">
        <v>3</v>
      </c>
      <c r="BD439" s="591"/>
      <c r="BE439" s="591"/>
      <c r="BF439" s="591"/>
      <c r="BG439" s="591"/>
      <c r="BH439" s="591"/>
      <c r="BI439" s="591"/>
      <c r="BJ439" s="591"/>
      <c r="BK439" s="591"/>
      <c r="BL439" s="591"/>
      <c r="BM439" s="591"/>
      <c r="BN439" s="591"/>
      <c r="BO439" s="591"/>
      <c r="BP439" s="591"/>
      <c r="BQ439" s="591"/>
      <c r="BR439" s="591"/>
      <c r="BS439" s="591">
        <v>4</v>
      </c>
      <c r="BT439" s="591"/>
      <c r="BU439" s="591"/>
      <c r="BV439" s="591"/>
      <c r="BW439" s="591"/>
      <c r="BX439" s="591"/>
      <c r="BY439" s="591"/>
      <c r="BZ439" s="591"/>
      <c r="CA439" s="591"/>
      <c r="CB439" s="591"/>
      <c r="CC439" s="591"/>
      <c r="CD439" s="591"/>
      <c r="CE439" s="591"/>
      <c r="CF439" s="591"/>
      <c r="CG439" s="591"/>
      <c r="CH439" s="591"/>
      <c r="CI439" s="591">
        <v>5</v>
      </c>
      <c r="CJ439" s="591"/>
      <c r="CK439" s="591"/>
      <c r="CL439" s="591"/>
      <c r="CM439" s="591"/>
      <c r="CN439" s="591"/>
      <c r="CO439" s="591"/>
      <c r="CP439" s="591"/>
      <c r="CQ439" s="591"/>
      <c r="CR439" s="591"/>
      <c r="CS439" s="591"/>
      <c r="CT439" s="591"/>
      <c r="CU439" s="591"/>
      <c r="CV439" s="591"/>
      <c r="CW439" s="591"/>
      <c r="CX439" s="591"/>
      <c r="CY439" s="591"/>
      <c r="CZ439" s="591"/>
      <c r="DA439" s="219"/>
    </row>
    <row r="440" spans="1:105" s="16" customFormat="1" ht="15" customHeight="1" x14ac:dyDescent="0.3">
      <c r="A440" s="648" t="s">
        <v>569</v>
      </c>
      <c r="B440" s="649"/>
      <c r="C440" s="649"/>
      <c r="D440" s="649"/>
      <c r="E440" s="649"/>
      <c r="F440" s="649"/>
      <c r="G440" s="649"/>
      <c r="H440" s="649"/>
      <c r="I440" s="649"/>
      <c r="J440" s="649"/>
      <c r="K440" s="649"/>
      <c r="L440" s="649"/>
      <c r="M440" s="649"/>
      <c r="N440" s="649"/>
      <c r="O440" s="649"/>
      <c r="P440" s="649"/>
      <c r="Q440" s="649"/>
      <c r="R440" s="649"/>
      <c r="S440" s="649"/>
      <c r="T440" s="649"/>
      <c r="U440" s="649"/>
      <c r="V440" s="649"/>
      <c r="W440" s="649"/>
      <c r="X440" s="649"/>
      <c r="Y440" s="649"/>
      <c r="Z440" s="649"/>
      <c r="AA440" s="649"/>
      <c r="AB440" s="649"/>
      <c r="AC440" s="649"/>
      <c r="AD440" s="649"/>
      <c r="AE440" s="649"/>
      <c r="AF440" s="649"/>
      <c r="AG440" s="649"/>
      <c r="AH440" s="649"/>
      <c r="AI440" s="649"/>
      <c r="AJ440" s="649"/>
      <c r="AK440" s="649"/>
      <c r="AL440" s="649"/>
      <c r="AM440" s="649"/>
      <c r="AN440" s="649"/>
      <c r="AO440" s="649"/>
      <c r="AP440" s="649"/>
      <c r="AQ440" s="649"/>
      <c r="AR440" s="649"/>
      <c r="AS440" s="649"/>
      <c r="AT440" s="649"/>
      <c r="AU440" s="649"/>
      <c r="AV440" s="649"/>
      <c r="AW440" s="649"/>
      <c r="AX440" s="649"/>
      <c r="AY440" s="649"/>
      <c r="AZ440" s="649"/>
      <c r="BA440" s="649"/>
      <c r="BB440" s="649"/>
      <c r="BC440" s="649"/>
      <c r="BD440" s="649"/>
      <c r="BE440" s="649"/>
      <c r="BF440" s="649"/>
      <c r="BG440" s="649"/>
      <c r="BH440" s="649"/>
      <c r="BI440" s="649"/>
      <c r="BJ440" s="649"/>
      <c r="BK440" s="649"/>
      <c r="BL440" s="649"/>
      <c r="BM440" s="649"/>
      <c r="BN440" s="649"/>
      <c r="BO440" s="649"/>
      <c r="BP440" s="649"/>
      <c r="BQ440" s="649"/>
      <c r="BR440" s="649"/>
      <c r="BS440" s="649"/>
      <c r="BT440" s="649"/>
      <c r="BU440" s="649"/>
      <c r="BV440" s="649"/>
      <c r="BW440" s="649"/>
      <c r="BX440" s="649"/>
      <c r="BY440" s="649"/>
      <c r="BZ440" s="649"/>
      <c r="CA440" s="649"/>
      <c r="CB440" s="649"/>
      <c r="CC440" s="649"/>
      <c r="CD440" s="649"/>
      <c r="CE440" s="649"/>
      <c r="CF440" s="649"/>
      <c r="CG440" s="649"/>
      <c r="CH440" s="649"/>
      <c r="CI440" s="649"/>
      <c r="CJ440" s="649"/>
      <c r="CK440" s="649"/>
      <c r="CL440" s="649"/>
      <c r="CM440" s="649"/>
      <c r="CN440" s="649"/>
      <c r="CO440" s="649"/>
      <c r="CP440" s="649"/>
      <c r="CQ440" s="649"/>
      <c r="CR440" s="649"/>
      <c r="CS440" s="649"/>
      <c r="CT440" s="649"/>
      <c r="CU440" s="649"/>
      <c r="CV440" s="649"/>
      <c r="CW440" s="649"/>
      <c r="CX440" s="649"/>
      <c r="CY440" s="649"/>
      <c r="CZ440" s="649"/>
      <c r="DA440" s="214"/>
    </row>
    <row r="441" spans="1:105" s="16" customFormat="1" ht="15" customHeight="1" x14ac:dyDescent="0.3">
      <c r="A441" s="630" t="s">
        <v>67</v>
      </c>
      <c r="B441" s="631"/>
      <c r="C441" s="631"/>
      <c r="D441" s="631"/>
      <c r="E441" s="631"/>
      <c r="F441" s="631"/>
      <c r="G441" s="632"/>
      <c r="H441" s="584" t="s">
        <v>607</v>
      </c>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5"/>
      <c r="AL441" s="585"/>
      <c r="AM441" s="585"/>
      <c r="AN441" s="585"/>
      <c r="AO441" s="585"/>
      <c r="AP441" s="585"/>
      <c r="AQ441" s="585"/>
      <c r="AR441" s="585"/>
      <c r="AS441" s="585"/>
      <c r="AT441" s="585"/>
      <c r="AU441" s="585"/>
      <c r="AV441" s="585"/>
      <c r="AW441" s="585"/>
      <c r="AX441" s="585"/>
      <c r="AY441" s="585"/>
      <c r="AZ441" s="585"/>
      <c r="BA441" s="585"/>
      <c r="BB441" s="586"/>
      <c r="BC441" s="675">
        <v>1</v>
      </c>
      <c r="BD441" s="676"/>
      <c r="BE441" s="676"/>
      <c r="BF441" s="676"/>
      <c r="BG441" s="676"/>
      <c r="BH441" s="676"/>
      <c r="BI441" s="676"/>
      <c r="BJ441" s="676"/>
      <c r="BK441" s="676"/>
      <c r="BL441" s="676"/>
      <c r="BM441" s="676"/>
      <c r="BN441" s="676"/>
      <c r="BO441" s="676"/>
      <c r="BP441" s="676"/>
      <c r="BQ441" s="676"/>
      <c r="BR441" s="677"/>
      <c r="BS441" s="627">
        <v>5000</v>
      </c>
      <c r="BT441" s="628"/>
      <c r="BU441" s="628"/>
      <c r="BV441" s="628"/>
      <c r="BW441" s="628"/>
      <c r="BX441" s="628"/>
      <c r="BY441" s="628"/>
      <c r="BZ441" s="628"/>
      <c r="CA441" s="628"/>
      <c r="CB441" s="628"/>
      <c r="CC441" s="628"/>
      <c r="CD441" s="628"/>
      <c r="CE441" s="628"/>
      <c r="CF441" s="628"/>
      <c r="CG441" s="628"/>
      <c r="CH441" s="629"/>
      <c r="CI441" s="627">
        <f t="shared" ref="CI441:CI470" si="6">BC441*BS441</f>
        <v>5000</v>
      </c>
      <c r="CJ441" s="628"/>
      <c r="CK441" s="628"/>
      <c r="CL441" s="628"/>
      <c r="CM441" s="628"/>
      <c r="CN441" s="628"/>
      <c r="CO441" s="628"/>
      <c r="CP441" s="628"/>
      <c r="CQ441" s="628"/>
      <c r="CR441" s="628"/>
      <c r="CS441" s="628"/>
      <c r="CT441" s="628"/>
      <c r="CU441" s="628"/>
      <c r="CV441" s="628"/>
      <c r="CW441" s="628"/>
      <c r="CX441" s="628"/>
      <c r="CY441" s="628"/>
      <c r="CZ441" s="629"/>
      <c r="DA441" s="214"/>
    </row>
    <row r="442" spans="1:105" s="16" customFormat="1" ht="15" hidden="1" customHeight="1" x14ac:dyDescent="0.3">
      <c r="A442" s="630" t="s">
        <v>71</v>
      </c>
      <c r="B442" s="631"/>
      <c r="C442" s="631"/>
      <c r="D442" s="631"/>
      <c r="E442" s="631"/>
      <c r="F442" s="631"/>
      <c r="G442" s="632"/>
      <c r="H442" s="584" t="s">
        <v>963</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6"/>
      <c r="BC442" s="675">
        <v>1</v>
      </c>
      <c r="BD442" s="676"/>
      <c r="BE442" s="676"/>
      <c r="BF442" s="676"/>
      <c r="BG442" s="676"/>
      <c r="BH442" s="676"/>
      <c r="BI442" s="676"/>
      <c r="BJ442" s="676"/>
      <c r="BK442" s="676"/>
      <c r="BL442" s="676"/>
      <c r="BM442" s="676"/>
      <c r="BN442" s="676"/>
      <c r="BO442" s="676"/>
      <c r="BP442" s="676"/>
      <c r="BQ442" s="676"/>
      <c r="BR442" s="677"/>
      <c r="BS442" s="627">
        <v>0</v>
      </c>
      <c r="BT442" s="628"/>
      <c r="BU442" s="628"/>
      <c r="BV442" s="628"/>
      <c r="BW442" s="628"/>
      <c r="BX442" s="628"/>
      <c r="BY442" s="628"/>
      <c r="BZ442" s="628"/>
      <c r="CA442" s="628"/>
      <c r="CB442" s="628"/>
      <c r="CC442" s="628"/>
      <c r="CD442" s="628"/>
      <c r="CE442" s="628"/>
      <c r="CF442" s="628"/>
      <c r="CG442" s="628"/>
      <c r="CH442" s="629"/>
      <c r="CI442" s="627">
        <f t="shared" si="6"/>
        <v>0</v>
      </c>
      <c r="CJ442" s="628"/>
      <c r="CK442" s="628"/>
      <c r="CL442" s="628"/>
      <c r="CM442" s="628"/>
      <c r="CN442" s="628"/>
      <c r="CO442" s="628"/>
      <c r="CP442" s="628"/>
      <c r="CQ442" s="628"/>
      <c r="CR442" s="628"/>
      <c r="CS442" s="628"/>
      <c r="CT442" s="628"/>
      <c r="CU442" s="628"/>
      <c r="CV442" s="628"/>
      <c r="CW442" s="628"/>
      <c r="CX442" s="628"/>
      <c r="CY442" s="628"/>
      <c r="CZ442" s="629"/>
      <c r="DA442" s="214"/>
    </row>
    <row r="443" spans="1:105" s="16" customFormat="1" ht="15" hidden="1" customHeight="1" x14ac:dyDescent="0.3">
      <c r="A443" s="630" t="s">
        <v>71</v>
      </c>
      <c r="B443" s="631"/>
      <c r="C443" s="631"/>
      <c r="D443" s="631"/>
      <c r="E443" s="631"/>
      <c r="F443" s="631"/>
      <c r="G443" s="632"/>
      <c r="H443" s="584" t="s">
        <v>608</v>
      </c>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5"/>
      <c r="AL443" s="585"/>
      <c r="AM443" s="585"/>
      <c r="AN443" s="585"/>
      <c r="AO443" s="585"/>
      <c r="AP443" s="585"/>
      <c r="AQ443" s="585"/>
      <c r="AR443" s="585"/>
      <c r="AS443" s="585"/>
      <c r="AT443" s="585"/>
      <c r="AU443" s="585"/>
      <c r="AV443" s="585"/>
      <c r="AW443" s="585"/>
      <c r="AX443" s="585"/>
      <c r="AY443" s="585"/>
      <c r="AZ443" s="585"/>
      <c r="BA443" s="585"/>
      <c r="BB443" s="586"/>
      <c r="BC443" s="675">
        <v>1</v>
      </c>
      <c r="BD443" s="676"/>
      <c r="BE443" s="676"/>
      <c r="BF443" s="676"/>
      <c r="BG443" s="676"/>
      <c r="BH443" s="676"/>
      <c r="BI443" s="676"/>
      <c r="BJ443" s="676"/>
      <c r="BK443" s="676"/>
      <c r="BL443" s="676"/>
      <c r="BM443" s="676"/>
      <c r="BN443" s="676"/>
      <c r="BO443" s="676"/>
      <c r="BP443" s="676"/>
      <c r="BQ443" s="676"/>
      <c r="BR443" s="677"/>
      <c r="BS443" s="627">
        <v>0</v>
      </c>
      <c r="BT443" s="628"/>
      <c r="BU443" s="628"/>
      <c r="BV443" s="628"/>
      <c r="BW443" s="628"/>
      <c r="BX443" s="628"/>
      <c r="BY443" s="628"/>
      <c r="BZ443" s="628"/>
      <c r="CA443" s="628"/>
      <c r="CB443" s="628"/>
      <c r="CC443" s="628"/>
      <c r="CD443" s="628"/>
      <c r="CE443" s="628"/>
      <c r="CF443" s="628"/>
      <c r="CG443" s="628"/>
      <c r="CH443" s="629"/>
      <c r="CI443" s="627">
        <f t="shared" si="6"/>
        <v>0</v>
      </c>
      <c r="CJ443" s="628"/>
      <c r="CK443" s="628"/>
      <c r="CL443" s="628"/>
      <c r="CM443" s="628"/>
      <c r="CN443" s="628"/>
      <c r="CO443" s="628"/>
      <c r="CP443" s="628"/>
      <c r="CQ443" s="628"/>
      <c r="CR443" s="628"/>
      <c r="CS443" s="628"/>
      <c r="CT443" s="628"/>
      <c r="CU443" s="628"/>
      <c r="CV443" s="628"/>
      <c r="CW443" s="628"/>
      <c r="CX443" s="628"/>
      <c r="CY443" s="628"/>
      <c r="CZ443" s="629"/>
      <c r="DA443" s="214"/>
    </row>
    <row r="444" spans="1:105" s="16" customFormat="1" ht="15" customHeight="1" x14ac:dyDescent="0.3">
      <c r="A444" s="630" t="s">
        <v>71</v>
      </c>
      <c r="B444" s="631"/>
      <c r="C444" s="631"/>
      <c r="D444" s="631"/>
      <c r="E444" s="631"/>
      <c r="F444" s="631"/>
      <c r="G444" s="632"/>
      <c r="H444" s="584" t="s">
        <v>609</v>
      </c>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c r="AV444" s="585"/>
      <c r="AW444" s="585"/>
      <c r="AX444" s="585"/>
      <c r="AY444" s="585"/>
      <c r="AZ444" s="585"/>
      <c r="BA444" s="585"/>
      <c r="BB444" s="586"/>
      <c r="BC444" s="675">
        <v>1</v>
      </c>
      <c r="BD444" s="676"/>
      <c r="BE444" s="676"/>
      <c r="BF444" s="676"/>
      <c r="BG444" s="676"/>
      <c r="BH444" s="676"/>
      <c r="BI444" s="676"/>
      <c r="BJ444" s="676"/>
      <c r="BK444" s="676"/>
      <c r="BL444" s="676"/>
      <c r="BM444" s="676"/>
      <c r="BN444" s="676"/>
      <c r="BO444" s="676"/>
      <c r="BP444" s="676"/>
      <c r="BQ444" s="676"/>
      <c r="BR444" s="677"/>
      <c r="BS444" s="627">
        <v>2000</v>
      </c>
      <c r="BT444" s="628"/>
      <c r="BU444" s="628"/>
      <c r="BV444" s="628"/>
      <c r="BW444" s="628"/>
      <c r="BX444" s="628"/>
      <c r="BY444" s="628"/>
      <c r="BZ444" s="628"/>
      <c r="CA444" s="628"/>
      <c r="CB444" s="628"/>
      <c r="CC444" s="628"/>
      <c r="CD444" s="628"/>
      <c r="CE444" s="628"/>
      <c r="CF444" s="628"/>
      <c r="CG444" s="628"/>
      <c r="CH444" s="629"/>
      <c r="CI444" s="627">
        <f t="shared" si="6"/>
        <v>2000</v>
      </c>
      <c r="CJ444" s="628"/>
      <c r="CK444" s="628"/>
      <c r="CL444" s="628"/>
      <c r="CM444" s="628"/>
      <c r="CN444" s="628"/>
      <c r="CO444" s="628"/>
      <c r="CP444" s="628"/>
      <c r="CQ444" s="628"/>
      <c r="CR444" s="628"/>
      <c r="CS444" s="628"/>
      <c r="CT444" s="628"/>
      <c r="CU444" s="628"/>
      <c r="CV444" s="628"/>
      <c r="CW444" s="628"/>
      <c r="CX444" s="628"/>
      <c r="CY444" s="628"/>
      <c r="CZ444" s="629"/>
      <c r="DA444" s="214"/>
    </row>
    <row r="445" spans="1:105" s="16" customFormat="1" ht="15" hidden="1" customHeight="1" x14ac:dyDescent="0.3">
      <c r="A445" s="630"/>
      <c r="B445" s="631"/>
      <c r="C445" s="631"/>
      <c r="D445" s="631"/>
      <c r="E445" s="631"/>
      <c r="F445" s="631"/>
      <c r="G445" s="632"/>
      <c r="H445" s="584" t="s">
        <v>954</v>
      </c>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5"/>
      <c r="AL445" s="585"/>
      <c r="AM445" s="585"/>
      <c r="AN445" s="585"/>
      <c r="AO445" s="585"/>
      <c r="AP445" s="585"/>
      <c r="AQ445" s="585"/>
      <c r="AR445" s="585"/>
      <c r="AS445" s="585"/>
      <c r="AT445" s="585"/>
      <c r="AU445" s="585"/>
      <c r="AV445" s="585"/>
      <c r="AW445" s="585"/>
      <c r="AX445" s="585"/>
      <c r="AY445" s="585"/>
      <c r="AZ445" s="585"/>
      <c r="BA445" s="585"/>
      <c r="BB445" s="586"/>
      <c r="BC445" s="675">
        <v>1</v>
      </c>
      <c r="BD445" s="676"/>
      <c r="BE445" s="676"/>
      <c r="BF445" s="676"/>
      <c r="BG445" s="676"/>
      <c r="BH445" s="676"/>
      <c r="BI445" s="676"/>
      <c r="BJ445" s="676"/>
      <c r="BK445" s="676"/>
      <c r="BL445" s="676"/>
      <c r="BM445" s="676"/>
      <c r="BN445" s="676"/>
      <c r="BO445" s="676"/>
      <c r="BP445" s="676"/>
      <c r="BQ445" s="676"/>
      <c r="BR445" s="677"/>
      <c r="BS445" s="627">
        <v>0</v>
      </c>
      <c r="BT445" s="628"/>
      <c r="BU445" s="628"/>
      <c r="BV445" s="628"/>
      <c r="BW445" s="628"/>
      <c r="BX445" s="628"/>
      <c r="BY445" s="628"/>
      <c r="BZ445" s="628"/>
      <c r="CA445" s="628"/>
      <c r="CB445" s="628"/>
      <c r="CC445" s="628"/>
      <c r="CD445" s="628"/>
      <c r="CE445" s="628"/>
      <c r="CF445" s="628"/>
      <c r="CG445" s="628"/>
      <c r="CH445" s="629"/>
      <c r="CI445" s="627">
        <f t="shared" si="6"/>
        <v>0</v>
      </c>
      <c r="CJ445" s="628"/>
      <c r="CK445" s="628"/>
      <c r="CL445" s="628"/>
      <c r="CM445" s="628"/>
      <c r="CN445" s="628"/>
      <c r="CO445" s="628"/>
      <c r="CP445" s="628"/>
      <c r="CQ445" s="628"/>
      <c r="CR445" s="628"/>
      <c r="CS445" s="628"/>
      <c r="CT445" s="628"/>
      <c r="CU445" s="628"/>
      <c r="CV445" s="628"/>
      <c r="CW445" s="628"/>
      <c r="CX445" s="628"/>
      <c r="CY445" s="628"/>
      <c r="CZ445" s="629"/>
      <c r="DA445" s="214"/>
    </row>
    <row r="446" spans="1:105" s="16" customFormat="1" ht="15" customHeight="1" x14ac:dyDescent="0.3">
      <c r="A446" s="630" t="s">
        <v>462</v>
      </c>
      <c r="B446" s="631"/>
      <c r="C446" s="631"/>
      <c r="D446" s="631"/>
      <c r="E446" s="631"/>
      <c r="F446" s="631"/>
      <c r="G446" s="632"/>
      <c r="H446" s="584" t="s">
        <v>610</v>
      </c>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5"/>
      <c r="AL446" s="585"/>
      <c r="AM446" s="585"/>
      <c r="AN446" s="585"/>
      <c r="AO446" s="585"/>
      <c r="AP446" s="585"/>
      <c r="AQ446" s="585"/>
      <c r="AR446" s="585"/>
      <c r="AS446" s="585"/>
      <c r="AT446" s="585"/>
      <c r="AU446" s="585"/>
      <c r="AV446" s="585"/>
      <c r="AW446" s="585"/>
      <c r="AX446" s="585"/>
      <c r="AY446" s="585"/>
      <c r="AZ446" s="585"/>
      <c r="BA446" s="585"/>
      <c r="BB446" s="586"/>
      <c r="BC446" s="675">
        <v>1</v>
      </c>
      <c r="BD446" s="676"/>
      <c r="BE446" s="676"/>
      <c r="BF446" s="676"/>
      <c r="BG446" s="676"/>
      <c r="BH446" s="676"/>
      <c r="BI446" s="676"/>
      <c r="BJ446" s="676"/>
      <c r="BK446" s="676"/>
      <c r="BL446" s="676"/>
      <c r="BM446" s="676"/>
      <c r="BN446" s="676"/>
      <c r="BO446" s="676"/>
      <c r="BP446" s="676"/>
      <c r="BQ446" s="676"/>
      <c r="BR446" s="677"/>
      <c r="BS446" s="627">
        <v>10000</v>
      </c>
      <c r="BT446" s="628"/>
      <c r="BU446" s="628"/>
      <c r="BV446" s="628"/>
      <c r="BW446" s="628"/>
      <c r="BX446" s="628"/>
      <c r="BY446" s="628"/>
      <c r="BZ446" s="628"/>
      <c r="CA446" s="628"/>
      <c r="CB446" s="628"/>
      <c r="CC446" s="628"/>
      <c r="CD446" s="628"/>
      <c r="CE446" s="628"/>
      <c r="CF446" s="628"/>
      <c r="CG446" s="628"/>
      <c r="CH446" s="629"/>
      <c r="CI446" s="627">
        <f t="shared" si="6"/>
        <v>10000</v>
      </c>
      <c r="CJ446" s="628"/>
      <c r="CK446" s="628"/>
      <c r="CL446" s="628"/>
      <c r="CM446" s="628"/>
      <c r="CN446" s="628"/>
      <c r="CO446" s="628"/>
      <c r="CP446" s="628"/>
      <c r="CQ446" s="628"/>
      <c r="CR446" s="628"/>
      <c r="CS446" s="628"/>
      <c r="CT446" s="628"/>
      <c r="CU446" s="628"/>
      <c r="CV446" s="628"/>
      <c r="CW446" s="628"/>
      <c r="CX446" s="628"/>
      <c r="CY446" s="628"/>
      <c r="CZ446" s="629"/>
      <c r="DA446" s="214"/>
    </row>
    <row r="447" spans="1:105" s="16" customFormat="1" ht="15" hidden="1" customHeight="1" x14ac:dyDescent="0.3">
      <c r="A447" s="630" t="s">
        <v>483</v>
      </c>
      <c r="B447" s="631"/>
      <c r="C447" s="631"/>
      <c r="D447" s="631"/>
      <c r="E447" s="631"/>
      <c r="F447" s="631"/>
      <c r="G447" s="632"/>
      <c r="H447" s="584" t="s">
        <v>955</v>
      </c>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5"/>
      <c r="AL447" s="585"/>
      <c r="AM447" s="585"/>
      <c r="AN447" s="585"/>
      <c r="AO447" s="585"/>
      <c r="AP447" s="585"/>
      <c r="AQ447" s="585"/>
      <c r="AR447" s="585"/>
      <c r="AS447" s="585"/>
      <c r="AT447" s="585"/>
      <c r="AU447" s="585"/>
      <c r="AV447" s="585"/>
      <c r="AW447" s="585"/>
      <c r="AX447" s="585"/>
      <c r="AY447" s="585"/>
      <c r="AZ447" s="585"/>
      <c r="BA447" s="585"/>
      <c r="BB447" s="586"/>
      <c r="BC447" s="675">
        <v>1</v>
      </c>
      <c r="BD447" s="676"/>
      <c r="BE447" s="676"/>
      <c r="BF447" s="676"/>
      <c r="BG447" s="676"/>
      <c r="BH447" s="676"/>
      <c r="BI447" s="676"/>
      <c r="BJ447" s="676"/>
      <c r="BK447" s="676"/>
      <c r="BL447" s="676"/>
      <c r="BM447" s="676"/>
      <c r="BN447" s="676"/>
      <c r="BO447" s="676"/>
      <c r="BP447" s="676"/>
      <c r="BQ447" s="676"/>
      <c r="BR447" s="677"/>
      <c r="BS447" s="627">
        <v>0</v>
      </c>
      <c r="BT447" s="628"/>
      <c r="BU447" s="628"/>
      <c r="BV447" s="628"/>
      <c r="BW447" s="628"/>
      <c r="BX447" s="628"/>
      <c r="BY447" s="628"/>
      <c r="BZ447" s="628"/>
      <c r="CA447" s="628"/>
      <c r="CB447" s="628"/>
      <c r="CC447" s="628"/>
      <c r="CD447" s="628"/>
      <c r="CE447" s="628"/>
      <c r="CF447" s="628"/>
      <c r="CG447" s="628"/>
      <c r="CH447" s="629"/>
      <c r="CI447" s="627">
        <f t="shared" si="6"/>
        <v>0</v>
      </c>
      <c r="CJ447" s="628"/>
      <c r="CK447" s="628"/>
      <c r="CL447" s="628"/>
      <c r="CM447" s="628"/>
      <c r="CN447" s="628"/>
      <c r="CO447" s="628"/>
      <c r="CP447" s="628"/>
      <c r="CQ447" s="628"/>
      <c r="CR447" s="628"/>
      <c r="CS447" s="628"/>
      <c r="CT447" s="628"/>
      <c r="CU447" s="628"/>
      <c r="CV447" s="628"/>
      <c r="CW447" s="628"/>
      <c r="CX447" s="628"/>
      <c r="CY447" s="628"/>
      <c r="CZ447" s="629"/>
      <c r="DA447" s="214"/>
    </row>
    <row r="448" spans="1:105" s="16" customFormat="1" ht="18" hidden="1" customHeight="1" x14ac:dyDescent="0.3">
      <c r="A448" s="630" t="s">
        <v>485</v>
      </c>
      <c r="B448" s="631"/>
      <c r="C448" s="631"/>
      <c r="D448" s="631"/>
      <c r="E448" s="631"/>
      <c r="F448" s="631"/>
      <c r="G448" s="632"/>
      <c r="H448" s="584" t="s">
        <v>611</v>
      </c>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5"/>
      <c r="AL448" s="585"/>
      <c r="AM448" s="585"/>
      <c r="AN448" s="585"/>
      <c r="AO448" s="585"/>
      <c r="AP448" s="585"/>
      <c r="AQ448" s="585"/>
      <c r="AR448" s="585"/>
      <c r="AS448" s="585"/>
      <c r="AT448" s="585"/>
      <c r="AU448" s="585"/>
      <c r="AV448" s="585"/>
      <c r="AW448" s="585"/>
      <c r="AX448" s="585"/>
      <c r="AY448" s="585"/>
      <c r="AZ448" s="585"/>
      <c r="BA448" s="585"/>
      <c r="BB448" s="586"/>
      <c r="BC448" s="675">
        <v>1</v>
      </c>
      <c r="BD448" s="676"/>
      <c r="BE448" s="676"/>
      <c r="BF448" s="676"/>
      <c r="BG448" s="676"/>
      <c r="BH448" s="676"/>
      <c r="BI448" s="676"/>
      <c r="BJ448" s="676"/>
      <c r="BK448" s="676"/>
      <c r="BL448" s="676"/>
      <c r="BM448" s="676"/>
      <c r="BN448" s="676"/>
      <c r="BO448" s="676"/>
      <c r="BP448" s="676"/>
      <c r="BQ448" s="676"/>
      <c r="BR448" s="677"/>
      <c r="BS448" s="627"/>
      <c r="BT448" s="628"/>
      <c r="BU448" s="628"/>
      <c r="BV448" s="628"/>
      <c r="BW448" s="628"/>
      <c r="BX448" s="628"/>
      <c r="BY448" s="628"/>
      <c r="BZ448" s="628"/>
      <c r="CA448" s="628"/>
      <c r="CB448" s="628"/>
      <c r="CC448" s="628"/>
      <c r="CD448" s="628"/>
      <c r="CE448" s="628"/>
      <c r="CF448" s="628"/>
      <c r="CG448" s="628"/>
      <c r="CH448" s="629"/>
      <c r="CI448" s="627">
        <f t="shared" si="6"/>
        <v>0</v>
      </c>
      <c r="CJ448" s="628"/>
      <c r="CK448" s="628"/>
      <c r="CL448" s="628"/>
      <c r="CM448" s="628"/>
      <c r="CN448" s="628"/>
      <c r="CO448" s="628"/>
      <c r="CP448" s="628"/>
      <c r="CQ448" s="628"/>
      <c r="CR448" s="628"/>
      <c r="CS448" s="628"/>
      <c r="CT448" s="628"/>
      <c r="CU448" s="628"/>
      <c r="CV448" s="628"/>
      <c r="CW448" s="628"/>
      <c r="CX448" s="628"/>
      <c r="CY448" s="628"/>
      <c r="CZ448" s="629"/>
      <c r="DA448" s="214"/>
    </row>
    <row r="449" spans="1:105" s="16" customFormat="1" ht="36" customHeight="1" x14ac:dyDescent="0.3">
      <c r="A449" s="630" t="s">
        <v>477</v>
      </c>
      <c r="B449" s="631"/>
      <c r="C449" s="631"/>
      <c r="D449" s="631"/>
      <c r="E449" s="631"/>
      <c r="F449" s="631"/>
      <c r="G449" s="632"/>
      <c r="H449" s="584" t="s">
        <v>958</v>
      </c>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5"/>
      <c r="AL449" s="585"/>
      <c r="AM449" s="585"/>
      <c r="AN449" s="585"/>
      <c r="AO449" s="585"/>
      <c r="AP449" s="585"/>
      <c r="AQ449" s="585"/>
      <c r="AR449" s="585"/>
      <c r="AS449" s="585"/>
      <c r="AT449" s="585"/>
      <c r="AU449" s="585"/>
      <c r="AV449" s="585"/>
      <c r="AW449" s="585"/>
      <c r="AX449" s="585"/>
      <c r="AY449" s="585"/>
      <c r="AZ449" s="585"/>
      <c r="BA449" s="585"/>
      <c r="BB449" s="586"/>
      <c r="BC449" s="675">
        <v>1</v>
      </c>
      <c r="BD449" s="676"/>
      <c r="BE449" s="676"/>
      <c r="BF449" s="676"/>
      <c r="BG449" s="676"/>
      <c r="BH449" s="676"/>
      <c r="BI449" s="676"/>
      <c r="BJ449" s="676"/>
      <c r="BK449" s="676"/>
      <c r="BL449" s="676"/>
      <c r="BM449" s="676"/>
      <c r="BN449" s="676"/>
      <c r="BO449" s="676"/>
      <c r="BP449" s="676"/>
      <c r="BQ449" s="676"/>
      <c r="BR449" s="677"/>
      <c r="BS449" s="627">
        <v>5000</v>
      </c>
      <c r="BT449" s="628"/>
      <c r="BU449" s="628"/>
      <c r="BV449" s="628"/>
      <c r="BW449" s="628"/>
      <c r="BX449" s="628"/>
      <c r="BY449" s="628"/>
      <c r="BZ449" s="628"/>
      <c r="CA449" s="628"/>
      <c r="CB449" s="628"/>
      <c r="CC449" s="628"/>
      <c r="CD449" s="628"/>
      <c r="CE449" s="628"/>
      <c r="CF449" s="628"/>
      <c r="CG449" s="628"/>
      <c r="CH449" s="629"/>
      <c r="CI449" s="627">
        <f t="shared" si="6"/>
        <v>5000</v>
      </c>
      <c r="CJ449" s="628"/>
      <c r="CK449" s="628"/>
      <c r="CL449" s="628"/>
      <c r="CM449" s="628"/>
      <c r="CN449" s="628"/>
      <c r="CO449" s="628"/>
      <c r="CP449" s="628"/>
      <c r="CQ449" s="628"/>
      <c r="CR449" s="628"/>
      <c r="CS449" s="628"/>
      <c r="CT449" s="628"/>
      <c r="CU449" s="628"/>
      <c r="CV449" s="628"/>
      <c r="CW449" s="628"/>
      <c r="CX449" s="628"/>
      <c r="CY449" s="628"/>
      <c r="CZ449" s="629"/>
      <c r="DA449" s="214"/>
    </row>
    <row r="450" spans="1:105" s="16" customFormat="1" ht="15" hidden="1" customHeight="1" x14ac:dyDescent="0.3">
      <c r="A450" s="630" t="s">
        <v>479</v>
      </c>
      <c r="B450" s="631"/>
      <c r="C450" s="631"/>
      <c r="D450" s="631"/>
      <c r="E450" s="631"/>
      <c r="F450" s="631"/>
      <c r="G450" s="632"/>
      <c r="H450" s="584" t="s">
        <v>612</v>
      </c>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5"/>
      <c r="AL450" s="585"/>
      <c r="AM450" s="585"/>
      <c r="AN450" s="585"/>
      <c r="AO450" s="585"/>
      <c r="AP450" s="585"/>
      <c r="AQ450" s="585"/>
      <c r="AR450" s="585"/>
      <c r="AS450" s="585"/>
      <c r="AT450" s="585"/>
      <c r="AU450" s="585"/>
      <c r="AV450" s="585"/>
      <c r="AW450" s="585"/>
      <c r="AX450" s="585"/>
      <c r="AY450" s="585"/>
      <c r="AZ450" s="585"/>
      <c r="BA450" s="585"/>
      <c r="BB450" s="586"/>
      <c r="BC450" s="675"/>
      <c r="BD450" s="676"/>
      <c r="BE450" s="676"/>
      <c r="BF450" s="676"/>
      <c r="BG450" s="676"/>
      <c r="BH450" s="676"/>
      <c r="BI450" s="676"/>
      <c r="BJ450" s="676"/>
      <c r="BK450" s="676"/>
      <c r="BL450" s="676"/>
      <c r="BM450" s="676"/>
      <c r="BN450" s="676"/>
      <c r="BO450" s="676"/>
      <c r="BP450" s="676"/>
      <c r="BQ450" s="676"/>
      <c r="BR450" s="677"/>
      <c r="BS450" s="627"/>
      <c r="BT450" s="628"/>
      <c r="BU450" s="628"/>
      <c r="BV450" s="628"/>
      <c r="BW450" s="628"/>
      <c r="BX450" s="628"/>
      <c r="BY450" s="628"/>
      <c r="BZ450" s="628"/>
      <c r="CA450" s="628"/>
      <c r="CB450" s="628"/>
      <c r="CC450" s="628"/>
      <c r="CD450" s="628"/>
      <c r="CE450" s="628"/>
      <c r="CF450" s="628"/>
      <c r="CG450" s="628"/>
      <c r="CH450" s="629"/>
      <c r="CI450" s="627">
        <f t="shared" si="6"/>
        <v>0</v>
      </c>
      <c r="CJ450" s="628"/>
      <c r="CK450" s="628"/>
      <c r="CL450" s="628"/>
      <c r="CM450" s="628"/>
      <c r="CN450" s="628"/>
      <c r="CO450" s="628"/>
      <c r="CP450" s="628"/>
      <c r="CQ450" s="628"/>
      <c r="CR450" s="628"/>
      <c r="CS450" s="628"/>
      <c r="CT450" s="628"/>
      <c r="CU450" s="628"/>
      <c r="CV450" s="628"/>
      <c r="CW450" s="628"/>
      <c r="CX450" s="628"/>
      <c r="CY450" s="628"/>
      <c r="CZ450" s="629"/>
      <c r="DA450" s="214"/>
    </row>
    <row r="451" spans="1:105" s="16" customFormat="1" ht="30" customHeight="1" x14ac:dyDescent="0.3">
      <c r="A451" s="630" t="s">
        <v>479</v>
      </c>
      <c r="B451" s="631"/>
      <c r="C451" s="631"/>
      <c r="D451" s="631"/>
      <c r="E451" s="631"/>
      <c r="F451" s="631"/>
      <c r="G451" s="632"/>
      <c r="H451" s="584" t="s">
        <v>825</v>
      </c>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5"/>
      <c r="AL451" s="585"/>
      <c r="AM451" s="585"/>
      <c r="AN451" s="585"/>
      <c r="AO451" s="585"/>
      <c r="AP451" s="585"/>
      <c r="AQ451" s="585"/>
      <c r="AR451" s="585"/>
      <c r="AS451" s="585"/>
      <c r="AT451" s="585"/>
      <c r="AU451" s="585"/>
      <c r="AV451" s="585"/>
      <c r="AW451" s="585"/>
      <c r="AX451" s="585"/>
      <c r="AY451" s="585"/>
      <c r="AZ451" s="585"/>
      <c r="BA451" s="585"/>
      <c r="BB451" s="586"/>
      <c r="BC451" s="675">
        <v>1</v>
      </c>
      <c r="BD451" s="676"/>
      <c r="BE451" s="676"/>
      <c r="BF451" s="676"/>
      <c r="BG451" s="676"/>
      <c r="BH451" s="676"/>
      <c r="BI451" s="676"/>
      <c r="BJ451" s="676"/>
      <c r="BK451" s="676"/>
      <c r="BL451" s="676"/>
      <c r="BM451" s="676"/>
      <c r="BN451" s="676"/>
      <c r="BO451" s="676"/>
      <c r="BP451" s="676"/>
      <c r="BQ451" s="676"/>
      <c r="BR451" s="677"/>
      <c r="BS451" s="627">
        <v>5000</v>
      </c>
      <c r="BT451" s="628"/>
      <c r="BU451" s="628"/>
      <c r="BV451" s="628"/>
      <c r="BW451" s="628"/>
      <c r="BX451" s="628"/>
      <c r="BY451" s="628"/>
      <c r="BZ451" s="628"/>
      <c r="CA451" s="628"/>
      <c r="CB451" s="628"/>
      <c r="CC451" s="628"/>
      <c r="CD451" s="628"/>
      <c r="CE451" s="628"/>
      <c r="CF451" s="628"/>
      <c r="CG451" s="628"/>
      <c r="CH451" s="629"/>
      <c r="CI451" s="627">
        <f t="shared" si="6"/>
        <v>5000</v>
      </c>
      <c r="CJ451" s="628"/>
      <c r="CK451" s="628"/>
      <c r="CL451" s="628"/>
      <c r="CM451" s="628"/>
      <c r="CN451" s="628"/>
      <c r="CO451" s="628"/>
      <c r="CP451" s="628"/>
      <c r="CQ451" s="628"/>
      <c r="CR451" s="628"/>
      <c r="CS451" s="628"/>
      <c r="CT451" s="628"/>
      <c r="CU451" s="628"/>
      <c r="CV451" s="628"/>
      <c r="CW451" s="628"/>
      <c r="CX451" s="628"/>
      <c r="CY451" s="628"/>
      <c r="CZ451" s="629"/>
      <c r="DA451" s="214"/>
    </row>
    <row r="452" spans="1:105" s="16" customFormat="1" ht="36.75" customHeight="1" x14ac:dyDescent="0.3">
      <c r="A452" s="630" t="s">
        <v>481</v>
      </c>
      <c r="B452" s="631"/>
      <c r="C452" s="631"/>
      <c r="D452" s="631"/>
      <c r="E452" s="631"/>
      <c r="F452" s="631"/>
      <c r="G452" s="632"/>
      <c r="H452" s="584" t="s">
        <v>957</v>
      </c>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5"/>
      <c r="AL452" s="585"/>
      <c r="AM452" s="585"/>
      <c r="AN452" s="585"/>
      <c r="AO452" s="585"/>
      <c r="AP452" s="585"/>
      <c r="AQ452" s="585"/>
      <c r="AR452" s="585"/>
      <c r="AS452" s="585"/>
      <c r="AT452" s="585"/>
      <c r="AU452" s="585"/>
      <c r="AV452" s="585"/>
      <c r="AW452" s="585"/>
      <c r="AX452" s="585"/>
      <c r="AY452" s="585"/>
      <c r="AZ452" s="585"/>
      <c r="BA452" s="585"/>
      <c r="BB452" s="586"/>
      <c r="BC452" s="675">
        <v>1</v>
      </c>
      <c r="BD452" s="676"/>
      <c r="BE452" s="676"/>
      <c r="BF452" s="676"/>
      <c r="BG452" s="676"/>
      <c r="BH452" s="676"/>
      <c r="BI452" s="676"/>
      <c r="BJ452" s="676"/>
      <c r="BK452" s="676"/>
      <c r="BL452" s="676"/>
      <c r="BM452" s="676"/>
      <c r="BN452" s="676"/>
      <c r="BO452" s="676"/>
      <c r="BP452" s="676"/>
      <c r="BQ452" s="676"/>
      <c r="BR452" s="677"/>
      <c r="BS452" s="627">
        <v>5000</v>
      </c>
      <c r="BT452" s="628"/>
      <c r="BU452" s="628"/>
      <c r="BV452" s="628"/>
      <c r="BW452" s="628"/>
      <c r="BX452" s="628"/>
      <c r="BY452" s="628"/>
      <c r="BZ452" s="628"/>
      <c r="CA452" s="628"/>
      <c r="CB452" s="628"/>
      <c r="CC452" s="628"/>
      <c r="CD452" s="628"/>
      <c r="CE452" s="628"/>
      <c r="CF452" s="628"/>
      <c r="CG452" s="628"/>
      <c r="CH452" s="629"/>
      <c r="CI452" s="627">
        <f t="shared" si="6"/>
        <v>5000</v>
      </c>
      <c r="CJ452" s="628"/>
      <c r="CK452" s="628"/>
      <c r="CL452" s="628"/>
      <c r="CM452" s="628"/>
      <c r="CN452" s="628"/>
      <c r="CO452" s="628"/>
      <c r="CP452" s="628"/>
      <c r="CQ452" s="628"/>
      <c r="CR452" s="628"/>
      <c r="CS452" s="628"/>
      <c r="CT452" s="628"/>
      <c r="CU452" s="628"/>
      <c r="CV452" s="628"/>
      <c r="CW452" s="628"/>
      <c r="CX452" s="628"/>
      <c r="CY452" s="628"/>
      <c r="CZ452" s="629"/>
      <c r="DA452" s="214"/>
    </row>
    <row r="453" spans="1:105" s="16" customFormat="1" ht="21.75" customHeight="1" x14ac:dyDescent="0.3">
      <c r="A453" s="630" t="s">
        <v>483</v>
      </c>
      <c r="B453" s="631"/>
      <c r="C453" s="631"/>
      <c r="D453" s="631"/>
      <c r="E453" s="631"/>
      <c r="F453" s="631"/>
      <c r="G453" s="632"/>
      <c r="H453" s="584" t="s">
        <v>959</v>
      </c>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5"/>
      <c r="AL453" s="585"/>
      <c r="AM453" s="585"/>
      <c r="AN453" s="585"/>
      <c r="AO453" s="585"/>
      <c r="AP453" s="585"/>
      <c r="AQ453" s="585"/>
      <c r="AR453" s="585"/>
      <c r="AS453" s="585"/>
      <c r="AT453" s="585"/>
      <c r="AU453" s="585"/>
      <c r="AV453" s="585"/>
      <c r="AW453" s="585"/>
      <c r="AX453" s="585"/>
      <c r="AY453" s="585"/>
      <c r="AZ453" s="585"/>
      <c r="BA453" s="585"/>
      <c r="BB453" s="586"/>
      <c r="BC453" s="675">
        <v>1</v>
      </c>
      <c r="BD453" s="676"/>
      <c r="BE453" s="676"/>
      <c r="BF453" s="676"/>
      <c r="BG453" s="676"/>
      <c r="BH453" s="676"/>
      <c r="BI453" s="676"/>
      <c r="BJ453" s="676"/>
      <c r="BK453" s="676"/>
      <c r="BL453" s="676"/>
      <c r="BM453" s="676"/>
      <c r="BN453" s="676"/>
      <c r="BO453" s="676"/>
      <c r="BP453" s="676"/>
      <c r="BQ453" s="676"/>
      <c r="BR453" s="677"/>
      <c r="BS453" s="627">
        <v>10000</v>
      </c>
      <c r="BT453" s="628"/>
      <c r="BU453" s="628"/>
      <c r="BV453" s="628"/>
      <c r="BW453" s="628"/>
      <c r="BX453" s="628"/>
      <c r="BY453" s="628"/>
      <c r="BZ453" s="628"/>
      <c r="CA453" s="628"/>
      <c r="CB453" s="628"/>
      <c r="CC453" s="628"/>
      <c r="CD453" s="628"/>
      <c r="CE453" s="628"/>
      <c r="CF453" s="628"/>
      <c r="CG453" s="628"/>
      <c r="CH453" s="629"/>
      <c r="CI453" s="627">
        <f t="shared" si="6"/>
        <v>10000</v>
      </c>
      <c r="CJ453" s="628"/>
      <c r="CK453" s="628"/>
      <c r="CL453" s="628"/>
      <c r="CM453" s="628"/>
      <c r="CN453" s="628"/>
      <c r="CO453" s="628"/>
      <c r="CP453" s="628"/>
      <c r="CQ453" s="628"/>
      <c r="CR453" s="628"/>
      <c r="CS453" s="628"/>
      <c r="CT453" s="628"/>
      <c r="CU453" s="628"/>
      <c r="CV453" s="628"/>
      <c r="CW453" s="628"/>
      <c r="CX453" s="628"/>
      <c r="CY453" s="628"/>
      <c r="CZ453" s="629"/>
      <c r="DA453" s="214"/>
    </row>
    <row r="454" spans="1:105" s="16" customFormat="1" ht="41.25" customHeight="1" x14ac:dyDescent="0.3">
      <c r="A454" s="630" t="s">
        <v>485</v>
      </c>
      <c r="B454" s="631"/>
      <c r="C454" s="631"/>
      <c r="D454" s="631"/>
      <c r="E454" s="631"/>
      <c r="F454" s="631"/>
      <c r="G454" s="632"/>
      <c r="H454" s="584" t="s">
        <v>960</v>
      </c>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5"/>
      <c r="AL454" s="585"/>
      <c r="AM454" s="585"/>
      <c r="AN454" s="585"/>
      <c r="AO454" s="585"/>
      <c r="AP454" s="585"/>
      <c r="AQ454" s="585"/>
      <c r="AR454" s="585"/>
      <c r="AS454" s="585"/>
      <c r="AT454" s="585"/>
      <c r="AU454" s="585"/>
      <c r="AV454" s="585"/>
      <c r="AW454" s="585"/>
      <c r="AX454" s="585"/>
      <c r="AY454" s="585"/>
      <c r="AZ454" s="585"/>
      <c r="BA454" s="585"/>
      <c r="BB454" s="586"/>
      <c r="BC454" s="675">
        <v>3</v>
      </c>
      <c r="BD454" s="676"/>
      <c r="BE454" s="676"/>
      <c r="BF454" s="676"/>
      <c r="BG454" s="676"/>
      <c r="BH454" s="676"/>
      <c r="BI454" s="676"/>
      <c r="BJ454" s="676"/>
      <c r="BK454" s="676"/>
      <c r="BL454" s="676"/>
      <c r="BM454" s="676"/>
      <c r="BN454" s="676"/>
      <c r="BO454" s="676"/>
      <c r="BP454" s="676"/>
      <c r="BQ454" s="676"/>
      <c r="BR454" s="677"/>
      <c r="BS454" s="627">
        <f>CI454/BC454</f>
        <v>6212.2033333333338</v>
      </c>
      <c r="BT454" s="628"/>
      <c r="BU454" s="628"/>
      <c r="BV454" s="628"/>
      <c r="BW454" s="628"/>
      <c r="BX454" s="628"/>
      <c r="BY454" s="628"/>
      <c r="BZ454" s="628"/>
      <c r="CA454" s="628"/>
      <c r="CB454" s="628"/>
      <c r="CC454" s="628"/>
      <c r="CD454" s="628"/>
      <c r="CE454" s="628"/>
      <c r="CF454" s="628"/>
      <c r="CG454" s="628"/>
      <c r="CH454" s="629"/>
      <c r="CI454" s="627">
        <f>24600-5963.39</f>
        <v>18636.61</v>
      </c>
      <c r="CJ454" s="628"/>
      <c r="CK454" s="628"/>
      <c r="CL454" s="628"/>
      <c r="CM454" s="628"/>
      <c r="CN454" s="628"/>
      <c r="CO454" s="628"/>
      <c r="CP454" s="628"/>
      <c r="CQ454" s="628"/>
      <c r="CR454" s="628"/>
      <c r="CS454" s="628"/>
      <c r="CT454" s="628"/>
      <c r="CU454" s="628"/>
      <c r="CV454" s="628"/>
      <c r="CW454" s="628"/>
      <c r="CX454" s="628"/>
      <c r="CY454" s="628"/>
      <c r="CZ454" s="629"/>
      <c r="DA454" s="214"/>
    </row>
    <row r="455" spans="1:105" s="16" customFormat="1" ht="15" customHeight="1" x14ac:dyDescent="0.3">
      <c r="A455" s="630" t="s">
        <v>487</v>
      </c>
      <c r="B455" s="631"/>
      <c r="C455" s="631"/>
      <c r="D455" s="631"/>
      <c r="E455" s="631"/>
      <c r="F455" s="631"/>
      <c r="G455" s="632"/>
      <c r="H455" s="584" t="s">
        <v>862</v>
      </c>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5"/>
      <c r="AL455" s="585"/>
      <c r="AM455" s="585"/>
      <c r="AN455" s="585"/>
      <c r="AO455" s="585"/>
      <c r="AP455" s="585"/>
      <c r="AQ455" s="585"/>
      <c r="AR455" s="585"/>
      <c r="AS455" s="585"/>
      <c r="AT455" s="585"/>
      <c r="AU455" s="585"/>
      <c r="AV455" s="585"/>
      <c r="AW455" s="585"/>
      <c r="AX455" s="585"/>
      <c r="AY455" s="585"/>
      <c r="AZ455" s="585"/>
      <c r="BA455" s="585"/>
      <c r="BB455" s="586"/>
      <c r="BC455" s="675">
        <v>1</v>
      </c>
      <c r="BD455" s="676"/>
      <c r="BE455" s="676"/>
      <c r="BF455" s="676"/>
      <c r="BG455" s="676"/>
      <c r="BH455" s="676"/>
      <c r="BI455" s="676"/>
      <c r="BJ455" s="676"/>
      <c r="BK455" s="676"/>
      <c r="BL455" s="676"/>
      <c r="BM455" s="676"/>
      <c r="BN455" s="676"/>
      <c r="BO455" s="676"/>
      <c r="BP455" s="676"/>
      <c r="BQ455" s="676"/>
      <c r="BR455" s="677"/>
      <c r="BS455" s="627">
        <v>3000</v>
      </c>
      <c r="BT455" s="628"/>
      <c r="BU455" s="628"/>
      <c r="BV455" s="628"/>
      <c r="BW455" s="628"/>
      <c r="BX455" s="628"/>
      <c r="BY455" s="628"/>
      <c r="BZ455" s="628"/>
      <c r="CA455" s="628"/>
      <c r="CB455" s="628"/>
      <c r="CC455" s="628"/>
      <c r="CD455" s="628"/>
      <c r="CE455" s="628"/>
      <c r="CF455" s="628"/>
      <c r="CG455" s="628"/>
      <c r="CH455" s="629"/>
      <c r="CI455" s="627">
        <f t="shared" si="6"/>
        <v>3000</v>
      </c>
      <c r="CJ455" s="628"/>
      <c r="CK455" s="628"/>
      <c r="CL455" s="628"/>
      <c r="CM455" s="628"/>
      <c r="CN455" s="628"/>
      <c r="CO455" s="628"/>
      <c r="CP455" s="628"/>
      <c r="CQ455" s="628"/>
      <c r="CR455" s="628"/>
      <c r="CS455" s="628"/>
      <c r="CT455" s="628"/>
      <c r="CU455" s="628"/>
      <c r="CV455" s="628"/>
      <c r="CW455" s="628"/>
      <c r="CX455" s="628"/>
      <c r="CY455" s="628"/>
      <c r="CZ455" s="629"/>
      <c r="DA455" s="214"/>
    </row>
    <row r="456" spans="1:105" s="16" customFormat="1" ht="15" customHeight="1" x14ac:dyDescent="0.3">
      <c r="A456" s="630" t="s">
        <v>489</v>
      </c>
      <c r="B456" s="631"/>
      <c r="C456" s="631"/>
      <c r="D456" s="631"/>
      <c r="E456" s="631"/>
      <c r="F456" s="631"/>
      <c r="G456" s="632"/>
      <c r="H456" s="584" t="s">
        <v>613</v>
      </c>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5"/>
      <c r="AL456" s="585"/>
      <c r="AM456" s="585"/>
      <c r="AN456" s="585"/>
      <c r="AO456" s="585"/>
      <c r="AP456" s="585"/>
      <c r="AQ456" s="585"/>
      <c r="AR456" s="585"/>
      <c r="AS456" s="585"/>
      <c r="AT456" s="585"/>
      <c r="AU456" s="585"/>
      <c r="AV456" s="585"/>
      <c r="AW456" s="585"/>
      <c r="AX456" s="585"/>
      <c r="AY456" s="585"/>
      <c r="AZ456" s="585"/>
      <c r="BA456" s="585"/>
      <c r="BB456" s="586"/>
      <c r="BC456" s="675">
        <v>1</v>
      </c>
      <c r="BD456" s="676"/>
      <c r="BE456" s="676"/>
      <c r="BF456" s="676"/>
      <c r="BG456" s="676"/>
      <c r="BH456" s="676"/>
      <c r="BI456" s="676"/>
      <c r="BJ456" s="676"/>
      <c r="BK456" s="676"/>
      <c r="BL456" s="676"/>
      <c r="BM456" s="676"/>
      <c r="BN456" s="676"/>
      <c r="BO456" s="676"/>
      <c r="BP456" s="676"/>
      <c r="BQ456" s="676"/>
      <c r="BR456" s="677"/>
      <c r="BS456" s="627">
        <v>30000</v>
      </c>
      <c r="BT456" s="628"/>
      <c r="BU456" s="628"/>
      <c r="BV456" s="628"/>
      <c r="BW456" s="628"/>
      <c r="BX456" s="628"/>
      <c r="BY456" s="628"/>
      <c r="BZ456" s="628"/>
      <c r="CA456" s="628"/>
      <c r="CB456" s="628"/>
      <c r="CC456" s="628"/>
      <c r="CD456" s="628"/>
      <c r="CE456" s="628"/>
      <c r="CF456" s="628"/>
      <c r="CG456" s="628"/>
      <c r="CH456" s="629"/>
      <c r="CI456" s="627">
        <f t="shared" si="6"/>
        <v>30000</v>
      </c>
      <c r="CJ456" s="628"/>
      <c r="CK456" s="628"/>
      <c r="CL456" s="628"/>
      <c r="CM456" s="628"/>
      <c r="CN456" s="628"/>
      <c r="CO456" s="628"/>
      <c r="CP456" s="628"/>
      <c r="CQ456" s="628"/>
      <c r="CR456" s="628"/>
      <c r="CS456" s="628"/>
      <c r="CT456" s="628"/>
      <c r="CU456" s="628"/>
      <c r="CV456" s="628"/>
      <c r="CW456" s="628"/>
      <c r="CX456" s="628"/>
      <c r="CY456" s="628"/>
      <c r="CZ456" s="629"/>
      <c r="DA456" s="214"/>
    </row>
    <row r="457" spans="1:105" s="16" customFormat="1" ht="44.25" hidden="1" customHeight="1" x14ac:dyDescent="0.3">
      <c r="A457" s="630" t="s">
        <v>523</v>
      </c>
      <c r="B457" s="631"/>
      <c r="C457" s="631"/>
      <c r="D457" s="631"/>
      <c r="E457" s="631"/>
      <c r="F457" s="631"/>
      <c r="G457" s="632"/>
      <c r="H457" s="584" t="s">
        <v>614</v>
      </c>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5"/>
      <c r="AL457" s="585"/>
      <c r="AM457" s="585"/>
      <c r="AN457" s="585"/>
      <c r="AO457" s="585"/>
      <c r="AP457" s="585"/>
      <c r="AQ457" s="585"/>
      <c r="AR457" s="585"/>
      <c r="AS457" s="585"/>
      <c r="AT457" s="585"/>
      <c r="AU457" s="585"/>
      <c r="AV457" s="585"/>
      <c r="AW457" s="585"/>
      <c r="AX457" s="585"/>
      <c r="AY457" s="585"/>
      <c r="AZ457" s="585"/>
      <c r="BA457" s="585"/>
      <c r="BB457" s="586"/>
      <c r="BC457" s="675">
        <v>1</v>
      </c>
      <c r="BD457" s="676"/>
      <c r="BE457" s="676"/>
      <c r="BF457" s="676"/>
      <c r="BG457" s="676"/>
      <c r="BH457" s="676"/>
      <c r="BI457" s="676"/>
      <c r="BJ457" s="676"/>
      <c r="BK457" s="676"/>
      <c r="BL457" s="676"/>
      <c r="BM457" s="676"/>
      <c r="BN457" s="676"/>
      <c r="BO457" s="676"/>
      <c r="BP457" s="676"/>
      <c r="BQ457" s="676"/>
      <c r="BR457" s="677"/>
      <c r="BS457" s="627"/>
      <c r="BT457" s="628"/>
      <c r="BU457" s="628"/>
      <c r="BV457" s="628"/>
      <c r="BW457" s="628"/>
      <c r="BX457" s="628"/>
      <c r="BY457" s="628"/>
      <c r="BZ457" s="628"/>
      <c r="CA457" s="628"/>
      <c r="CB457" s="628"/>
      <c r="CC457" s="628"/>
      <c r="CD457" s="628"/>
      <c r="CE457" s="628"/>
      <c r="CF457" s="628"/>
      <c r="CG457" s="628"/>
      <c r="CH457" s="629"/>
      <c r="CI457" s="627">
        <f t="shared" si="6"/>
        <v>0</v>
      </c>
      <c r="CJ457" s="628"/>
      <c r="CK457" s="628"/>
      <c r="CL457" s="628"/>
      <c r="CM457" s="628"/>
      <c r="CN457" s="628"/>
      <c r="CO457" s="628"/>
      <c r="CP457" s="628"/>
      <c r="CQ457" s="628"/>
      <c r="CR457" s="628"/>
      <c r="CS457" s="628"/>
      <c r="CT457" s="628"/>
      <c r="CU457" s="628"/>
      <c r="CV457" s="628"/>
      <c r="CW457" s="628"/>
      <c r="CX457" s="628"/>
      <c r="CY457" s="628"/>
      <c r="CZ457" s="629"/>
      <c r="DA457" s="214"/>
    </row>
    <row r="458" spans="1:105" s="16" customFormat="1" ht="24.75" customHeight="1" x14ac:dyDescent="0.3">
      <c r="A458" s="630" t="s">
        <v>491</v>
      </c>
      <c r="B458" s="631"/>
      <c r="C458" s="631"/>
      <c r="D458" s="631"/>
      <c r="E458" s="631"/>
      <c r="F458" s="631"/>
      <c r="G458" s="632"/>
      <c r="H458" s="584" t="s">
        <v>615</v>
      </c>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5"/>
      <c r="AL458" s="585"/>
      <c r="AM458" s="585"/>
      <c r="AN458" s="585"/>
      <c r="AO458" s="585"/>
      <c r="AP458" s="585"/>
      <c r="AQ458" s="585"/>
      <c r="AR458" s="585"/>
      <c r="AS458" s="585"/>
      <c r="AT458" s="585"/>
      <c r="AU458" s="585"/>
      <c r="AV458" s="585"/>
      <c r="AW458" s="585"/>
      <c r="AX458" s="585"/>
      <c r="AY458" s="585"/>
      <c r="AZ458" s="585"/>
      <c r="BA458" s="585"/>
      <c r="BB458" s="586"/>
      <c r="BC458" s="675">
        <v>2</v>
      </c>
      <c r="BD458" s="676"/>
      <c r="BE458" s="676"/>
      <c r="BF458" s="676"/>
      <c r="BG458" s="676"/>
      <c r="BH458" s="676"/>
      <c r="BI458" s="676"/>
      <c r="BJ458" s="676"/>
      <c r="BK458" s="676"/>
      <c r="BL458" s="676"/>
      <c r="BM458" s="676"/>
      <c r="BN458" s="676"/>
      <c r="BO458" s="676"/>
      <c r="BP458" s="676"/>
      <c r="BQ458" s="676"/>
      <c r="BR458" s="677"/>
      <c r="BS458" s="627">
        <v>3600</v>
      </c>
      <c r="BT458" s="628"/>
      <c r="BU458" s="628"/>
      <c r="BV458" s="628"/>
      <c r="BW458" s="628"/>
      <c r="BX458" s="628"/>
      <c r="BY458" s="628"/>
      <c r="BZ458" s="628"/>
      <c r="CA458" s="628"/>
      <c r="CB458" s="628"/>
      <c r="CC458" s="628"/>
      <c r="CD458" s="628"/>
      <c r="CE458" s="628"/>
      <c r="CF458" s="628"/>
      <c r="CG458" s="628"/>
      <c r="CH458" s="629"/>
      <c r="CI458" s="627">
        <f t="shared" si="6"/>
        <v>7200</v>
      </c>
      <c r="CJ458" s="628"/>
      <c r="CK458" s="628"/>
      <c r="CL458" s="628"/>
      <c r="CM458" s="628"/>
      <c r="CN458" s="628"/>
      <c r="CO458" s="628"/>
      <c r="CP458" s="628"/>
      <c r="CQ458" s="628"/>
      <c r="CR458" s="628"/>
      <c r="CS458" s="628"/>
      <c r="CT458" s="628"/>
      <c r="CU458" s="628"/>
      <c r="CV458" s="628"/>
      <c r="CW458" s="628"/>
      <c r="CX458" s="628"/>
      <c r="CY458" s="628"/>
      <c r="CZ458" s="629"/>
      <c r="DA458" s="214"/>
    </row>
    <row r="459" spans="1:105" s="16" customFormat="1" ht="30.75" customHeight="1" x14ac:dyDescent="0.3">
      <c r="A459" s="630" t="s">
        <v>493</v>
      </c>
      <c r="B459" s="631"/>
      <c r="C459" s="631"/>
      <c r="D459" s="631"/>
      <c r="E459" s="631"/>
      <c r="F459" s="631"/>
      <c r="G459" s="632"/>
      <c r="H459" s="584" t="s">
        <v>616</v>
      </c>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5"/>
      <c r="AL459" s="585"/>
      <c r="AM459" s="585"/>
      <c r="AN459" s="585"/>
      <c r="AO459" s="585"/>
      <c r="AP459" s="585"/>
      <c r="AQ459" s="585"/>
      <c r="AR459" s="585"/>
      <c r="AS459" s="585"/>
      <c r="AT459" s="585"/>
      <c r="AU459" s="585"/>
      <c r="AV459" s="585"/>
      <c r="AW459" s="585"/>
      <c r="AX459" s="585"/>
      <c r="AY459" s="585"/>
      <c r="AZ459" s="585"/>
      <c r="BA459" s="585"/>
      <c r="BB459" s="586"/>
      <c r="BC459" s="675">
        <v>1</v>
      </c>
      <c r="BD459" s="676"/>
      <c r="BE459" s="676"/>
      <c r="BF459" s="676"/>
      <c r="BG459" s="676"/>
      <c r="BH459" s="676"/>
      <c r="BI459" s="676"/>
      <c r="BJ459" s="676"/>
      <c r="BK459" s="676"/>
      <c r="BL459" s="676"/>
      <c r="BM459" s="676"/>
      <c r="BN459" s="676"/>
      <c r="BO459" s="676"/>
      <c r="BP459" s="676"/>
      <c r="BQ459" s="676"/>
      <c r="BR459" s="677"/>
      <c r="BS459" s="627">
        <v>20000</v>
      </c>
      <c r="BT459" s="628"/>
      <c r="BU459" s="628"/>
      <c r="BV459" s="628"/>
      <c r="BW459" s="628"/>
      <c r="BX459" s="628"/>
      <c r="BY459" s="628"/>
      <c r="BZ459" s="628"/>
      <c r="CA459" s="628"/>
      <c r="CB459" s="628"/>
      <c r="CC459" s="628"/>
      <c r="CD459" s="628"/>
      <c r="CE459" s="628"/>
      <c r="CF459" s="628"/>
      <c r="CG459" s="628"/>
      <c r="CH459" s="629"/>
      <c r="CI459" s="627">
        <f t="shared" si="6"/>
        <v>20000</v>
      </c>
      <c r="CJ459" s="628"/>
      <c r="CK459" s="628"/>
      <c r="CL459" s="628"/>
      <c r="CM459" s="628"/>
      <c r="CN459" s="628"/>
      <c r="CO459" s="628"/>
      <c r="CP459" s="628"/>
      <c r="CQ459" s="628"/>
      <c r="CR459" s="628"/>
      <c r="CS459" s="628"/>
      <c r="CT459" s="628"/>
      <c r="CU459" s="628"/>
      <c r="CV459" s="628"/>
      <c r="CW459" s="628"/>
      <c r="CX459" s="628"/>
      <c r="CY459" s="628"/>
      <c r="CZ459" s="629"/>
      <c r="DA459" s="214"/>
    </row>
    <row r="460" spans="1:105" s="16" customFormat="1" ht="20.25" hidden="1" customHeight="1" x14ac:dyDescent="0.3">
      <c r="A460" s="630" t="s">
        <v>530</v>
      </c>
      <c r="B460" s="631"/>
      <c r="C460" s="631"/>
      <c r="D460" s="631"/>
      <c r="E460" s="631"/>
      <c r="F460" s="631"/>
      <c r="G460" s="632"/>
      <c r="H460" s="584" t="s">
        <v>617</v>
      </c>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5"/>
      <c r="AL460" s="585"/>
      <c r="AM460" s="585"/>
      <c r="AN460" s="585"/>
      <c r="AO460" s="585"/>
      <c r="AP460" s="585"/>
      <c r="AQ460" s="585"/>
      <c r="AR460" s="585"/>
      <c r="AS460" s="585"/>
      <c r="AT460" s="585"/>
      <c r="AU460" s="585"/>
      <c r="AV460" s="585"/>
      <c r="AW460" s="585"/>
      <c r="AX460" s="585"/>
      <c r="AY460" s="585"/>
      <c r="AZ460" s="585"/>
      <c r="BA460" s="585"/>
      <c r="BB460" s="586"/>
      <c r="BC460" s="675">
        <v>2</v>
      </c>
      <c r="BD460" s="676"/>
      <c r="BE460" s="676"/>
      <c r="BF460" s="676"/>
      <c r="BG460" s="676"/>
      <c r="BH460" s="676"/>
      <c r="BI460" s="676"/>
      <c r="BJ460" s="676"/>
      <c r="BK460" s="676"/>
      <c r="BL460" s="676"/>
      <c r="BM460" s="676"/>
      <c r="BN460" s="676"/>
      <c r="BO460" s="676"/>
      <c r="BP460" s="676"/>
      <c r="BQ460" s="676"/>
      <c r="BR460" s="677"/>
      <c r="BS460" s="627"/>
      <c r="BT460" s="628"/>
      <c r="BU460" s="628"/>
      <c r="BV460" s="628"/>
      <c r="BW460" s="628"/>
      <c r="BX460" s="628"/>
      <c r="BY460" s="628"/>
      <c r="BZ460" s="628"/>
      <c r="CA460" s="628"/>
      <c r="CB460" s="628"/>
      <c r="CC460" s="628"/>
      <c r="CD460" s="628"/>
      <c r="CE460" s="628"/>
      <c r="CF460" s="628"/>
      <c r="CG460" s="628"/>
      <c r="CH460" s="629"/>
      <c r="CI460" s="627">
        <f t="shared" si="6"/>
        <v>0</v>
      </c>
      <c r="CJ460" s="628"/>
      <c r="CK460" s="628"/>
      <c r="CL460" s="628"/>
      <c r="CM460" s="628"/>
      <c r="CN460" s="628"/>
      <c r="CO460" s="628"/>
      <c r="CP460" s="628"/>
      <c r="CQ460" s="628"/>
      <c r="CR460" s="628"/>
      <c r="CS460" s="628"/>
      <c r="CT460" s="628"/>
      <c r="CU460" s="628"/>
      <c r="CV460" s="628"/>
      <c r="CW460" s="628"/>
      <c r="CX460" s="628"/>
      <c r="CY460" s="628"/>
      <c r="CZ460" s="629"/>
      <c r="DA460" s="214"/>
    </row>
    <row r="461" spans="1:105" s="16" customFormat="1" ht="15" customHeight="1" x14ac:dyDescent="0.3">
      <c r="A461" s="630" t="s">
        <v>515</v>
      </c>
      <c r="B461" s="631"/>
      <c r="C461" s="631"/>
      <c r="D461" s="631"/>
      <c r="E461" s="631"/>
      <c r="F461" s="631"/>
      <c r="G461" s="632"/>
      <c r="H461" s="584" t="s">
        <v>826</v>
      </c>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5"/>
      <c r="AL461" s="585"/>
      <c r="AM461" s="585"/>
      <c r="AN461" s="585"/>
      <c r="AO461" s="585"/>
      <c r="AP461" s="585"/>
      <c r="AQ461" s="585"/>
      <c r="AR461" s="585"/>
      <c r="AS461" s="585"/>
      <c r="AT461" s="585"/>
      <c r="AU461" s="585"/>
      <c r="AV461" s="585"/>
      <c r="AW461" s="585"/>
      <c r="AX461" s="585"/>
      <c r="AY461" s="585"/>
      <c r="AZ461" s="585"/>
      <c r="BA461" s="585"/>
      <c r="BB461" s="586"/>
      <c r="BC461" s="675">
        <v>1</v>
      </c>
      <c r="BD461" s="676"/>
      <c r="BE461" s="676"/>
      <c r="BF461" s="676"/>
      <c r="BG461" s="676"/>
      <c r="BH461" s="676"/>
      <c r="BI461" s="676"/>
      <c r="BJ461" s="676"/>
      <c r="BK461" s="676"/>
      <c r="BL461" s="676"/>
      <c r="BM461" s="676"/>
      <c r="BN461" s="676"/>
      <c r="BO461" s="676"/>
      <c r="BP461" s="676"/>
      <c r="BQ461" s="676"/>
      <c r="BR461" s="677"/>
      <c r="BS461" s="627">
        <v>20000</v>
      </c>
      <c r="BT461" s="628"/>
      <c r="BU461" s="628"/>
      <c r="BV461" s="628"/>
      <c r="BW461" s="628"/>
      <c r="BX461" s="628"/>
      <c r="BY461" s="628"/>
      <c r="BZ461" s="628"/>
      <c r="CA461" s="628"/>
      <c r="CB461" s="628"/>
      <c r="CC461" s="628"/>
      <c r="CD461" s="628"/>
      <c r="CE461" s="628"/>
      <c r="CF461" s="628"/>
      <c r="CG461" s="628"/>
      <c r="CH461" s="629"/>
      <c r="CI461" s="627">
        <f t="shared" si="6"/>
        <v>20000</v>
      </c>
      <c r="CJ461" s="628"/>
      <c r="CK461" s="628"/>
      <c r="CL461" s="628"/>
      <c r="CM461" s="628"/>
      <c r="CN461" s="628"/>
      <c r="CO461" s="628"/>
      <c r="CP461" s="628"/>
      <c r="CQ461" s="628"/>
      <c r="CR461" s="628"/>
      <c r="CS461" s="628"/>
      <c r="CT461" s="628"/>
      <c r="CU461" s="628"/>
      <c r="CV461" s="628"/>
      <c r="CW461" s="628"/>
      <c r="CX461" s="628"/>
      <c r="CY461" s="628"/>
      <c r="CZ461" s="629"/>
      <c r="DA461" s="214"/>
    </row>
    <row r="462" spans="1:105" s="16" customFormat="1" ht="22.95" customHeight="1" x14ac:dyDescent="0.3">
      <c r="A462" s="630" t="s">
        <v>519</v>
      </c>
      <c r="B462" s="631"/>
      <c r="C462" s="631"/>
      <c r="D462" s="631"/>
      <c r="E462" s="631"/>
      <c r="F462" s="631"/>
      <c r="G462" s="632"/>
      <c r="H462" s="584" t="s">
        <v>961</v>
      </c>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5"/>
      <c r="AL462" s="585"/>
      <c r="AM462" s="585"/>
      <c r="AN462" s="585"/>
      <c r="AO462" s="585"/>
      <c r="AP462" s="585"/>
      <c r="AQ462" s="585"/>
      <c r="AR462" s="585"/>
      <c r="AS462" s="585"/>
      <c r="AT462" s="585"/>
      <c r="AU462" s="585"/>
      <c r="AV462" s="585"/>
      <c r="AW462" s="585"/>
      <c r="AX462" s="585"/>
      <c r="AY462" s="585"/>
      <c r="AZ462" s="585"/>
      <c r="BA462" s="585"/>
      <c r="BB462" s="586"/>
      <c r="BC462" s="675">
        <v>1</v>
      </c>
      <c r="BD462" s="676"/>
      <c r="BE462" s="676"/>
      <c r="BF462" s="676"/>
      <c r="BG462" s="676"/>
      <c r="BH462" s="676"/>
      <c r="BI462" s="676"/>
      <c r="BJ462" s="676"/>
      <c r="BK462" s="676"/>
      <c r="BL462" s="676"/>
      <c r="BM462" s="676"/>
      <c r="BN462" s="676"/>
      <c r="BO462" s="676"/>
      <c r="BP462" s="676"/>
      <c r="BQ462" s="676"/>
      <c r="BR462" s="677"/>
      <c r="BS462" s="627">
        <v>10000</v>
      </c>
      <c r="BT462" s="628"/>
      <c r="BU462" s="628"/>
      <c r="BV462" s="628"/>
      <c r="BW462" s="628"/>
      <c r="BX462" s="628"/>
      <c r="BY462" s="628"/>
      <c r="BZ462" s="628"/>
      <c r="CA462" s="628"/>
      <c r="CB462" s="628"/>
      <c r="CC462" s="628"/>
      <c r="CD462" s="628"/>
      <c r="CE462" s="628"/>
      <c r="CF462" s="628"/>
      <c r="CG462" s="628"/>
      <c r="CH462" s="629"/>
      <c r="CI462" s="627">
        <f t="shared" si="6"/>
        <v>10000</v>
      </c>
      <c r="CJ462" s="628"/>
      <c r="CK462" s="628"/>
      <c r="CL462" s="628"/>
      <c r="CM462" s="628"/>
      <c r="CN462" s="628"/>
      <c r="CO462" s="628"/>
      <c r="CP462" s="628"/>
      <c r="CQ462" s="628"/>
      <c r="CR462" s="628"/>
      <c r="CS462" s="628"/>
      <c r="CT462" s="628"/>
      <c r="CU462" s="628"/>
      <c r="CV462" s="628"/>
      <c r="CW462" s="628"/>
      <c r="CX462" s="628"/>
      <c r="CY462" s="628"/>
      <c r="CZ462" s="629"/>
      <c r="DA462" s="214"/>
    </row>
    <row r="463" spans="1:105" s="16" customFormat="1" ht="15" customHeight="1" x14ac:dyDescent="0.3">
      <c r="A463" s="630" t="s">
        <v>521</v>
      </c>
      <c r="B463" s="631"/>
      <c r="C463" s="631"/>
      <c r="D463" s="631"/>
      <c r="E463" s="631"/>
      <c r="F463" s="631"/>
      <c r="G463" s="632"/>
      <c r="H463" s="584" t="s">
        <v>618</v>
      </c>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5"/>
      <c r="AL463" s="585"/>
      <c r="AM463" s="585"/>
      <c r="AN463" s="585"/>
      <c r="AO463" s="585"/>
      <c r="AP463" s="585"/>
      <c r="AQ463" s="585"/>
      <c r="AR463" s="585"/>
      <c r="AS463" s="585"/>
      <c r="AT463" s="585"/>
      <c r="AU463" s="585"/>
      <c r="AV463" s="585"/>
      <c r="AW463" s="585"/>
      <c r="AX463" s="585"/>
      <c r="AY463" s="585"/>
      <c r="AZ463" s="585"/>
      <c r="BA463" s="585"/>
      <c r="BB463" s="586"/>
      <c r="BC463" s="675">
        <v>1</v>
      </c>
      <c r="BD463" s="676"/>
      <c r="BE463" s="676"/>
      <c r="BF463" s="676"/>
      <c r="BG463" s="676"/>
      <c r="BH463" s="676"/>
      <c r="BI463" s="676"/>
      <c r="BJ463" s="676"/>
      <c r="BK463" s="676"/>
      <c r="BL463" s="676"/>
      <c r="BM463" s="676"/>
      <c r="BN463" s="676"/>
      <c r="BO463" s="676"/>
      <c r="BP463" s="676"/>
      <c r="BQ463" s="676"/>
      <c r="BR463" s="677"/>
      <c r="BS463" s="627">
        <v>2000</v>
      </c>
      <c r="BT463" s="628"/>
      <c r="BU463" s="628"/>
      <c r="BV463" s="628"/>
      <c r="BW463" s="628"/>
      <c r="BX463" s="628"/>
      <c r="BY463" s="628"/>
      <c r="BZ463" s="628"/>
      <c r="CA463" s="628"/>
      <c r="CB463" s="628"/>
      <c r="CC463" s="628"/>
      <c r="CD463" s="628"/>
      <c r="CE463" s="628"/>
      <c r="CF463" s="628"/>
      <c r="CG463" s="628"/>
      <c r="CH463" s="629"/>
      <c r="CI463" s="627">
        <f t="shared" si="6"/>
        <v>2000</v>
      </c>
      <c r="CJ463" s="628"/>
      <c r="CK463" s="628"/>
      <c r="CL463" s="628"/>
      <c r="CM463" s="628"/>
      <c r="CN463" s="628"/>
      <c r="CO463" s="628"/>
      <c r="CP463" s="628"/>
      <c r="CQ463" s="628"/>
      <c r="CR463" s="628"/>
      <c r="CS463" s="628"/>
      <c r="CT463" s="628"/>
      <c r="CU463" s="628"/>
      <c r="CV463" s="628"/>
      <c r="CW463" s="628"/>
      <c r="CX463" s="628"/>
      <c r="CY463" s="628"/>
      <c r="CZ463" s="629"/>
      <c r="DA463" s="214"/>
    </row>
    <row r="464" spans="1:105" s="16" customFormat="1" ht="15" customHeight="1" x14ac:dyDescent="0.3">
      <c r="A464" s="630" t="s">
        <v>523</v>
      </c>
      <c r="B464" s="631"/>
      <c r="C464" s="631"/>
      <c r="D464" s="631"/>
      <c r="E464" s="631"/>
      <c r="F464" s="631"/>
      <c r="G464" s="632"/>
      <c r="H464" s="584" t="s">
        <v>619</v>
      </c>
      <c r="I464" s="585"/>
      <c r="J464" s="585"/>
      <c r="K464" s="585"/>
      <c r="L464" s="585"/>
      <c r="M464" s="585"/>
      <c r="N464" s="585"/>
      <c r="O464" s="585"/>
      <c r="P464" s="585"/>
      <c r="Q464" s="585"/>
      <c r="R464" s="585"/>
      <c r="S464" s="585"/>
      <c r="T464" s="585"/>
      <c r="U464" s="585"/>
      <c r="V464" s="585"/>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c r="AV464" s="585"/>
      <c r="AW464" s="585"/>
      <c r="AX464" s="585"/>
      <c r="AY464" s="585"/>
      <c r="AZ464" s="585"/>
      <c r="BA464" s="585"/>
      <c r="BB464" s="586"/>
      <c r="BC464" s="675">
        <v>1</v>
      </c>
      <c r="BD464" s="676"/>
      <c r="BE464" s="676"/>
      <c r="BF464" s="676"/>
      <c r="BG464" s="676"/>
      <c r="BH464" s="676"/>
      <c r="BI464" s="676"/>
      <c r="BJ464" s="676"/>
      <c r="BK464" s="676"/>
      <c r="BL464" s="676"/>
      <c r="BM464" s="676"/>
      <c r="BN464" s="676"/>
      <c r="BO464" s="676"/>
      <c r="BP464" s="676"/>
      <c r="BQ464" s="676"/>
      <c r="BR464" s="677"/>
      <c r="BS464" s="627">
        <v>10000</v>
      </c>
      <c r="BT464" s="628"/>
      <c r="BU464" s="628"/>
      <c r="BV464" s="628"/>
      <c r="BW464" s="628"/>
      <c r="BX464" s="628"/>
      <c r="BY464" s="628"/>
      <c r="BZ464" s="628"/>
      <c r="CA464" s="628"/>
      <c r="CB464" s="628"/>
      <c r="CC464" s="628"/>
      <c r="CD464" s="628"/>
      <c r="CE464" s="628"/>
      <c r="CF464" s="628"/>
      <c r="CG464" s="628"/>
      <c r="CH464" s="629"/>
      <c r="CI464" s="627">
        <f t="shared" si="6"/>
        <v>10000</v>
      </c>
      <c r="CJ464" s="628"/>
      <c r="CK464" s="628"/>
      <c r="CL464" s="628"/>
      <c r="CM464" s="628"/>
      <c r="CN464" s="628"/>
      <c r="CO464" s="628"/>
      <c r="CP464" s="628"/>
      <c r="CQ464" s="628"/>
      <c r="CR464" s="628"/>
      <c r="CS464" s="628"/>
      <c r="CT464" s="628"/>
      <c r="CU464" s="628"/>
      <c r="CV464" s="628"/>
      <c r="CW464" s="628"/>
      <c r="CX464" s="628"/>
      <c r="CY464" s="628"/>
      <c r="CZ464" s="629"/>
      <c r="DA464" s="214"/>
    </row>
    <row r="465" spans="1:105" s="16" customFormat="1" ht="15" customHeight="1" x14ac:dyDescent="0.3">
      <c r="A465" s="630" t="s">
        <v>525</v>
      </c>
      <c r="B465" s="631"/>
      <c r="C465" s="631"/>
      <c r="D465" s="631"/>
      <c r="E465" s="631"/>
      <c r="F465" s="631"/>
      <c r="G465" s="632"/>
      <c r="H465" s="584" t="s">
        <v>620</v>
      </c>
      <c r="I465" s="585"/>
      <c r="J465" s="585"/>
      <c r="K465" s="585"/>
      <c r="L465" s="585"/>
      <c r="M465" s="585"/>
      <c r="N465" s="585"/>
      <c r="O465" s="585"/>
      <c r="P465" s="585"/>
      <c r="Q465" s="585"/>
      <c r="R465" s="585"/>
      <c r="S465" s="585"/>
      <c r="T465" s="585"/>
      <c r="U465" s="585"/>
      <c r="V465" s="585"/>
      <c r="W465" s="585"/>
      <c r="X465" s="585"/>
      <c r="Y465" s="585"/>
      <c r="Z465" s="585"/>
      <c r="AA465" s="585"/>
      <c r="AB465" s="585"/>
      <c r="AC465" s="585"/>
      <c r="AD465" s="585"/>
      <c r="AE465" s="585"/>
      <c r="AF465" s="585"/>
      <c r="AG465" s="585"/>
      <c r="AH465" s="585"/>
      <c r="AI465" s="585"/>
      <c r="AJ465" s="585"/>
      <c r="AK465" s="585"/>
      <c r="AL465" s="585"/>
      <c r="AM465" s="585"/>
      <c r="AN465" s="585"/>
      <c r="AO465" s="585"/>
      <c r="AP465" s="585"/>
      <c r="AQ465" s="585"/>
      <c r="AR465" s="585"/>
      <c r="AS465" s="585"/>
      <c r="AT465" s="585"/>
      <c r="AU465" s="585"/>
      <c r="AV465" s="585"/>
      <c r="AW465" s="585"/>
      <c r="AX465" s="585"/>
      <c r="AY465" s="585"/>
      <c r="AZ465" s="585"/>
      <c r="BA465" s="585"/>
      <c r="BB465" s="586"/>
      <c r="BC465" s="675">
        <v>10</v>
      </c>
      <c r="BD465" s="676"/>
      <c r="BE465" s="676"/>
      <c r="BF465" s="676"/>
      <c r="BG465" s="676"/>
      <c r="BH465" s="676"/>
      <c r="BI465" s="676"/>
      <c r="BJ465" s="676"/>
      <c r="BK465" s="676"/>
      <c r="BL465" s="676"/>
      <c r="BM465" s="676"/>
      <c r="BN465" s="676"/>
      <c r="BO465" s="676"/>
      <c r="BP465" s="676"/>
      <c r="BQ465" s="676"/>
      <c r="BR465" s="677"/>
      <c r="BS465" s="627">
        <f>CI465/BC465</f>
        <v>2500</v>
      </c>
      <c r="BT465" s="628"/>
      <c r="BU465" s="628"/>
      <c r="BV465" s="628"/>
      <c r="BW465" s="628"/>
      <c r="BX465" s="628"/>
      <c r="BY465" s="628"/>
      <c r="BZ465" s="628"/>
      <c r="CA465" s="628"/>
      <c r="CB465" s="628"/>
      <c r="CC465" s="628"/>
      <c r="CD465" s="628"/>
      <c r="CE465" s="628"/>
      <c r="CF465" s="628"/>
      <c r="CG465" s="628"/>
      <c r="CH465" s="629"/>
      <c r="CI465" s="627">
        <v>25000</v>
      </c>
      <c r="CJ465" s="628"/>
      <c r="CK465" s="628"/>
      <c r="CL465" s="628"/>
      <c r="CM465" s="628"/>
      <c r="CN465" s="628"/>
      <c r="CO465" s="628"/>
      <c r="CP465" s="628"/>
      <c r="CQ465" s="628"/>
      <c r="CR465" s="628"/>
      <c r="CS465" s="628"/>
      <c r="CT465" s="628"/>
      <c r="CU465" s="628"/>
      <c r="CV465" s="628"/>
      <c r="CW465" s="628"/>
      <c r="CX465" s="628"/>
      <c r="CY465" s="628"/>
      <c r="CZ465" s="629"/>
      <c r="DA465" s="214"/>
    </row>
    <row r="466" spans="1:105" s="16" customFormat="1" ht="15" customHeight="1" x14ac:dyDescent="0.3">
      <c r="A466" s="630" t="s">
        <v>526</v>
      </c>
      <c r="B466" s="631"/>
      <c r="C466" s="631"/>
      <c r="D466" s="631"/>
      <c r="E466" s="631"/>
      <c r="F466" s="631"/>
      <c r="G466" s="632"/>
      <c r="H466" s="584" t="s">
        <v>827</v>
      </c>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5"/>
      <c r="AL466" s="585"/>
      <c r="AM466" s="585"/>
      <c r="AN466" s="585"/>
      <c r="AO466" s="585"/>
      <c r="AP466" s="585"/>
      <c r="AQ466" s="585"/>
      <c r="AR466" s="585"/>
      <c r="AS466" s="585"/>
      <c r="AT466" s="585"/>
      <c r="AU466" s="585"/>
      <c r="AV466" s="585"/>
      <c r="AW466" s="585"/>
      <c r="AX466" s="585"/>
      <c r="AY466" s="585"/>
      <c r="AZ466" s="585"/>
      <c r="BA466" s="585"/>
      <c r="BB466" s="586"/>
      <c r="BC466" s="675">
        <v>1</v>
      </c>
      <c r="BD466" s="676"/>
      <c r="BE466" s="676"/>
      <c r="BF466" s="676"/>
      <c r="BG466" s="676"/>
      <c r="BH466" s="676"/>
      <c r="BI466" s="676"/>
      <c r="BJ466" s="676"/>
      <c r="BK466" s="676"/>
      <c r="BL466" s="676"/>
      <c r="BM466" s="676"/>
      <c r="BN466" s="676"/>
      <c r="BO466" s="676"/>
      <c r="BP466" s="676"/>
      <c r="BQ466" s="676"/>
      <c r="BR466" s="677"/>
      <c r="BS466" s="627">
        <v>2000</v>
      </c>
      <c r="BT466" s="628"/>
      <c r="BU466" s="628"/>
      <c r="BV466" s="628"/>
      <c r="BW466" s="628"/>
      <c r="BX466" s="628"/>
      <c r="BY466" s="628"/>
      <c r="BZ466" s="628"/>
      <c r="CA466" s="628"/>
      <c r="CB466" s="628"/>
      <c r="CC466" s="628"/>
      <c r="CD466" s="628"/>
      <c r="CE466" s="628"/>
      <c r="CF466" s="628"/>
      <c r="CG466" s="628"/>
      <c r="CH466" s="629"/>
      <c r="CI466" s="627">
        <f t="shared" si="6"/>
        <v>2000</v>
      </c>
      <c r="CJ466" s="628"/>
      <c r="CK466" s="628"/>
      <c r="CL466" s="628"/>
      <c r="CM466" s="628"/>
      <c r="CN466" s="628"/>
      <c r="CO466" s="628"/>
      <c r="CP466" s="628"/>
      <c r="CQ466" s="628"/>
      <c r="CR466" s="628"/>
      <c r="CS466" s="628"/>
      <c r="CT466" s="628"/>
      <c r="CU466" s="628"/>
      <c r="CV466" s="628"/>
      <c r="CW466" s="628"/>
      <c r="CX466" s="628"/>
      <c r="CY466" s="628"/>
      <c r="CZ466" s="629"/>
      <c r="DA466" s="214"/>
    </row>
    <row r="467" spans="1:105" s="16" customFormat="1" ht="15" customHeight="1" x14ac:dyDescent="0.3">
      <c r="A467" s="630" t="s">
        <v>530</v>
      </c>
      <c r="B467" s="631"/>
      <c r="C467" s="631"/>
      <c r="D467" s="631"/>
      <c r="E467" s="631"/>
      <c r="F467" s="631"/>
      <c r="G467" s="632"/>
      <c r="H467" s="584" t="s">
        <v>962</v>
      </c>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5"/>
      <c r="AL467" s="585"/>
      <c r="AM467" s="585"/>
      <c r="AN467" s="585"/>
      <c r="AO467" s="585"/>
      <c r="AP467" s="585"/>
      <c r="AQ467" s="585"/>
      <c r="AR467" s="585"/>
      <c r="AS467" s="585"/>
      <c r="AT467" s="585"/>
      <c r="AU467" s="585"/>
      <c r="AV467" s="585"/>
      <c r="AW467" s="585"/>
      <c r="AX467" s="585"/>
      <c r="AY467" s="585"/>
      <c r="AZ467" s="585"/>
      <c r="BA467" s="585"/>
      <c r="BB467" s="586"/>
      <c r="BC467" s="675">
        <v>1</v>
      </c>
      <c r="BD467" s="676"/>
      <c r="BE467" s="676"/>
      <c r="BF467" s="676"/>
      <c r="BG467" s="676"/>
      <c r="BH467" s="676"/>
      <c r="BI467" s="676"/>
      <c r="BJ467" s="676"/>
      <c r="BK467" s="676"/>
      <c r="BL467" s="676"/>
      <c r="BM467" s="676"/>
      <c r="BN467" s="676"/>
      <c r="BO467" s="676"/>
      <c r="BP467" s="676"/>
      <c r="BQ467" s="676"/>
      <c r="BR467" s="677"/>
      <c r="BS467" s="627">
        <v>5000</v>
      </c>
      <c r="BT467" s="628"/>
      <c r="BU467" s="628"/>
      <c r="BV467" s="628"/>
      <c r="BW467" s="628"/>
      <c r="BX467" s="628"/>
      <c r="BY467" s="628"/>
      <c r="BZ467" s="628"/>
      <c r="CA467" s="628"/>
      <c r="CB467" s="628"/>
      <c r="CC467" s="628"/>
      <c r="CD467" s="628"/>
      <c r="CE467" s="628"/>
      <c r="CF467" s="628"/>
      <c r="CG467" s="628"/>
      <c r="CH467" s="629"/>
      <c r="CI467" s="627">
        <f t="shared" si="6"/>
        <v>5000</v>
      </c>
      <c r="CJ467" s="628"/>
      <c r="CK467" s="628"/>
      <c r="CL467" s="628"/>
      <c r="CM467" s="628"/>
      <c r="CN467" s="628"/>
      <c r="CO467" s="628"/>
      <c r="CP467" s="628"/>
      <c r="CQ467" s="628"/>
      <c r="CR467" s="628"/>
      <c r="CS467" s="628"/>
      <c r="CT467" s="628"/>
      <c r="CU467" s="628"/>
      <c r="CV467" s="628"/>
      <c r="CW467" s="628"/>
      <c r="CX467" s="628"/>
      <c r="CY467" s="628"/>
      <c r="CZ467" s="629"/>
      <c r="DA467" s="214"/>
    </row>
    <row r="468" spans="1:105" s="16" customFormat="1" ht="15" hidden="1" customHeight="1" x14ac:dyDescent="0.3">
      <c r="A468" s="630" t="s">
        <v>622</v>
      </c>
      <c r="B468" s="631"/>
      <c r="C468" s="631"/>
      <c r="D468" s="631"/>
      <c r="E468" s="631"/>
      <c r="F468" s="631"/>
      <c r="G468" s="632"/>
      <c r="H468" s="584" t="s">
        <v>965</v>
      </c>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5"/>
      <c r="AL468" s="585"/>
      <c r="AM468" s="585"/>
      <c r="AN468" s="585"/>
      <c r="AO468" s="585"/>
      <c r="AP468" s="585"/>
      <c r="AQ468" s="585"/>
      <c r="AR468" s="585"/>
      <c r="AS468" s="585"/>
      <c r="AT468" s="585"/>
      <c r="AU468" s="585"/>
      <c r="AV468" s="585"/>
      <c r="AW468" s="585"/>
      <c r="AX468" s="585"/>
      <c r="AY468" s="585"/>
      <c r="AZ468" s="585"/>
      <c r="BA468" s="585"/>
      <c r="BB468" s="586"/>
      <c r="BC468" s="675">
        <v>1</v>
      </c>
      <c r="BD468" s="676"/>
      <c r="BE468" s="676"/>
      <c r="BF468" s="676"/>
      <c r="BG468" s="676"/>
      <c r="BH468" s="676"/>
      <c r="BI468" s="676"/>
      <c r="BJ468" s="676"/>
      <c r="BK468" s="676"/>
      <c r="BL468" s="676"/>
      <c r="BM468" s="676"/>
      <c r="BN468" s="676"/>
      <c r="BO468" s="676"/>
      <c r="BP468" s="676"/>
      <c r="BQ468" s="676"/>
      <c r="BR468" s="677"/>
      <c r="BS468" s="627">
        <v>0</v>
      </c>
      <c r="BT468" s="628"/>
      <c r="BU468" s="628"/>
      <c r="BV468" s="628"/>
      <c r="BW468" s="628"/>
      <c r="BX468" s="628"/>
      <c r="BY468" s="628"/>
      <c r="BZ468" s="628"/>
      <c r="CA468" s="628"/>
      <c r="CB468" s="628"/>
      <c r="CC468" s="628"/>
      <c r="CD468" s="628"/>
      <c r="CE468" s="628"/>
      <c r="CF468" s="628"/>
      <c r="CG468" s="628"/>
      <c r="CH468" s="629"/>
      <c r="CI468" s="627">
        <f t="shared" si="6"/>
        <v>0</v>
      </c>
      <c r="CJ468" s="628"/>
      <c r="CK468" s="628"/>
      <c r="CL468" s="628"/>
      <c r="CM468" s="628"/>
      <c r="CN468" s="628"/>
      <c r="CO468" s="628"/>
      <c r="CP468" s="628"/>
      <c r="CQ468" s="628"/>
      <c r="CR468" s="628"/>
      <c r="CS468" s="628"/>
      <c r="CT468" s="628"/>
      <c r="CU468" s="628"/>
      <c r="CV468" s="628"/>
      <c r="CW468" s="628"/>
      <c r="CX468" s="628"/>
      <c r="CY468" s="628"/>
      <c r="CZ468" s="629"/>
      <c r="DA468" s="214"/>
    </row>
    <row r="469" spans="1:105" s="16" customFormat="1" ht="15" hidden="1" customHeight="1" x14ac:dyDescent="0.3">
      <c r="A469" s="630" t="s">
        <v>623</v>
      </c>
      <c r="B469" s="631"/>
      <c r="C469" s="631"/>
      <c r="D469" s="631"/>
      <c r="E469" s="631"/>
      <c r="F469" s="631"/>
      <c r="G469" s="632"/>
      <c r="H469" s="584" t="s">
        <v>828</v>
      </c>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5"/>
      <c r="AL469" s="585"/>
      <c r="AM469" s="585"/>
      <c r="AN469" s="585"/>
      <c r="AO469" s="585"/>
      <c r="AP469" s="585"/>
      <c r="AQ469" s="585"/>
      <c r="AR469" s="585"/>
      <c r="AS469" s="585"/>
      <c r="AT469" s="585"/>
      <c r="AU469" s="585"/>
      <c r="AV469" s="585"/>
      <c r="AW469" s="585"/>
      <c r="AX469" s="585"/>
      <c r="AY469" s="585"/>
      <c r="AZ469" s="585"/>
      <c r="BA469" s="585"/>
      <c r="BB469" s="586"/>
      <c r="BC469" s="675">
        <v>1</v>
      </c>
      <c r="BD469" s="676"/>
      <c r="BE469" s="676"/>
      <c r="BF469" s="676"/>
      <c r="BG469" s="676"/>
      <c r="BH469" s="676"/>
      <c r="BI469" s="676"/>
      <c r="BJ469" s="676"/>
      <c r="BK469" s="676"/>
      <c r="BL469" s="676"/>
      <c r="BM469" s="676"/>
      <c r="BN469" s="676"/>
      <c r="BO469" s="676"/>
      <c r="BP469" s="676"/>
      <c r="BQ469" s="676"/>
      <c r="BR469" s="677"/>
      <c r="BS469" s="627"/>
      <c r="BT469" s="628"/>
      <c r="BU469" s="628"/>
      <c r="BV469" s="628"/>
      <c r="BW469" s="628"/>
      <c r="BX469" s="628"/>
      <c r="BY469" s="628"/>
      <c r="BZ469" s="628"/>
      <c r="CA469" s="628"/>
      <c r="CB469" s="628"/>
      <c r="CC469" s="628"/>
      <c r="CD469" s="628"/>
      <c r="CE469" s="628"/>
      <c r="CF469" s="628"/>
      <c r="CG469" s="628"/>
      <c r="CH469" s="629"/>
      <c r="CI469" s="627">
        <f t="shared" si="6"/>
        <v>0</v>
      </c>
      <c r="CJ469" s="628"/>
      <c r="CK469" s="628"/>
      <c r="CL469" s="628"/>
      <c r="CM469" s="628"/>
      <c r="CN469" s="628"/>
      <c r="CO469" s="628"/>
      <c r="CP469" s="628"/>
      <c r="CQ469" s="628"/>
      <c r="CR469" s="628"/>
      <c r="CS469" s="628"/>
      <c r="CT469" s="628"/>
      <c r="CU469" s="628"/>
      <c r="CV469" s="628"/>
      <c r="CW469" s="628"/>
      <c r="CX469" s="628"/>
      <c r="CY469" s="628"/>
      <c r="CZ469" s="629"/>
      <c r="DA469" s="214"/>
    </row>
    <row r="470" spans="1:105" s="16" customFormat="1" ht="25.5" hidden="1" customHeight="1" x14ac:dyDescent="0.3">
      <c r="A470" s="630" t="s">
        <v>387</v>
      </c>
      <c r="B470" s="631"/>
      <c r="C470" s="631"/>
      <c r="D470" s="631"/>
      <c r="E470" s="631"/>
      <c r="F470" s="631"/>
      <c r="G470" s="632"/>
      <c r="H470" s="584" t="s">
        <v>964</v>
      </c>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5"/>
      <c r="AL470" s="585"/>
      <c r="AM470" s="585"/>
      <c r="AN470" s="585"/>
      <c r="AO470" s="585"/>
      <c r="AP470" s="585"/>
      <c r="AQ470" s="585"/>
      <c r="AR470" s="585"/>
      <c r="AS470" s="585"/>
      <c r="AT470" s="585"/>
      <c r="AU470" s="585"/>
      <c r="AV470" s="585"/>
      <c r="AW470" s="585"/>
      <c r="AX470" s="585"/>
      <c r="AY470" s="585"/>
      <c r="AZ470" s="585"/>
      <c r="BA470" s="585"/>
      <c r="BB470" s="586"/>
      <c r="BC470" s="675">
        <v>1</v>
      </c>
      <c r="BD470" s="676"/>
      <c r="BE470" s="676"/>
      <c r="BF470" s="676"/>
      <c r="BG470" s="676"/>
      <c r="BH470" s="676"/>
      <c r="BI470" s="676"/>
      <c r="BJ470" s="676"/>
      <c r="BK470" s="676"/>
      <c r="BL470" s="676"/>
      <c r="BM470" s="676"/>
      <c r="BN470" s="676"/>
      <c r="BO470" s="676"/>
      <c r="BP470" s="676"/>
      <c r="BQ470" s="676"/>
      <c r="BR470" s="677"/>
      <c r="BS470" s="627">
        <v>0</v>
      </c>
      <c r="BT470" s="628"/>
      <c r="BU470" s="628"/>
      <c r="BV470" s="628"/>
      <c r="BW470" s="628"/>
      <c r="BX470" s="628"/>
      <c r="BY470" s="628"/>
      <c r="BZ470" s="628"/>
      <c r="CA470" s="628"/>
      <c r="CB470" s="628"/>
      <c r="CC470" s="628"/>
      <c r="CD470" s="628"/>
      <c r="CE470" s="628"/>
      <c r="CF470" s="628"/>
      <c r="CG470" s="628"/>
      <c r="CH470" s="629"/>
      <c r="CI470" s="627">
        <f t="shared" si="6"/>
        <v>0</v>
      </c>
      <c r="CJ470" s="628"/>
      <c r="CK470" s="628"/>
      <c r="CL470" s="628"/>
      <c r="CM470" s="628"/>
      <c r="CN470" s="628"/>
      <c r="CO470" s="628"/>
      <c r="CP470" s="628"/>
      <c r="CQ470" s="628"/>
      <c r="CR470" s="628"/>
      <c r="CS470" s="628"/>
      <c r="CT470" s="628"/>
      <c r="CU470" s="628"/>
      <c r="CV470" s="628"/>
      <c r="CW470" s="628"/>
      <c r="CX470" s="628"/>
      <c r="CY470" s="628"/>
      <c r="CZ470" s="629"/>
      <c r="DA470" s="214"/>
    </row>
    <row r="471" spans="1:105" s="16" customFormat="1" ht="15" hidden="1" customHeight="1" x14ac:dyDescent="0.3">
      <c r="A471" s="630" t="s">
        <v>624</v>
      </c>
      <c r="B471" s="631"/>
      <c r="C471" s="631"/>
      <c r="D471" s="631"/>
      <c r="E471" s="631"/>
      <c r="F471" s="631"/>
      <c r="G471" s="632"/>
      <c r="H471" s="584" t="s">
        <v>834</v>
      </c>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5"/>
      <c r="AL471" s="585"/>
      <c r="AM471" s="585"/>
      <c r="AN471" s="585"/>
      <c r="AO471" s="585"/>
      <c r="AP471" s="585"/>
      <c r="AQ471" s="585"/>
      <c r="AR471" s="585"/>
      <c r="AS471" s="585"/>
      <c r="AT471" s="585"/>
      <c r="AU471" s="585"/>
      <c r="AV471" s="585"/>
      <c r="AW471" s="585"/>
      <c r="AX471" s="585"/>
      <c r="AY471" s="585"/>
      <c r="AZ471" s="585"/>
      <c r="BA471" s="585"/>
      <c r="BB471" s="586"/>
      <c r="BC471" s="675">
        <v>1</v>
      </c>
      <c r="BD471" s="676"/>
      <c r="BE471" s="676"/>
      <c r="BF471" s="676"/>
      <c r="BG471" s="676"/>
      <c r="BH471" s="676"/>
      <c r="BI471" s="676"/>
      <c r="BJ471" s="676"/>
      <c r="BK471" s="676"/>
      <c r="BL471" s="676"/>
      <c r="BM471" s="676"/>
      <c r="BN471" s="676"/>
      <c r="BO471" s="676"/>
      <c r="BP471" s="676"/>
      <c r="BQ471" s="676"/>
      <c r="BR471" s="677"/>
      <c r="BS471" s="627">
        <v>10000</v>
      </c>
      <c r="BT471" s="628"/>
      <c r="BU471" s="628"/>
      <c r="BV471" s="628"/>
      <c r="BW471" s="628"/>
      <c r="BX471" s="628"/>
      <c r="BY471" s="628"/>
      <c r="BZ471" s="628"/>
      <c r="CA471" s="628"/>
      <c r="CB471" s="628"/>
      <c r="CC471" s="628"/>
      <c r="CD471" s="628"/>
      <c r="CE471" s="628"/>
      <c r="CF471" s="628"/>
      <c r="CG471" s="628"/>
      <c r="CH471" s="629"/>
      <c r="CI471" s="627"/>
      <c r="CJ471" s="628"/>
      <c r="CK471" s="628"/>
      <c r="CL471" s="628"/>
      <c r="CM471" s="628"/>
      <c r="CN471" s="628"/>
      <c r="CO471" s="628"/>
      <c r="CP471" s="628"/>
      <c r="CQ471" s="628"/>
      <c r="CR471" s="628"/>
      <c r="CS471" s="628"/>
      <c r="CT471" s="628"/>
      <c r="CU471" s="628"/>
      <c r="CV471" s="628"/>
      <c r="CW471" s="628"/>
      <c r="CX471" s="628"/>
      <c r="CY471" s="628"/>
      <c r="CZ471" s="629"/>
      <c r="DA471" s="214"/>
    </row>
    <row r="472" spans="1:105" s="16" customFormat="1" ht="25.5" hidden="1" customHeight="1" x14ac:dyDescent="0.3">
      <c r="A472" s="630" t="s">
        <v>626</v>
      </c>
      <c r="B472" s="631"/>
      <c r="C472" s="631"/>
      <c r="D472" s="631"/>
      <c r="E472" s="631"/>
      <c r="F472" s="631"/>
      <c r="G472" s="632"/>
      <c r="H472" s="584" t="s">
        <v>627</v>
      </c>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5"/>
      <c r="AL472" s="585"/>
      <c r="AM472" s="585"/>
      <c r="AN472" s="585"/>
      <c r="AO472" s="585"/>
      <c r="AP472" s="585"/>
      <c r="AQ472" s="585"/>
      <c r="AR472" s="585"/>
      <c r="AS472" s="585"/>
      <c r="AT472" s="585"/>
      <c r="AU472" s="585"/>
      <c r="AV472" s="585"/>
      <c r="AW472" s="585"/>
      <c r="AX472" s="585"/>
      <c r="AY472" s="585"/>
      <c r="AZ472" s="585"/>
      <c r="BA472" s="585"/>
      <c r="BB472" s="586"/>
      <c r="BC472" s="675">
        <v>1</v>
      </c>
      <c r="BD472" s="676"/>
      <c r="BE472" s="676"/>
      <c r="BF472" s="676"/>
      <c r="BG472" s="676"/>
      <c r="BH472" s="676"/>
      <c r="BI472" s="676"/>
      <c r="BJ472" s="676"/>
      <c r="BK472" s="676"/>
      <c r="BL472" s="676"/>
      <c r="BM472" s="676"/>
      <c r="BN472" s="676"/>
      <c r="BO472" s="676"/>
      <c r="BP472" s="676"/>
      <c r="BQ472" s="676"/>
      <c r="BR472" s="677"/>
      <c r="BS472" s="627"/>
      <c r="BT472" s="628"/>
      <c r="BU472" s="628"/>
      <c r="BV472" s="628"/>
      <c r="BW472" s="628"/>
      <c r="BX472" s="628"/>
      <c r="BY472" s="628"/>
      <c r="BZ472" s="628"/>
      <c r="CA472" s="628"/>
      <c r="CB472" s="628"/>
      <c r="CC472" s="628"/>
      <c r="CD472" s="628"/>
      <c r="CE472" s="628"/>
      <c r="CF472" s="628"/>
      <c r="CG472" s="628"/>
      <c r="CH472" s="629"/>
      <c r="CI472" s="627"/>
      <c r="CJ472" s="628"/>
      <c r="CK472" s="628"/>
      <c r="CL472" s="628"/>
      <c r="CM472" s="628"/>
      <c r="CN472" s="628"/>
      <c r="CO472" s="628"/>
      <c r="CP472" s="628"/>
      <c r="CQ472" s="628"/>
      <c r="CR472" s="628"/>
      <c r="CS472" s="628"/>
      <c r="CT472" s="628"/>
      <c r="CU472" s="628"/>
      <c r="CV472" s="628"/>
      <c r="CW472" s="628"/>
      <c r="CX472" s="628"/>
      <c r="CY472" s="628"/>
      <c r="CZ472" s="629"/>
      <c r="DA472" s="214"/>
    </row>
    <row r="473" spans="1:105" s="16" customFormat="1" ht="18" hidden="1" customHeight="1" x14ac:dyDescent="0.3">
      <c r="A473" s="630" t="s">
        <v>628</v>
      </c>
      <c r="B473" s="631"/>
      <c r="C473" s="631"/>
      <c r="D473" s="631"/>
      <c r="E473" s="631"/>
      <c r="F473" s="631"/>
      <c r="G473" s="632"/>
      <c r="H473" s="584" t="s">
        <v>966</v>
      </c>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5"/>
      <c r="AL473" s="585"/>
      <c r="AM473" s="585"/>
      <c r="AN473" s="585"/>
      <c r="AO473" s="585"/>
      <c r="AP473" s="585"/>
      <c r="AQ473" s="585"/>
      <c r="AR473" s="585"/>
      <c r="AS473" s="585"/>
      <c r="AT473" s="585"/>
      <c r="AU473" s="585"/>
      <c r="AV473" s="585"/>
      <c r="AW473" s="585"/>
      <c r="AX473" s="585"/>
      <c r="AY473" s="585"/>
      <c r="AZ473" s="585"/>
      <c r="BA473" s="585"/>
      <c r="BB473" s="586"/>
      <c r="BC473" s="675">
        <v>1</v>
      </c>
      <c r="BD473" s="676"/>
      <c r="BE473" s="676"/>
      <c r="BF473" s="676"/>
      <c r="BG473" s="676"/>
      <c r="BH473" s="676"/>
      <c r="BI473" s="676"/>
      <c r="BJ473" s="676"/>
      <c r="BK473" s="676"/>
      <c r="BL473" s="676"/>
      <c r="BM473" s="676"/>
      <c r="BN473" s="676"/>
      <c r="BO473" s="676"/>
      <c r="BP473" s="676"/>
      <c r="BQ473" s="676"/>
      <c r="BR473" s="677"/>
      <c r="BS473" s="627">
        <v>10000</v>
      </c>
      <c r="BT473" s="628"/>
      <c r="BU473" s="628"/>
      <c r="BV473" s="628"/>
      <c r="BW473" s="628"/>
      <c r="BX473" s="628"/>
      <c r="BY473" s="628"/>
      <c r="BZ473" s="628"/>
      <c r="CA473" s="628"/>
      <c r="CB473" s="628"/>
      <c r="CC473" s="628"/>
      <c r="CD473" s="628"/>
      <c r="CE473" s="628"/>
      <c r="CF473" s="628"/>
      <c r="CG473" s="628"/>
      <c r="CH473" s="629"/>
      <c r="CI473" s="627"/>
      <c r="CJ473" s="628"/>
      <c r="CK473" s="628"/>
      <c r="CL473" s="628"/>
      <c r="CM473" s="628"/>
      <c r="CN473" s="628"/>
      <c r="CO473" s="628"/>
      <c r="CP473" s="628"/>
      <c r="CQ473" s="628"/>
      <c r="CR473" s="628"/>
      <c r="CS473" s="628"/>
      <c r="CT473" s="628"/>
      <c r="CU473" s="628"/>
      <c r="CV473" s="628"/>
      <c r="CW473" s="628"/>
      <c r="CX473" s="628"/>
      <c r="CY473" s="628"/>
      <c r="CZ473" s="629"/>
      <c r="DA473" s="214"/>
    </row>
    <row r="474" spans="1:105" s="16" customFormat="1" ht="18" hidden="1" customHeight="1" x14ac:dyDescent="0.3">
      <c r="A474" s="630" t="s">
        <v>625</v>
      </c>
      <c r="B474" s="631"/>
      <c r="C474" s="631"/>
      <c r="D474" s="631"/>
      <c r="E474" s="631"/>
      <c r="F474" s="631"/>
      <c r="G474" s="632"/>
      <c r="H474" s="584" t="s">
        <v>829</v>
      </c>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5"/>
      <c r="AL474" s="585"/>
      <c r="AM474" s="585"/>
      <c r="AN474" s="585"/>
      <c r="AO474" s="585"/>
      <c r="AP474" s="585"/>
      <c r="AQ474" s="585"/>
      <c r="AR474" s="585"/>
      <c r="AS474" s="585"/>
      <c r="AT474" s="585"/>
      <c r="AU474" s="585"/>
      <c r="AV474" s="585"/>
      <c r="AW474" s="585"/>
      <c r="AX474" s="585"/>
      <c r="AY474" s="585"/>
      <c r="AZ474" s="585"/>
      <c r="BA474" s="585"/>
      <c r="BB474" s="586"/>
      <c r="BC474" s="675">
        <v>1</v>
      </c>
      <c r="BD474" s="676"/>
      <c r="BE474" s="676"/>
      <c r="BF474" s="676"/>
      <c r="BG474" s="676"/>
      <c r="BH474" s="676"/>
      <c r="BI474" s="676"/>
      <c r="BJ474" s="676"/>
      <c r="BK474" s="676"/>
      <c r="BL474" s="676"/>
      <c r="BM474" s="676"/>
      <c r="BN474" s="676"/>
      <c r="BO474" s="676"/>
      <c r="BP474" s="676"/>
      <c r="BQ474" s="676"/>
      <c r="BR474" s="677"/>
      <c r="BS474" s="627">
        <v>5000</v>
      </c>
      <c r="BT474" s="628"/>
      <c r="BU474" s="628"/>
      <c r="BV474" s="628"/>
      <c r="BW474" s="628"/>
      <c r="BX474" s="628"/>
      <c r="BY474" s="628"/>
      <c r="BZ474" s="628"/>
      <c r="CA474" s="628"/>
      <c r="CB474" s="628"/>
      <c r="CC474" s="628"/>
      <c r="CD474" s="628"/>
      <c r="CE474" s="628"/>
      <c r="CF474" s="628"/>
      <c r="CG474" s="628"/>
      <c r="CH474" s="629"/>
      <c r="CI474" s="627"/>
      <c r="CJ474" s="628"/>
      <c r="CK474" s="628"/>
      <c r="CL474" s="628"/>
      <c r="CM474" s="628"/>
      <c r="CN474" s="628"/>
      <c r="CO474" s="628"/>
      <c r="CP474" s="628"/>
      <c r="CQ474" s="628"/>
      <c r="CR474" s="628"/>
      <c r="CS474" s="628"/>
      <c r="CT474" s="628"/>
      <c r="CU474" s="628"/>
      <c r="CV474" s="628"/>
      <c r="CW474" s="628"/>
      <c r="CX474" s="628"/>
      <c r="CY474" s="628"/>
      <c r="CZ474" s="629"/>
      <c r="DA474" s="214"/>
    </row>
    <row r="475" spans="1:105" s="16" customFormat="1" ht="15" hidden="1" customHeight="1" x14ac:dyDescent="0.3">
      <c r="A475" s="630" t="s">
        <v>388</v>
      </c>
      <c r="B475" s="631"/>
      <c r="C475" s="631"/>
      <c r="D475" s="631"/>
      <c r="E475" s="631"/>
      <c r="F475" s="631"/>
      <c r="G475" s="632"/>
      <c r="H475" s="584" t="s">
        <v>630</v>
      </c>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5"/>
      <c r="AL475" s="585"/>
      <c r="AM475" s="585"/>
      <c r="AN475" s="585"/>
      <c r="AO475" s="585"/>
      <c r="AP475" s="585"/>
      <c r="AQ475" s="585"/>
      <c r="AR475" s="585"/>
      <c r="AS475" s="585"/>
      <c r="AT475" s="585"/>
      <c r="AU475" s="585"/>
      <c r="AV475" s="585"/>
      <c r="AW475" s="585"/>
      <c r="AX475" s="585"/>
      <c r="AY475" s="585"/>
      <c r="AZ475" s="585"/>
      <c r="BA475" s="585"/>
      <c r="BB475" s="586"/>
      <c r="BC475" s="675">
        <v>1</v>
      </c>
      <c r="BD475" s="676"/>
      <c r="BE475" s="676"/>
      <c r="BF475" s="676"/>
      <c r="BG475" s="676"/>
      <c r="BH475" s="676"/>
      <c r="BI475" s="676"/>
      <c r="BJ475" s="676"/>
      <c r="BK475" s="676"/>
      <c r="BL475" s="676"/>
      <c r="BM475" s="676"/>
      <c r="BN475" s="676"/>
      <c r="BO475" s="676"/>
      <c r="BP475" s="676"/>
      <c r="BQ475" s="676"/>
      <c r="BR475" s="677"/>
      <c r="BS475" s="627">
        <v>5000</v>
      </c>
      <c r="BT475" s="628"/>
      <c r="BU475" s="628"/>
      <c r="BV475" s="628"/>
      <c r="BW475" s="628"/>
      <c r="BX475" s="628"/>
      <c r="BY475" s="628"/>
      <c r="BZ475" s="628"/>
      <c r="CA475" s="628"/>
      <c r="CB475" s="628"/>
      <c r="CC475" s="628"/>
      <c r="CD475" s="628"/>
      <c r="CE475" s="628"/>
      <c r="CF475" s="628"/>
      <c r="CG475" s="628"/>
      <c r="CH475" s="629"/>
      <c r="CI475" s="627"/>
      <c r="CJ475" s="628"/>
      <c r="CK475" s="628"/>
      <c r="CL475" s="628"/>
      <c r="CM475" s="628"/>
      <c r="CN475" s="628"/>
      <c r="CO475" s="628"/>
      <c r="CP475" s="628"/>
      <c r="CQ475" s="628"/>
      <c r="CR475" s="628"/>
      <c r="CS475" s="628"/>
      <c r="CT475" s="628"/>
      <c r="CU475" s="628"/>
      <c r="CV475" s="628"/>
      <c r="CW475" s="628"/>
      <c r="CX475" s="628"/>
      <c r="CY475" s="628"/>
      <c r="CZ475" s="629"/>
      <c r="DA475" s="214"/>
    </row>
    <row r="476" spans="1:105" s="16" customFormat="1" ht="21" hidden="1" customHeight="1" x14ac:dyDescent="0.3">
      <c r="A476" s="630" t="s">
        <v>631</v>
      </c>
      <c r="B476" s="631"/>
      <c r="C476" s="631"/>
      <c r="D476" s="631"/>
      <c r="E476" s="631"/>
      <c r="F476" s="631"/>
      <c r="G476" s="632"/>
      <c r="H476" s="584" t="s">
        <v>632</v>
      </c>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c r="AV476" s="585"/>
      <c r="AW476" s="585"/>
      <c r="AX476" s="585"/>
      <c r="AY476" s="585"/>
      <c r="AZ476" s="585"/>
      <c r="BA476" s="585"/>
      <c r="BB476" s="586"/>
      <c r="BC476" s="675">
        <v>1</v>
      </c>
      <c r="BD476" s="676"/>
      <c r="BE476" s="676"/>
      <c r="BF476" s="676"/>
      <c r="BG476" s="676"/>
      <c r="BH476" s="676"/>
      <c r="BI476" s="676"/>
      <c r="BJ476" s="676"/>
      <c r="BK476" s="676"/>
      <c r="BL476" s="676"/>
      <c r="BM476" s="676"/>
      <c r="BN476" s="676"/>
      <c r="BO476" s="676"/>
      <c r="BP476" s="676"/>
      <c r="BQ476" s="676"/>
      <c r="BR476" s="677"/>
      <c r="BS476" s="627"/>
      <c r="BT476" s="628"/>
      <c r="BU476" s="628"/>
      <c r="BV476" s="628"/>
      <c r="BW476" s="628"/>
      <c r="BX476" s="628"/>
      <c r="BY476" s="628"/>
      <c r="BZ476" s="628"/>
      <c r="CA476" s="628"/>
      <c r="CB476" s="628"/>
      <c r="CC476" s="628"/>
      <c r="CD476" s="628"/>
      <c r="CE476" s="628"/>
      <c r="CF476" s="628"/>
      <c r="CG476" s="628"/>
      <c r="CH476" s="629"/>
      <c r="CI476" s="627"/>
      <c r="CJ476" s="628"/>
      <c r="CK476" s="628"/>
      <c r="CL476" s="628"/>
      <c r="CM476" s="628"/>
      <c r="CN476" s="628"/>
      <c r="CO476" s="628"/>
      <c r="CP476" s="628"/>
      <c r="CQ476" s="628"/>
      <c r="CR476" s="628"/>
      <c r="CS476" s="628"/>
      <c r="CT476" s="628"/>
      <c r="CU476" s="628"/>
      <c r="CV476" s="628"/>
      <c r="CW476" s="628"/>
      <c r="CX476" s="628"/>
      <c r="CY476" s="628"/>
      <c r="CZ476" s="629"/>
      <c r="DA476" s="214"/>
    </row>
    <row r="477" spans="1:105" s="16" customFormat="1" ht="26.25" hidden="1" customHeight="1" x14ac:dyDescent="0.3">
      <c r="A477" s="630" t="s">
        <v>631</v>
      </c>
      <c r="B477" s="631"/>
      <c r="C477" s="631"/>
      <c r="D477" s="631"/>
      <c r="E477" s="631"/>
      <c r="F477" s="631"/>
      <c r="G477" s="632"/>
      <c r="H477" s="584" t="s">
        <v>633</v>
      </c>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5"/>
      <c r="AL477" s="585"/>
      <c r="AM477" s="585"/>
      <c r="AN477" s="585"/>
      <c r="AO477" s="585"/>
      <c r="AP477" s="585"/>
      <c r="AQ477" s="585"/>
      <c r="AR477" s="585"/>
      <c r="AS477" s="585"/>
      <c r="AT477" s="585"/>
      <c r="AU477" s="585"/>
      <c r="AV477" s="585"/>
      <c r="AW477" s="585"/>
      <c r="AX477" s="585"/>
      <c r="AY477" s="585"/>
      <c r="AZ477" s="585"/>
      <c r="BA477" s="585"/>
      <c r="BB477" s="586"/>
      <c r="BC477" s="675">
        <v>1</v>
      </c>
      <c r="BD477" s="676"/>
      <c r="BE477" s="676"/>
      <c r="BF477" s="676"/>
      <c r="BG477" s="676"/>
      <c r="BH477" s="676"/>
      <c r="BI477" s="676"/>
      <c r="BJ477" s="676"/>
      <c r="BK477" s="676"/>
      <c r="BL477" s="676"/>
      <c r="BM477" s="676"/>
      <c r="BN477" s="676"/>
      <c r="BO477" s="676"/>
      <c r="BP477" s="676"/>
      <c r="BQ477" s="676"/>
      <c r="BR477" s="677"/>
      <c r="BS477" s="627"/>
      <c r="BT477" s="628"/>
      <c r="BU477" s="628"/>
      <c r="BV477" s="628"/>
      <c r="BW477" s="628"/>
      <c r="BX477" s="628"/>
      <c r="BY477" s="628"/>
      <c r="BZ477" s="628"/>
      <c r="CA477" s="628"/>
      <c r="CB477" s="628"/>
      <c r="CC477" s="628"/>
      <c r="CD477" s="628"/>
      <c r="CE477" s="628"/>
      <c r="CF477" s="628"/>
      <c r="CG477" s="628"/>
      <c r="CH477" s="629"/>
      <c r="CI477" s="627"/>
      <c r="CJ477" s="628"/>
      <c r="CK477" s="628"/>
      <c r="CL477" s="628"/>
      <c r="CM477" s="628"/>
      <c r="CN477" s="628"/>
      <c r="CO477" s="628"/>
      <c r="CP477" s="628"/>
      <c r="CQ477" s="628"/>
      <c r="CR477" s="628"/>
      <c r="CS477" s="628"/>
      <c r="CT477" s="628"/>
      <c r="CU477" s="628"/>
      <c r="CV477" s="628"/>
      <c r="CW477" s="628"/>
      <c r="CX477" s="628"/>
      <c r="CY477" s="628"/>
      <c r="CZ477" s="629"/>
      <c r="DA477" s="214"/>
    </row>
    <row r="478" spans="1:105" s="16" customFormat="1" ht="27" hidden="1" customHeight="1" x14ac:dyDescent="0.3">
      <c r="A478" s="630" t="s">
        <v>629</v>
      </c>
      <c r="B478" s="631"/>
      <c r="C478" s="631"/>
      <c r="D478" s="631"/>
      <c r="E478" s="631"/>
      <c r="F478" s="631"/>
      <c r="G478" s="632"/>
      <c r="H478" s="584" t="s">
        <v>831</v>
      </c>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5"/>
      <c r="AL478" s="585"/>
      <c r="AM478" s="585"/>
      <c r="AN478" s="585"/>
      <c r="AO478" s="585"/>
      <c r="AP478" s="585"/>
      <c r="AQ478" s="585"/>
      <c r="AR478" s="585"/>
      <c r="AS478" s="585"/>
      <c r="AT478" s="585"/>
      <c r="AU478" s="585"/>
      <c r="AV478" s="585"/>
      <c r="AW478" s="585"/>
      <c r="AX478" s="585"/>
      <c r="AY478" s="585"/>
      <c r="AZ478" s="585"/>
      <c r="BA478" s="585"/>
      <c r="BB478" s="586"/>
      <c r="BC478" s="675">
        <v>1</v>
      </c>
      <c r="BD478" s="676"/>
      <c r="BE478" s="676"/>
      <c r="BF478" s="676"/>
      <c r="BG478" s="676"/>
      <c r="BH478" s="676"/>
      <c r="BI478" s="676"/>
      <c r="BJ478" s="676"/>
      <c r="BK478" s="676"/>
      <c r="BL478" s="676"/>
      <c r="BM478" s="676"/>
      <c r="BN478" s="676"/>
      <c r="BO478" s="676"/>
      <c r="BP478" s="676"/>
      <c r="BQ478" s="676"/>
      <c r="BR478" s="677"/>
      <c r="BS478" s="627"/>
      <c r="BT478" s="628"/>
      <c r="BU478" s="628"/>
      <c r="BV478" s="628"/>
      <c r="BW478" s="628"/>
      <c r="BX478" s="628"/>
      <c r="BY478" s="628"/>
      <c r="BZ478" s="628"/>
      <c r="CA478" s="628"/>
      <c r="CB478" s="628"/>
      <c r="CC478" s="628"/>
      <c r="CD478" s="628"/>
      <c r="CE478" s="628"/>
      <c r="CF478" s="628"/>
      <c r="CG478" s="628"/>
      <c r="CH478" s="629"/>
      <c r="CI478" s="627"/>
      <c r="CJ478" s="628"/>
      <c r="CK478" s="628"/>
      <c r="CL478" s="628"/>
      <c r="CM478" s="628"/>
      <c r="CN478" s="628"/>
      <c r="CO478" s="628"/>
      <c r="CP478" s="628"/>
      <c r="CQ478" s="628"/>
      <c r="CR478" s="628"/>
      <c r="CS478" s="628"/>
      <c r="CT478" s="628"/>
      <c r="CU478" s="628"/>
      <c r="CV478" s="628"/>
      <c r="CW478" s="628"/>
      <c r="CX478" s="628"/>
      <c r="CY478" s="628"/>
      <c r="CZ478" s="629"/>
      <c r="DA478" s="214"/>
    </row>
    <row r="479" spans="1:105" s="16" customFormat="1" ht="25.2" hidden="1" customHeight="1" x14ac:dyDescent="0.3">
      <c r="A479" s="630" t="s">
        <v>631</v>
      </c>
      <c r="B479" s="631"/>
      <c r="C479" s="631"/>
      <c r="D479" s="631"/>
      <c r="E479" s="631"/>
      <c r="F479" s="631"/>
      <c r="G479" s="632"/>
      <c r="H479" s="584" t="s">
        <v>885</v>
      </c>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5"/>
      <c r="AL479" s="585"/>
      <c r="AM479" s="585"/>
      <c r="AN479" s="585"/>
      <c r="AO479" s="585"/>
      <c r="AP479" s="585"/>
      <c r="AQ479" s="585"/>
      <c r="AR479" s="585"/>
      <c r="AS479" s="585"/>
      <c r="AT479" s="585"/>
      <c r="AU479" s="585"/>
      <c r="AV479" s="585"/>
      <c r="AW479" s="585"/>
      <c r="AX479" s="585"/>
      <c r="AY479" s="585"/>
      <c r="AZ479" s="585"/>
      <c r="BA479" s="585"/>
      <c r="BB479" s="586"/>
      <c r="BC479" s="675">
        <v>1</v>
      </c>
      <c r="BD479" s="676"/>
      <c r="BE479" s="676"/>
      <c r="BF479" s="676"/>
      <c r="BG479" s="676"/>
      <c r="BH479" s="676"/>
      <c r="BI479" s="676"/>
      <c r="BJ479" s="676"/>
      <c r="BK479" s="676"/>
      <c r="BL479" s="676"/>
      <c r="BM479" s="676"/>
      <c r="BN479" s="676"/>
      <c r="BO479" s="676"/>
      <c r="BP479" s="676"/>
      <c r="BQ479" s="676"/>
      <c r="BR479" s="677"/>
      <c r="BS479" s="627"/>
      <c r="BT479" s="628"/>
      <c r="BU479" s="628"/>
      <c r="BV479" s="628"/>
      <c r="BW479" s="628"/>
      <c r="BX479" s="628"/>
      <c r="BY479" s="628"/>
      <c r="BZ479" s="628"/>
      <c r="CA479" s="628"/>
      <c r="CB479" s="628"/>
      <c r="CC479" s="628"/>
      <c r="CD479" s="628"/>
      <c r="CE479" s="628"/>
      <c r="CF479" s="628"/>
      <c r="CG479" s="628"/>
      <c r="CH479" s="629"/>
      <c r="CI479" s="627"/>
      <c r="CJ479" s="628"/>
      <c r="CK479" s="628"/>
      <c r="CL479" s="628"/>
      <c r="CM479" s="628"/>
      <c r="CN479" s="628"/>
      <c r="CO479" s="628"/>
      <c r="CP479" s="628"/>
      <c r="CQ479" s="628"/>
      <c r="CR479" s="628"/>
      <c r="CS479" s="628"/>
      <c r="CT479" s="628"/>
      <c r="CU479" s="628"/>
      <c r="CV479" s="628"/>
      <c r="CW479" s="628"/>
      <c r="CX479" s="628"/>
      <c r="CY479" s="628"/>
      <c r="CZ479" s="629"/>
      <c r="DA479" s="214"/>
    </row>
    <row r="480" spans="1:105" s="16" customFormat="1" ht="25.2" hidden="1" customHeight="1" x14ac:dyDescent="0.3">
      <c r="A480" s="630" t="s">
        <v>830</v>
      </c>
      <c r="B480" s="631"/>
      <c r="C480" s="631"/>
      <c r="D480" s="631"/>
      <c r="E480" s="631"/>
      <c r="F480" s="631"/>
      <c r="G480" s="632"/>
      <c r="H480" s="584" t="s">
        <v>956</v>
      </c>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5"/>
      <c r="AL480" s="585"/>
      <c r="AM480" s="585"/>
      <c r="AN480" s="585"/>
      <c r="AO480" s="585"/>
      <c r="AP480" s="585"/>
      <c r="AQ480" s="585"/>
      <c r="AR480" s="585"/>
      <c r="AS480" s="585"/>
      <c r="AT480" s="585"/>
      <c r="AU480" s="585"/>
      <c r="AV480" s="585"/>
      <c r="AW480" s="585"/>
      <c r="AX480" s="585"/>
      <c r="AY480" s="585"/>
      <c r="AZ480" s="585"/>
      <c r="BA480" s="585"/>
      <c r="BB480" s="586"/>
      <c r="BC480" s="675">
        <v>1</v>
      </c>
      <c r="BD480" s="676"/>
      <c r="BE480" s="676"/>
      <c r="BF480" s="676"/>
      <c r="BG480" s="676"/>
      <c r="BH480" s="676"/>
      <c r="BI480" s="676"/>
      <c r="BJ480" s="676"/>
      <c r="BK480" s="676"/>
      <c r="BL480" s="676"/>
      <c r="BM480" s="676"/>
      <c r="BN480" s="676"/>
      <c r="BO480" s="676"/>
      <c r="BP480" s="676"/>
      <c r="BQ480" s="676"/>
      <c r="BR480" s="677"/>
      <c r="BS480" s="627">
        <v>4000</v>
      </c>
      <c r="BT480" s="628"/>
      <c r="BU480" s="628"/>
      <c r="BV480" s="628"/>
      <c r="BW480" s="628"/>
      <c r="BX480" s="628"/>
      <c r="BY480" s="628"/>
      <c r="BZ480" s="628"/>
      <c r="CA480" s="628"/>
      <c r="CB480" s="628"/>
      <c r="CC480" s="628"/>
      <c r="CD480" s="628"/>
      <c r="CE480" s="628"/>
      <c r="CF480" s="628"/>
      <c r="CG480" s="628"/>
      <c r="CH480" s="629"/>
      <c r="CI480" s="627"/>
      <c r="CJ480" s="628"/>
      <c r="CK480" s="628"/>
      <c r="CL480" s="628"/>
      <c r="CM480" s="628"/>
      <c r="CN480" s="628"/>
      <c r="CO480" s="628"/>
      <c r="CP480" s="628"/>
      <c r="CQ480" s="628"/>
      <c r="CR480" s="628"/>
      <c r="CS480" s="628"/>
      <c r="CT480" s="628"/>
      <c r="CU480" s="628"/>
      <c r="CV480" s="628"/>
      <c r="CW480" s="628"/>
      <c r="CX480" s="628"/>
      <c r="CY480" s="628"/>
      <c r="CZ480" s="629"/>
      <c r="DA480" s="214"/>
    </row>
    <row r="481" spans="1:106" s="16" customFormat="1" ht="15" customHeight="1" x14ac:dyDescent="0.3">
      <c r="A481" s="633" t="s">
        <v>292</v>
      </c>
      <c r="B481" s="634"/>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4"/>
      <c r="AY481" s="634"/>
      <c r="AZ481" s="634"/>
      <c r="BA481" s="634"/>
      <c r="BB481" s="635"/>
      <c r="BC481" s="544" t="s">
        <v>4</v>
      </c>
      <c r="BD481" s="545"/>
      <c r="BE481" s="545"/>
      <c r="BF481" s="545"/>
      <c r="BG481" s="545"/>
      <c r="BH481" s="545"/>
      <c r="BI481" s="545"/>
      <c r="BJ481" s="545"/>
      <c r="BK481" s="545"/>
      <c r="BL481" s="545"/>
      <c r="BM481" s="545"/>
      <c r="BN481" s="545"/>
      <c r="BO481" s="545"/>
      <c r="BP481" s="545"/>
      <c r="BQ481" s="545"/>
      <c r="BR481" s="546"/>
      <c r="BS481" s="544" t="s">
        <v>4</v>
      </c>
      <c r="BT481" s="545"/>
      <c r="BU481" s="545"/>
      <c r="BV481" s="545"/>
      <c r="BW481" s="545"/>
      <c r="BX481" s="545"/>
      <c r="BY481" s="545"/>
      <c r="BZ481" s="545"/>
      <c r="CA481" s="545"/>
      <c r="CB481" s="545"/>
      <c r="CC481" s="545"/>
      <c r="CD481" s="545"/>
      <c r="CE481" s="545"/>
      <c r="CF481" s="545"/>
      <c r="CG481" s="545"/>
      <c r="CH481" s="546"/>
      <c r="CI481" s="636">
        <f>SUM(CI441:CZ479)+CI477+CI480</f>
        <v>194836.61</v>
      </c>
      <c r="CJ481" s="654"/>
      <c r="CK481" s="654"/>
      <c r="CL481" s="654"/>
      <c r="CM481" s="654"/>
      <c r="CN481" s="654"/>
      <c r="CO481" s="654"/>
      <c r="CP481" s="654"/>
      <c r="CQ481" s="654"/>
      <c r="CR481" s="654"/>
      <c r="CS481" s="654"/>
      <c r="CT481" s="654"/>
      <c r="CU481" s="654"/>
      <c r="CV481" s="654"/>
      <c r="CW481" s="654"/>
      <c r="CX481" s="654"/>
      <c r="CY481" s="654"/>
      <c r="CZ481" s="655"/>
      <c r="DA481" s="214"/>
    </row>
    <row r="482" spans="1:106" s="16" customFormat="1" ht="15" customHeight="1" x14ac:dyDescent="0.3">
      <c r="A482" s="648" t="s">
        <v>634</v>
      </c>
      <c r="B482" s="649"/>
      <c r="C482" s="649"/>
      <c r="D482" s="649"/>
      <c r="E482" s="649"/>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649"/>
      <c r="AY482" s="649"/>
      <c r="AZ482" s="649"/>
      <c r="BA482" s="649"/>
      <c r="BB482" s="649"/>
      <c r="BC482" s="649"/>
      <c r="BD482" s="649"/>
      <c r="BE482" s="649"/>
      <c r="BF482" s="649"/>
      <c r="BG482" s="649"/>
      <c r="BH482" s="649"/>
      <c r="BI482" s="649"/>
      <c r="BJ482" s="649"/>
      <c r="BK482" s="649"/>
      <c r="BL482" s="649"/>
      <c r="BM482" s="649"/>
      <c r="BN482" s="649"/>
      <c r="BO482" s="649"/>
      <c r="BP482" s="649"/>
      <c r="BQ482" s="649"/>
      <c r="BR482" s="649"/>
      <c r="BS482" s="649"/>
      <c r="BT482" s="649"/>
      <c r="BU482" s="649"/>
      <c r="BV482" s="649"/>
      <c r="BW482" s="649"/>
      <c r="BX482" s="649"/>
      <c r="BY482" s="649"/>
      <c r="BZ482" s="649"/>
      <c r="CA482" s="649"/>
      <c r="CB482" s="649"/>
      <c r="CC482" s="649"/>
      <c r="CD482" s="649"/>
      <c r="CE482" s="649"/>
      <c r="CF482" s="649"/>
      <c r="CG482" s="649"/>
      <c r="CH482" s="649"/>
      <c r="CI482" s="649"/>
      <c r="CJ482" s="649"/>
      <c r="CK482" s="649"/>
      <c r="CL482" s="649"/>
      <c r="CM482" s="649"/>
      <c r="CN482" s="649"/>
      <c r="CO482" s="649"/>
      <c r="CP482" s="649"/>
      <c r="CQ482" s="649"/>
      <c r="CR482" s="649"/>
      <c r="CS482" s="649"/>
      <c r="CT482" s="649"/>
      <c r="CU482" s="649"/>
      <c r="CV482" s="649"/>
      <c r="CW482" s="649"/>
      <c r="CX482" s="649"/>
      <c r="CY482" s="649"/>
      <c r="CZ482" s="649"/>
      <c r="DA482" s="214"/>
    </row>
    <row r="483" spans="1:106" s="16" customFormat="1" ht="15" hidden="1" customHeight="1" x14ac:dyDescent="0.3">
      <c r="A483" s="630" t="s">
        <v>441</v>
      </c>
      <c r="B483" s="631"/>
      <c r="C483" s="631"/>
      <c r="D483" s="631"/>
      <c r="E483" s="631"/>
      <c r="F483" s="631"/>
      <c r="G483" s="632"/>
      <c r="H483" s="584" t="s">
        <v>635</v>
      </c>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5"/>
      <c r="AL483" s="585"/>
      <c r="AM483" s="585"/>
      <c r="AN483" s="585"/>
      <c r="AO483" s="585"/>
      <c r="AP483" s="585"/>
      <c r="AQ483" s="585"/>
      <c r="AR483" s="585"/>
      <c r="AS483" s="585"/>
      <c r="AT483" s="585"/>
      <c r="AU483" s="585"/>
      <c r="AV483" s="585"/>
      <c r="AW483" s="585"/>
      <c r="AX483" s="585"/>
      <c r="AY483" s="585"/>
      <c r="AZ483" s="585"/>
      <c r="BA483" s="585"/>
      <c r="BB483" s="586"/>
      <c r="BC483" s="675">
        <v>1</v>
      </c>
      <c r="BD483" s="676"/>
      <c r="BE483" s="676"/>
      <c r="BF483" s="676"/>
      <c r="BG483" s="676"/>
      <c r="BH483" s="676"/>
      <c r="BI483" s="676"/>
      <c r="BJ483" s="676"/>
      <c r="BK483" s="676"/>
      <c r="BL483" s="676"/>
      <c r="BM483" s="676"/>
      <c r="BN483" s="676"/>
      <c r="BO483" s="676"/>
      <c r="BP483" s="676"/>
      <c r="BQ483" s="676"/>
      <c r="BR483" s="677"/>
      <c r="BS483" s="627">
        <f>CI483/BC483</f>
        <v>0</v>
      </c>
      <c r="BT483" s="628"/>
      <c r="BU483" s="628"/>
      <c r="BV483" s="628"/>
      <c r="BW483" s="628"/>
      <c r="BX483" s="628"/>
      <c r="BY483" s="628"/>
      <c r="BZ483" s="628"/>
      <c r="CA483" s="628"/>
      <c r="CB483" s="628"/>
      <c r="CC483" s="628"/>
      <c r="CD483" s="628"/>
      <c r="CE483" s="628"/>
      <c r="CF483" s="628"/>
      <c r="CG483" s="628"/>
      <c r="CH483" s="629"/>
      <c r="CI483" s="627"/>
      <c r="CJ483" s="628"/>
      <c r="CK483" s="628"/>
      <c r="CL483" s="628"/>
      <c r="CM483" s="628"/>
      <c r="CN483" s="628"/>
      <c r="CO483" s="628"/>
      <c r="CP483" s="628"/>
      <c r="CQ483" s="628"/>
      <c r="CR483" s="628"/>
      <c r="CS483" s="628"/>
      <c r="CT483" s="628"/>
      <c r="CU483" s="628"/>
      <c r="CV483" s="628"/>
      <c r="CW483" s="628"/>
      <c r="CX483" s="628"/>
      <c r="CY483" s="628"/>
      <c r="CZ483" s="629"/>
      <c r="DA483" s="214"/>
    </row>
    <row r="484" spans="1:106" s="16" customFormat="1" ht="21" customHeight="1" x14ac:dyDescent="0.3">
      <c r="A484" s="630" t="s">
        <v>444</v>
      </c>
      <c r="B484" s="631"/>
      <c r="C484" s="631"/>
      <c r="D484" s="631"/>
      <c r="E484" s="631"/>
      <c r="F484" s="631"/>
      <c r="G484" s="632"/>
      <c r="H484" s="584" t="s">
        <v>833</v>
      </c>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585"/>
      <c r="AY484" s="585"/>
      <c r="AZ484" s="585"/>
      <c r="BA484" s="585"/>
      <c r="BB484" s="586"/>
      <c r="BC484" s="675">
        <v>1</v>
      </c>
      <c r="BD484" s="676"/>
      <c r="BE484" s="676"/>
      <c r="BF484" s="676"/>
      <c r="BG484" s="676"/>
      <c r="BH484" s="676"/>
      <c r="BI484" s="676"/>
      <c r="BJ484" s="676"/>
      <c r="BK484" s="676"/>
      <c r="BL484" s="676"/>
      <c r="BM484" s="676"/>
      <c r="BN484" s="676"/>
      <c r="BO484" s="676"/>
      <c r="BP484" s="676"/>
      <c r="BQ484" s="676"/>
      <c r="BR484" s="677"/>
      <c r="BS484" s="627">
        <f>CI484/BC484</f>
        <v>9589.99</v>
      </c>
      <c r="BT484" s="628"/>
      <c r="BU484" s="628"/>
      <c r="BV484" s="628"/>
      <c r="BW484" s="628"/>
      <c r="BX484" s="628"/>
      <c r="BY484" s="628"/>
      <c r="BZ484" s="628"/>
      <c r="CA484" s="628"/>
      <c r="CB484" s="628"/>
      <c r="CC484" s="628"/>
      <c r="CD484" s="628"/>
      <c r="CE484" s="628"/>
      <c r="CF484" s="628"/>
      <c r="CG484" s="628"/>
      <c r="CH484" s="629"/>
      <c r="CI484" s="627">
        <f>10000-410.01</f>
        <v>9589.99</v>
      </c>
      <c r="CJ484" s="628"/>
      <c r="CK484" s="628"/>
      <c r="CL484" s="628"/>
      <c r="CM484" s="628"/>
      <c r="CN484" s="628"/>
      <c r="CO484" s="628"/>
      <c r="CP484" s="628"/>
      <c r="CQ484" s="628"/>
      <c r="CR484" s="628"/>
      <c r="CS484" s="628"/>
      <c r="CT484" s="628"/>
      <c r="CU484" s="628"/>
      <c r="CV484" s="628"/>
      <c r="CW484" s="628"/>
      <c r="CX484" s="628"/>
      <c r="CY484" s="628"/>
      <c r="CZ484" s="629"/>
      <c r="DA484" s="214"/>
    </row>
    <row r="485" spans="1:106" s="16" customFormat="1" ht="27.75" hidden="1" customHeight="1" x14ac:dyDescent="0.3">
      <c r="A485" s="630" t="s">
        <v>446</v>
      </c>
      <c r="B485" s="631"/>
      <c r="C485" s="631"/>
      <c r="D485" s="631"/>
      <c r="E485" s="631"/>
      <c r="F485" s="631"/>
      <c r="G485" s="632"/>
      <c r="H485" s="584" t="s">
        <v>896</v>
      </c>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5"/>
      <c r="AL485" s="585"/>
      <c r="AM485" s="585"/>
      <c r="AN485" s="585"/>
      <c r="AO485" s="585"/>
      <c r="AP485" s="585"/>
      <c r="AQ485" s="585"/>
      <c r="AR485" s="585"/>
      <c r="AS485" s="585"/>
      <c r="AT485" s="585"/>
      <c r="AU485" s="585"/>
      <c r="AV485" s="585"/>
      <c r="AW485" s="585"/>
      <c r="AX485" s="585"/>
      <c r="AY485" s="585"/>
      <c r="AZ485" s="585"/>
      <c r="BA485" s="585"/>
      <c r="BB485" s="586"/>
      <c r="BC485" s="675">
        <v>1</v>
      </c>
      <c r="BD485" s="676"/>
      <c r="BE485" s="676"/>
      <c r="BF485" s="676"/>
      <c r="BG485" s="676"/>
      <c r="BH485" s="676"/>
      <c r="BI485" s="676"/>
      <c r="BJ485" s="676"/>
      <c r="BK485" s="676"/>
      <c r="BL485" s="676"/>
      <c r="BM485" s="676"/>
      <c r="BN485" s="676"/>
      <c r="BO485" s="676"/>
      <c r="BP485" s="676"/>
      <c r="BQ485" s="676"/>
      <c r="BR485" s="677"/>
      <c r="BS485" s="627">
        <f>CI485/BC485</f>
        <v>0</v>
      </c>
      <c r="BT485" s="628"/>
      <c r="BU485" s="628"/>
      <c r="BV485" s="628"/>
      <c r="BW485" s="628"/>
      <c r="BX485" s="628"/>
      <c r="BY485" s="628"/>
      <c r="BZ485" s="628"/>
      <c r="CA485" s="628"/>
      <c r="CB485" s="628"/>
      <c r="CC485" s="628"/>
      <c r="CD485" s="628"/>
      <c r="CE485" s="628"/>
      <c r="CF485" s="628"/>
      <c r="CG485" s="628"/>
      <c r="CH485" s="629"/>
      <c r="CI485" s="627"/>
      <c r="CJ485" s="628"/>
      <c r="CK485" s="628"/>
      <c r="CL485" s="628"/>
      <c r="CM485" s="628"/>
      <c r="CN485" s="628"/>
      <c r="CO485" s="628"/>
      <c r="CP485" s="628"/>
      <c r="CQ485" s="628"/>
      <c r="CR485" s="628"/>
      <c r="CS485" s="628"/>
      <c r="CT485" s="628"/>
      <c r="CU485" s="628"/>
      <c r="CV485" s="628"/>
      <c r="CW485" s="628"/>
      <c r="CX485" s="628"/>
      <c r="CY485" s="628"/>
      <c r="CZ485" s="629"/>
      <c r="DA485" s="214"/>
    </row>
    <row r="486" spans="1:106" s="16" customFormat="1" ht="27.75" hidden="1" customHeight="1" x14ac:dyDescent="0.3">
      <c r="A486" s="630" t="s">
        <v>551</v>
      </c>
      <c r="B486" s="631"/>
      <c r="C486" s="631"/>
      <c r="D486" s="631"/>
      <c r="E486" s="631"/>
      <c r="F486" s="631"/>
      <c r="G486" s="632"/>
      <c r="H486" s="584" t="s">
        <v>928</v>
      </c>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5"/>
      <c r="AL486" s="585"/>
      <c r="AM486" s="585"/>
      <c r="AN486" s="585"/>
      <c r="AO486" s="585"/>
      <c r="AP486" s="585"/>
      <c r="AQ486" s="585"/>
      <c r="AR486" s="585"/>
      <c r="AS486" s="585"/>
      <c r="AT486" s="585"/>
      <c r="AU486" s="585"/>
      <c r="AV486" s="585"/>
      <c r="AW486" s="585"/>
      <c r="AX486" s="585"/>
      <c r="AY486" s="585"/>
      <c r="AZ486" s="585"/>
      <c r="BA486" s="585"/>
      <c r="BB486" s="586"/>
      <c r="BC486" s="675">
        <v>1</v>
      </c>
      <c r="BD486" s="676"/>
      <c r="BE486" s="676"/>
      <c r="BF486" s="676"/>
      <c r="BG486" s="676"/>
      <c r="BH486" s="676"/>
      <c r="BI486" s="676"/>
      <c r="BJ486" s="676"/>
      <c r="BK486" s="676"/>
      <c r="BL486" s="676"/>
      <c r="BM486" s="676"/>
      <c r="BN486" s="676"/>
      <c r="BO486" s="676"/>
      <c r="BP486" s="676"/>
      <c r="BQ486" s="676"/>
      <c r="BR486" s="677"/>
      <c r="BS486" s="627">
        <f>CI486/BC486</f>
        <v>0</v>
      </c>
      <c r="BT486" s="628"/>
      <c r="BU486" s="628"/>
      <c r="BV486" s="628"/>
      <c r="BW486" s="628"/>
      <c r="BX486" s="628"/>
      <c r="BY486" s="628"/>
      <c r="BZ486" s="628"/>
      <c r="CA486" s="628"/>
      <c r="CB486" s="628"/>
      <c r="CC486" s="628"/>
      <c r="CD486" s="628"/>
      <c r="CE486" s="628"/>
      <c r="CF486" s="628"/>
      <c r="CG486" s="628"/>
      <c r="CH486" s="629"/>
      <c r="CI486" s="627"/>
      <c r="CJ486" s="628"/>
      <c r="CK486" s="628"/>
      <c r="CL486" s="628"/>
      <c r="CM486" s="628"/>
      <c r="CN486" s="628"/>
      <c r="CO486" s="628"/>
      <c r="CP486" s="628"/>
      <c r="CQ486" s="628"/>
      <c r="CR486" s="628"/>
      <c r="CS486" s="628"/>
      <c r="CT486" s="628"/>
      <c r="CU486" s="628"/>
      <c r="CV486" s="628"/>
      <c r="CW486" s="628"/>
      <c r="CX486" s="628"/>
      <c r="CY486" s="628"/>
      <c r="CZ486" s="629"/>
      <c r="DA486" s="214"/>
    </row>
    <row r="487" spans="1:106" s="16" customFormat="1" ht="15" hidden="1" customHeight="1" x14ac:dyDescent="0.3">
      <c r="A487" s="630" t="s">
        <v>599</v>
      </c>
      <c r="B487" s="631"/>
      <c r="C487" s="631"/>
      <c r="D487" s="631"/>
      <c r="E487" s="631"/>
      <c r="F487" s="631"/>
      <c r="G487" s="632"/>
      <c r="H487" s="584" t="s">
        <v>929</v>
      </c>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5"/>
      <c r="AL487" s="585"/>
      <c r="AM487" s="585"/>
      <c r="AN487" s="585"/>
      <c r="AO487" s="585"/>
      <c r="AP487" s="585"/>
      <c r="AQ487" s="585"/>
      <c r="AR487" s="585"/>
      <c r="AS487" s="585"/>
      <c r="AT487" s="585"/>
      <c r="AU487" s="585"/>
      <c r="AV487" s="585"/>
      <c r="AW487" s="585"/>
      <c r="AX487" s="585"/>
      <c r="AY487" s="585"/>
      <c r="AZ487" s="585"/>
      <c r="BA487" s="585"/>
      <c r="BB487" s="586"/>
      <c r="BC487" s="675">
        <v>1</v>
      </c>
      <c r="BD487" s="676"/>
      <c r="BE487" s="676"/>
      <c r="BF487" s="676"/>
      <c r="BG487" s="676"/>
      <c r="BH487" s="676"/>
      <c r="BI487" s="676"/>
      <c r="BJ487" s="676"/>
      <c r="BK487" s="676"/>
      <c r="BL487" s="676"/>
      <c r="BM487" s="676"/>
      <c r="BN487" s="676"/>
      <c r="BO487" s="676"/>
      <c r="BP487" s="676"/>
      <c r="BQ487" s="676"/>
      <c r="BR487" s="677"/>
      <c r="BS487" s="627">
        <f>CI487/BC487</f>
        <v>0</v>
      </c>
      <c r="BT487" s="628"/>
      <c r="BU487" s="628"/>
      <c r="BV487" s="628"/>
      <c r="BW487" s="628"/>
      <c r="BX487" s="628"/>
      <c r="BY487" s="628"/>
      <c r="BZ487" s="628"/>
      <c r="CA487" s="628"/>
      <c r="CB487" s="628"/>
      <c r="CC487" s="628"/>
      <c r="CD487" s="628"/>
      <c r="CE487" s="628"/>
      <c r="CF487" s="628"/>
      <c r="CG487" s="628"/>
      <c r="CH487" s="629"/>
      <c r="CI487" s="627"/>
      <c r="CJ487" s="628"/>
      <c r="CK487" s="628"/>
      <c r="CL487" s="628"/>
      <c r="CM487" s="628"/>
      <c r="CN487" s="628"/>
      <c r="CO487" s="628"/>
      <c r="CP487" s="628"/>
      <c r="CQ487" s="628"/>
      <c r="CR487" s="628"/>
      <c r="CS487" s="628"/>
      <c r="CT487" s="628"/>
      <c r="CU487" s="628"/>
      <c r="CV487" s="628"/>
      <c r="CW487" s="628"/>
      <c r="CX487" s="628"/>
      <c r="CY487" s="628"/>
      <c r="CZ487" s="629"/>
      <c r="DA487" s="214"/>
    </row>
    <row r="488" spans="1:106" s="16" customFormat="1" ht="15" customHeight="1" x14ac:dyDescent="0.3">
      <c r="A488" s="633" t="s">
        <v>292</v>
      </c>
      <c r="B488" s="634"/>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4"/>
      <c r="AL488" s="634"/>
      <c r="AM488" s="634"/>
      <c r="AN488" s="634"/>
      <c r="AO488" s="634"/>
      <c r="AP488" s="634"/>
      <c r="AQ488" s="634"/>
      <c r="AR488" s="634"/>
      <c r="AS488" s="634"/>
      <c r="AT488" s="634"/>
      <c r="AU488" s="634"/>
      <c r="AV488" s="634"/>
      <c r="AW488" s="634"/>
      <c r="AX488" s="634"/>
      <c r="AY488" s="634"/>
      <c r="AZ488" s="634"/>
      <c r="BA488" s="634"/>
      <c r="BB488" s="635"/>
      <c r="BC488" s="544" t="s">
        <v>4</v>
      </c>
      <c r="BD488" s="545"/>
      <c r="BE488" s="545"/>
      <c r="BF488" s="545"/>
      <c r="BG488" s="545"/>
      <c r="BH488" s="545"/>
      <c r="BI488" s="545"/>
      <c r="BJ488" s="545"/>
      <c r="BK488" s="545"/>
      <c r="BL488" s="545"/>
      <c r="BM488" s="545"/>
      <c r="BN488" s="545"/>
      <c r="BO488" s="545"/>
      <c r="BP488" s="545"/>
      <c r="BQ488" s="545"/>
      <c r="BR488" s="546"/>
      <c r="BS488" s="544" t="s">
        <v>4</v>
      </c>
      <c r="BT488" s="545"/>
      <c r="BU488" s="545"/>
      <c r="BV488" s="545"/>
      <c r="BW488" s="545"/>
      <c r="BX488" s="545"/>
      <c r="BY488" s="545"/>
      <c r="BZ488" s="545"/>
      <c r="CA488" s="545"/>
      <c r="CB488" s="545"/>
      <c r="CC488" s="545"/>
      <c r="CD488" s="545"/>
      <c r="CE488" s="545"/>
      <c r="CF488" s="545"/>
      <c r="CG488" s="545"/>
      <c r="CH488" s="546"/>
      <c r="CI488" s="636">
        <f>SUM(CI483:CI487)</f>
        <v>9589.99</v>
      </c>
      <c r="CJ488" s="637"/>
      <c r="CK488" s="637"/>
      <c r="CL488" s="637"/>
      <c r="CM488" s="637"/>
      <c r="CN488" s="637"/>
      <c r="CO488" s="637"/>
      <c r="CP488" s="637"/>
      <c r="CQ488" s="637"/>
      <c r="CR488" s="637"/>
      <c r="CS488" s="637"/>
      <c r="CT488" s="637"/>
      <c r="CU488" s="637"/>
      <c r="CV488" s="637"/>
      <c r="CW488" s="637"/>
      <c r="CX488" s="637"/>
      <c r="CY488" s="637"/>
      <c r="CZ488" s="638"/>
      <c r="DA488" s="220"/>
    </row>
    <row r="489" spans="1:106" s="16" customFormat="1" ht="15" hidden="1" customHeight="1" x14ac:dyDescent="0.3">
      <c r="A489" s="648" t="s">
        <v>573</v>
      </c>
      <c r="B489" s="649"/>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49"/>
      <c r="AK489" s="649"/>
      <c r="AL489" s="649"/>
      <c r="AM489" s="649"/>
      <c r="AN489" s="649"/>
      <c r="AO489" s="649"/>
      <c r="AP489" s="649"/>
      <c r="AQ489" s="649"/>
      <c r="AR489" s="649"/>
      <c r="AS489" s="649"/>
      <c r="AT489" s="649"/>
      <c r="AU489" s="649"/>
      <c r="AV489" s="649"/>
      <c r="AW489" s="649"/>
      <c r="AX489" s="649"/>
      <c r="AY489" s="649"/>
      <c r="AZ489" s="649"/>
      <c r="BA489" s="649"/>
      <c r="BB489" s="649"/>
      <c r="BC489" s="649"/>
      <c r="BD489" s="649"/>
      <c r="BE489" s="649"/>
      <c r="BF489" s="649"/>
      <c r="BG489" s="649"/>
      <c r="BH489" s="649"/>
      <c r="BI489" s="649"/>
      <c r="BJ489" s="649"/>
      <c r="BK489" s="649"/>
      <c r="BL489" s="649"/>
      <c r="BM489" s="649"/>
      <c r="BN489" s="649"/>
      <c r="BO489" s="649"/>
      <c r="BP489" s="649"/>
      <c r="BQ489" s="649"/>
      <c r="BR489" s="649"/>
      <c r="BS489" s="649"/>
      <c r="BT489" s="649"/>
      <c r="BU489" s="649"/>
      <c r="BV489" s="649"/>
      <c r="BW489" s="649"/>
      <c r="BX489" s="649"/>
      <c r="BY489" s="649"/>
      <c r="BZ489" s="649"/>
      <c r="CA489" s="649"/>
      <c r="CB489" s="649"/>
      <c r="CC489" s="649"/>
      <c r="CD489" s="649"/>
      <c r="CE489" s="649"/>
      <c r="CF489" s="649"/>
      <c r="CG489" s="649"/>
      <c r="CH489" s="649"/>
      <c r="CI489" s="649"/>
      <c r="CJ489" s="649"/>
      <c r="CK489" s="649"/>
      <c r="CL489" s="649"/>
      <c r="CM489" s="649"/>
      <c r="CN489" s="649"/>
      <c r="CO489" s="649"/>
      <c r="CP489" s="649"/>
      <c r="CQ489" s="649"/>
      <c r="CR489" s="649"/>
      <c r="CS489" s="649"/>
      <c r="CT489" s="649"/>
      <c r="CU489" s="649"/>
      <c r="CV489" s="649"/>
      <c r="CW489" s="649"/>
      <c r="CX489" s="649"/>
      <c r="CY489" s="649"/>
      <c r="CZ489" s="649"/>
      <c r="DA489" s="214"/>
    </row>
    <row r="490" spans="1:106" s="16" customFormat="1" ht="15" hidden="1" customHeight="1" x14ac:dyDescent="0.3">
      <c r="A490" s="630" t="s">
        <v>441</v>
      </c>
      <c r="B490" s="631"/>
      <c r="C490" s="631"/>
      <c r="D490" s="631"/>
      <c r="E490" s="631"/>
      <c r="F490" s="631"/>
      <c r="G490" s="632"/>
      <c r="H490" s="584" t="s">
        <v>636</v>
      </c>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5"/>
      <c r="AL490" s="585"/>
      <c r="AM490" s="585"/>
      <c r="AN490" s="585"/>
      <c r="AO490" s="585"/>
      <c r="AP490" s="585"/>
      <c r="AQ490" s="585"/>
      <c r="AR490" s="585"/>
      <c r="AS490" s="585"/>
      <c r="AT490" s="585"/>
      <c r="AU490" s="585"/>
      <c r="AV490" s="585"/>
      <c r="AW490" s="585"/>
      <c r="AX490" s="585"/>
      <c r="AY490" s="585"/>
      <c r="AZ490" s="585"/>
      <c r="BA490" s="585"/>
      <c r="BB490" s="586"/>
      <c r="BC490" s="675">
        <v>2</v>
      </c>
      <c r="BD490" s="676"/>
      <c r="BE490" s="676"/>
      <c r="BF490" s="676"/>
      <c r="BG490" s="676"/>
      <c r="BH490" s="676"/>
      <c r="BI490" s="676"/>
      <c r="BJ490" s="676"/>
      <c r="BK490" s="676"/>
      <c r="BL490" s="676"/>
      <c r="BM490" s="676"/>
      <c r="BN490" s="676"/>
      <c r="BO490" s="676"/>
      <c r="BP490" s="676"/>
      <c r="BQ490" s="676"/>
      <c r="BR490" s="677"/>
      <c r="BS490" s="627">
        <f>CI490/BC490</f>
        <v>0</v>
      </c>
      <c r="BT490" s="628"/>
      <c r="BU490" s="628"/>
      <c r="BV490" s="628"/>
      <c r="BW490" s="628"/>
      <c r="BX490" s="628"/>
      <c r="BY490" s="628"/>
      <c r="BZ490" s="628"/>
      <c r="CA490" s="628"/>
      <c r="CB490" s="628"/>
      <c r="CC490" s="628"/>
      <c r="CD490" s="628"/>
      <c r="CE490" s="628"/>
      <c r="CF490" s="628"/>
      <c r="CG490" s="628"/>
      <c r="CH490" s="629"/>
      <c r="CI490" s="627"/>
      <c r="CJ490" s="628"/>
      <c r="CK490" s="628"/>
      <c r="CL490" s="628"/>
      <c r="CM490" s="628"/>
      <c r="CN490" s="628"/>
      <c r="CO490" s="628"/>
      <c r="CP490" s="628"/>
      <c r="CQ490" s="628"/>
      <c r="CR490" s="628"/>
      <c r="CS490" s="628"/>
      <c r="CT490" s="628"/>
      <c r="CU490" s="628"/>
      <c r="CV490" s="628"/>
      <c r="CW490" s="628"/>
      <c r="CX490" s="628"/>
      <c r="CY490" s="628"/>
      <c r="CZ490" s="629"/>
      <c r="DA490" s="217">
        <f>CI490</f>
        <v>0</v>
      </c>
    </row>
    <row r="491" spans="1:106" s="16" customFormat="1" ht="15" hidden="1" customHeight="1" x14ac:dyDescent="0.3">
      <c r="A491" s="630" t="s">
        <v>444</v>
      </c>
      <c r="B491" s="631"/>
      <c r="C491" s="631"/>
      <c r="D491" s="631"/>
      <c r="E491" s="631"/>
      <c r="F491" s="631"/>
      <c r="G491" s="632"/>
      <c r="H491" s="584" t="s">
        <v>637</v>
      </c>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5"/>
      <c r="AL491" s="585"/>
      <c r="AM491" s="585"/>
      <c r="AN491" s="585"/>
      <c r="AO491" s="585"/>
      <c r="AP491" s="585"/>
      <c r="AQ491" s="585"/>
      <c r="AR491" s="585"/>
      <c r="AS491" s="585"/>
      <c r="AT491" s="585"/>
      <c r="AU491" s="585"/>
      <c r="AV491" s="585"/>
      <c r="AW491" s="585"/>
      <c r="AX491" s="585"/>
      <c r="AY491" s="585"/>
      <c r="AZ491" s="585"/>
      <c r="BA491" s="585"/>
      <c r="BB491" s="586"/>
      <c r="BC491" s="675"/>
      <c r="BD491" s="676"/>
      <c r="BE491" s="676"/>
      <c r="BF491" s="676"/>
      <c r="BG491" s="676"/>
      <c r="BH491" s="676"/>
      <c r="BI491" s="676"/>
      <c r="BJ491" s="676"/>
      <c r="BK491" s="676"/>
      <c r="BL491" s="676"/>
      <c r="BM491" s="676"/>
      <c r="BN491" s="676"/>
      <c r="BO491" s="676"/>
      <c r="BP491" s="676"/>
      <c r="BQ491" s="676"/>
      <c r="BR491" s="677"/>
      <c r="BS491" s="627" t="e">
        <f t="shared" ref="BS491:BS498" si="7">CI491/BC491</f>
        <v>#DIV/0!</v>
      </c>
      <c r="BT491" s="628"/>
      <c r="BU491" s="628"/>
      <c r="BV491" s="628"/>
      <c r="BW491" s="628"/>
      <c r="BX491" s="628"/>
      <c r="BY491" s="628"/>
      <c r="BZ491" s="628"/>
      <c r="CA491" s="628"/>
      <c r="CB491" s="628"/>
      <c r="CC491" s="628"/>
      <c r="CD491" s="628"/>
      <c r="CE491" s="628"/>
      <c r="CF491" s="628"/>
      <c r="CG491" s="628"/>
      <c r="CH491" s="629"/>
      <c r="CI491" s="627"/>
      <c r="CJ491" s="628"/>
      <c r="CK491" s="628"/>
      <c r="CL491" s="628"/>
      <c r="CM491" s="628"/>
      <c r="CN491" s="628"/>
      <c r="CO491" s="628"/>
      <c r="CP491" s="628"/>
      <c r="CQ491" s="628"/>
      <c r="CR491" s="628"/>
      <c r="CS491" s="628"/>
      <c r="CT491" s="628"/>
      <c r="CU491" s="628"/>
      <c r="CV491" s="628"/>
      <c r="CW491" s="628"/>
      <c r="CX491" s="628"/>
      <c r="CY491" s="628"/>
      <c r="CZ491" s="629"/>
      <c r="DA491" s="227">
        <v>630100</v>
      </c>
      <c r="DB491" s="228" t="s">
        <v>638</v>
      </c>
    </row>
    <row r="492" spans="1:106" s="16" customFormat="1" ht="27.6" hidden="1" customHeight="1" x14ac:dyDescent="0.3">
      <c r="A492" s="630" t="s">
        <v>444</v>
      </c>
      <c r="B492" s="631"/>
      <c r="C492" s="631"/>
      <c r="D492" s="631"/>
      <c r="E492" s="631"/>
      <c r="F492" s="631"/>
      <c r="G492" s="632"/>
      <c r="H492" s="584" t="s">
        <v>846</v>
      </c>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5"/>
      <c r="AL492" s="585"/>
      <c r="AM492" s="585"/>
      <c r="AN492" s="585"/>
      <c r="AO492" s="585"/>
      <c r="AP492" s="585"/>
      <c r="AQ492" s="585"/>
      <c r="AR492" s="585"/>
      <c r="AS492" s="585"/>
      <c r="AT492" s="585"/>
      <c r="AU492" s="585"/>
      <c r="AV492" s="585"/>
      <c r="AW492" s="585"/>
      <c r="AX492" s="585"/>
      <c r="AY492" s="585"/>
      <c r="AZ492" s="585"/>
      <c r="BA492" s="585"/>
      <c r="BB492" s="586"/>
      <c r="BC492" s="675">
        <v>1</v>
      </c>
      <c r="BD492" s="676"/>
      <c r="BE492" s="676"/>
      <c r="BF492" s="676"/>
      <c r="BG492" s="676"/>
      <c r="BH492" s="676"/>
      <c r="BI492" s="676"/>
      <c r="BJ492" s="676"/>
      <c r="BK492" s="676"/>
      <c r="BL492" s="676"/>
      <c r="BM492" s="676"/>
      <c r="BN492" s="676"/>
      <c r="BO492" s="676"/>
      <c r="BP492" s="676"/>
      <c r="BQ492" s="676"/>
      <c r="BR492" s="677"/>
      <c r="BS492" s="627">
        <f t="shared" si="7"/>
        <v>0</v>
      </c>
      <c r="BT492" s="628"/>
      <c r="BU492" s="628"/>
      <c r="BV492" s="628"/>
      <c r="BW492" s="628"/>
      <c r="BX492" s="628"/>
      <c r="BY492" s="628"/>
      <c r="BZ492" s="628"/>
      <c r="CA492" s="628"/>
      <c r="CB492" s="628"/>
      <c r="CC492" s="628"/>
      <c r="CD492" s="628"/>
      <c r="CE492" s="628"/>
      <c r="CF492" s="628"/>
      <c r="CG492" s="628"/>
      <c r="CH492" s="629"/>
      <c r="CI492" s="627"/>
      <c r="CJ492" s="628"/>
      <c r="CK492" s="628"/>
      <c r="CL492" s="628"/>
      <c r="CM492" s="628"/>
      <c r="CN492" s="628"/>
      <c r="CO492" s="628"/>
      <c r="CP492" s="628"/>
      <c r="CQ492" s="628"/>
      <c r="CR492" s="628"/>
      <c r="CS492" s="628"/>
      <c r="CT492" s="628"/>
      <c r="CU492" s="628"/>
      <c r="CV492" s="628"/>
      <c r="CW492" s="628"/>
      <c r="CX492" s="628"/>
      <c r="CY492" s="628"/>
      <c r="CZ492" s="629"/>
      <c r="DA492" s="227"/>
      <c r="DB492" s="228"/>
    </row>
    <row r="493" spans="1:106" s="16" customFormat="1" ht="15" hidden="1" customHeight="1" x14ac:dyDescent="0.3">
      <c r="A493" s="630" t="s">
        <v>446</v>
      </c>
      <c r="B493" s="631"/>
      <c r="C493" s="631"/>
      <c r="D493" s="631"/>
      <c r="E493" s="631"/>
      <c r="F493" s="631"/>
      <c r="G493" s="632"/>
      <c r="H493" s="584" t="s">
        <v>858</v>
      </c>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5"/>
      <c r="AL493" s="585"/>
      <c r="AM493" s="585"/>
      <c r="AN493" s="585"/>
      <c r="AO493" s="585"/>
      <c r="AP493" s="585"/>
      <c r="AQ493" s="585"/>
      <c r="AR493" s="585"/>
      <c r="AS493" s="585"/>
      <c r="AT493" s="585"/>
      <c r="AU493" s="585"/>
      <c r="AV493" s="585"/>
      <c r="AW493" s="585"/>
      <c r="AX493" s="585"/>
      <c r="AY493" s="585"/>
      <c r="AZ493" s="585"/>
      <c r="BA493" s="585"/>
      <c r="BB493" s="586"/>
      <c r="BC493" s="675">
        <v>1</v>
      </c>
      <c r="BD493" s="676"/>
      <c r="BE493" s="676"/>
      <c r="BF493" s="676"/>
      <c r="BG493" s="676"/>
      <c r="BH493" s="676"/>
      <c r="BI493" s="676"/>
      <c r="BJ493" s="676"/>
      <c r="BK493" s="676"/>
      <c r="BL493" s="676"/>
      <c r="BM493" s="676"/>
      <c r="BN493" s="676"/>
      <c r="BO493" s="676"/>
      <c r="BP493" s="676"/>
      <c r="BQ493" s="676"/>
      <c r="BR493" s="677"/>
      <c r="BS493" s="627">
        <f t="shared" si="7"/>
        <v>0</v>
      </c>
      <c r="BT493" s="628"/>
      <c r="BU493" s="628"/>
      <c r="BV493" s="628"/>
      <c r="BW493" s="628"/>
      <c r="BX493" s="628"/>
      <c r="BY493" s="628"/>
      <c r="BZ493" s="628"/>
      <c r="CA493" s="628"/>
      <c r="CB493" s="628"/>
      <c r="CC493" s="628"/>
      <c r="CD493" s="628"/>
      <c r="CE493" s="628"/>
      <c r="CF493" s="628"/>
      <c r="CG493" s="628"/>
      <c r="CH493" s="629"/>
      <c r="CI493" s="627"/>
      <c r="CJ493" s="628"/>
      <c r="CK493" s="628"/>
      <c r="CL493" s="628"/>
      <c r="CM493" s="628"/>
      <c r="CN493" s="628"/>
      <c r="CO493" s="628"/>
      <c r="CP493" s="628"/>
      <c r="CQ493" s="628"/>
      <c r="CR493" s="628"/>
      <c r="CS493" s="628"/>
      <c r="CT493" s="628"/>
      <c r="CU493" s="628"/>
      <c r="CV493" s="628"/>
      <c r="CW493" s="628"/>
      <c r="CX493" s="628"/>
      <c r="CY493" s="628"/>
      <c r="CZ493" s="629"/>
      <c r="DA493" s="227"/>
      <c r="DB493" s="228"/>
    </row>
    <row r="494" spans="1:106" s="16" customFormat="1" ht="15" hidden="1" customHeight="1" x14ac:dyDescent="0.3">
      <c r="A494" s="630" t="s">
        <v>551</v>
      </c>
      <c r="B494" s="631"/>
      <c r="C494" s="631"/>
      <c r="D494" s="631"/>
      <c r="E494" s="631"/>
      <c r="F494" s="631"/>
      <c r="G494" s="632"/>
      <c r="H494" s="584" t="s">
        <v>859</v>
      </c>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5"/>
      <c r="AL494" s="585"/>
      <c r="AM494" s="585"/>
      <c r="AN494" s="585"/>
      <c r="AO494" s="585"/>
      <c r="AP494" s="585"/>
      <c r="AQ494" s="585"/>
      <c r="AR494" s="585"/>
      <c r="AS494" s="585"/>
      <c r="AT494" s="585"/>
      <c r="AU494" s="585"/>
      <c r="AV494" s="585"/>
      <c r="AW494" s="585"/>
      <c r="AX494" s="585"/>
      <c r="AY494" s="585"/>
      <c r="AZ494" s="585"/>
      <c r="BA494" s="585"/>
      <c r="BB494" s="586"/>
      <c r="BC494" s="675">
        <v>2</v>
      </c>
      <c r="BD494" s="676"/>
      <c r="BE494" s="676"/>
      <c r="BF494" s="676"/>
      <c r="BG494" s="676"/>
      <c r="BH494" s="676"/>
      <c r="BI494" s="676"/>
      <c r="BJ494" s="676"/>
      <c r="BK494" s="676"/>
      <c r="BL494" s="676"/>
      <c r="BM494" s="676"/>
      <c r="BN494" s="676"/>
      <c r="BO494" s="676"/>
      <c r="BP494" s="676"/>
      <c r="BQ494" s="676"/>
      <c r="BR494" s="677"/>
      <c r="BS494" s="627">
        <f t="shared" si="7"/>
        <v>0</v>
      </c>
      <c r="BT494" s="628"/>
      <c r="BU494" s="628"/>
      <c r="BV494" s="628"/>
      <c r="BW494" s="628"/>
      <c r="BX494" s="628"/>
      <c r="BY494" s="628"/>
      <c r="BZ494" s="628"/>
      <c r="CA494" s="628"/>
      <c r="CB494" s="628"/>
      <c r="CC494" s="628"/>
      <c r="CD494" s="628"/>
      <c r="CE494" s="628"/>
      <c r="CF494" s="628"/>
      <c r="CG494" s="628"/>
      <c r="CH494" s="629"/>
      <c r="CI494" s="627"/>
      <c r="CJ494" s="628"/>
      <c r="CK494" s="628"/>
      <c r="CL494" s="628"/>
      <c r="CM494" s="628"/>
      <c r="CN494" s="628"/>
      <c r="CO494" s="628"/>
      <c r="CP494" s="628"/>
      <c r="CQ494" s="628"/>
      <c r="CR494" s="628"/>
      <c r="CS494" s="628"/>
      <c r="CT494" s="628"/>
      <c r="CU494" s="628"/>
      <c r="CV494" s="628"/>
      <c r="CW494" s="628"/>
      <c r="CX494" s="628"/>
      <c r="CY494" s="628"/>
      <c r="CZ494" s="629"/>
      <c r="DA494" s="227"/>
      <c r="DB494" s="228"/>
    </row>
    <row r="495" spans="1:106" s="16" customFormat="1" ht="15" hidden="1" customHeight="1" x14ac:dyDescent="0.3">
      <c r="A495" s="630" t="s">
        <v>599</v>
      </c>
      <c r="B495" s="631"/>
      <c r="C495" s="631"/>
      <c r="D495" s="631"/>
      <c r="E495" s="631"/>
      <c r="F495" s="631"/>
      <c r="G495" s="632"/>
      <c r="H495" s="584" t="s">
        <v>860</v>
      </c>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5"/>
      <c r="AL495" s="585"/>
      <c r="AM495" s="585"/>
      <c r="AN495" s="585"/>
      <c r="AO495" s="585"/>
      <c r="AP495" s="585"/>
      <c r="AQ495" s="585"/>
      <c r="AR495" s="585"/>
      <c r="AS495" s="585"/>
      <c r="AT495" s="585"/>
      <c r="AU495" s="585"/>
      <c r="AV495" s="585"/>
      <c r="AW495" s="585"/>
      <c r="AX495" s="585"/>
      <c r="AY495" s="585"/>
      <c r="AZ495" s="585"/>
      <c r="BA495" s="585"/>
      <c r="BB495" s="586"/>
      <c r="BC495" s="675">
        <v>13</v>
      </c>
      <c r="BD495" s="676"/>
      <c r="BE495" s="676"/>
      <c r="BF495" s="676"/>
      <c r="BG495" s="676"/>
      <c r="BH495" s="676"/>
      <c r="BI495" s="676"/>
      <c r="BJ495" s="676"/>
      <c r="BK495" s="676"/>
      <c r="BL495" s="676"/>
      <c r="BM495" s="676"/>
      <c r="BN495" s="676"/>
      <c r="BO495" s="676"/>
      <c r="BP495" s="676"/>
      <c r="BQ495" s="676"/>
      <c r="BR495" s="677"/>
      <c r="BS495" s="627">
        <f t="shared" si="7"/>
        <v>0</v>
      </c>
      <c r="BT495" s="628"/>
      <c r="BU495" s="628"/>
      <c r="BV495" s="628"/>
      <c r="BW495" s="628"/>
      <c r="BX495" s="628"/>
      <c r="BY495" s="628"/>
      <c r="BZ495" s="628"/>
      <c r="CA495" s="628"/>
      <c r="CB495" s="628"/>
      <c r="CC495" s="628"/>
      <c r="CD495" s="628"/>
      <c r="CE495" s="628"/>
      <c r="CF495" s="628"/>
      <c r="CG495" s="628"/>
      <c r="CH495" s="629"/>
      <c r="CI495" s="627"/>
      <c r="CJ495" s="628"/>
      <c r="CK495" s="628"/>
      <c r="CL495" s="628"/>
      <c r="CM495" s="628"/>
      <c r="CN495" s="628"/>
      <c r="CO495" s="628"/>
      <c r="CP495" s="628"/>
      <c r="CQ495" s="628"/>
      <c r="CR495" s="628"/>
      <c r="CS495" s="628"/>
      <c r="CT495" s="628"/>
      <c r="CU495" s="628"/>
      <c r="CV495" s="628"/>
      <c r="CW495" s="628"/>
      <c r="CX495" s="628"/>
      <c r="CY495" s="628"/>
      <c r="CZ495" s="629"/>
      <c r="DA495" s="227"/>
      <c r="DB495" s="228"/>
    </row>
    <row r="496" spans="1:106" s="16" customFormat="1" ht="15" hidden="1" customHeight="1" x14ac:dyDescent="0.3">
      <c r="A496" s="630" t="s">
        <v>642</v>
      </c>
      <c r="B496" s="631"/>
      <c r="C496" s="631"/>
      <c r="D496" s="631"/>
      <c r="E496" s="631"/>
      <c r="F496" s="631"/>
      <c r="G496" s="632"/>
      <c r="H496" s="584" t="s">
        <v>887</v>
      </c>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5"/>
      <c r="AL496" s="585"/>
      <c r="AM496" s="585"/>
      <c r="AN496" s="585"/>
      <c r="AO496" s="585"/>
      <c r="AP496" s="585"/>
      <c r="AQ496" s="585"/>
      <c r="AR496" s="585"/>
      <c r="AS496" s="585"/>
      <c r="AT496" s="585"/>
      <c r="AU496" s="585"/>
      <c r="AV496" s="585"/>
      <c r="AW496" s="585"/>
      <c r="AX496" s="585"/>
      <c r="AY496" s="585"/>
      <c r="AZ496" s="585"/>
      <c r="BA496" s="585"/>
      <c r="BB496" s="586"/>
      <c r="BC496" s="675">
        <v>1</v>
      </c>
      <c r="BD496" s="676"/>
      <c r="BE496" s="676"/>
      <c r="BF496" s="676"/>
      <c r="BG496" s="676"/>
      <c r="BH496" s="676"/>
      <c r="BI496" s="676"/>
      <c r="BJ496" s="676"/>
      <c r="BK496" s="676"/>
      <c r="BL496" s="676"/>
      <c r="BM496" s="676"/>
      <c r="BN496" s="676"/>
      <c r="BO496" s="676"/>
      <c r="BP496" s="676"/>
      <c r="BQ496" s="676"/>
      <c r="BR496" s="677"/>
      <c r="BS496" s="627">
        <f t="shared" si="7"/>
        <v>0</v>
      </c>
      <c r="BT496" s="628"/>
      <c r="BU496" s="628"/>
      <c r="BV496" s="628"/>
      <c r="BW496" s="628"/>
      <c r="BX496" s="628"/>
      <c r="BY496" s="628"/>
      <c r="BZ496" s="628"/>
      <c r="CA496" s="628"/>
      <c r="CB496" s="628"/>
      <c r="CC496" s="628"/>
      <c r="CD496" s="628"/>
      <c r="CE496" s="628"/>
      <c r="CF496" s="628"/>
      <c r="CG496" s="628"/>
      <c r="CH496" s="629"/>
      <c r="CI496" s="627"/>
      <c r="CJ496" s="628"/>
      <c r="CK496" s="628"/>
      <c r="CL496" s="628"/>
      <c r="CM496" s="628"/>
      <c r="CN496" s="628"/>
      <c r="CO496" s="628"/>
      <c r="CP496" s="628"/>
      <c r="CQ496" s="628"/>
      <c r="CR496" s="628"/>
      <c r="CS496" s="628"/>
      <c r="CT496" s="628"/>
      <c r="CU496" s="628"/>
      <c r="CV496" s="628"/>
      <c r="CW496" s="628"/>
      <c r="CX496" s="628"/>
      <c r="CY496" s="628"/>
      <c r="CZ496" s="629"/>
      <c r="DA496" s="227"/>
      <c r="DB496" s="228"/>
    </row>
    <row r="497" spans="1:106" s="16" customFormat="1" ht="15" hidden="1" customHeight="1" x14ac:dyDescent="0.3">
      <c r="A497" s="630" t="s">
        <v>648</v>
      </c>
      <c r="B497" s="631"/>
      <c r="C497" s="631"/>
      <c r="D497" s="631"/>
      <c r="E497" s="631"/>
      <c r="F497" s="631"/>
      <c r="G497" s="632"/>
      <c r="H497" s="584" t="s">
        <v>639</v>
      </c>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585"/>
      <c r="AE497" s="585"/>
      <c r="AF497" s="585"/>
      <c r="AG497" s="585"/>
      <c r="AH497" s="585"/>
      <c r="AI497" s="585"/>
      <c r="AJ497" s="585"/>
      <c r="AK497" s="585"/>
      <c r="AL497" s="585"/>
      <c r="AM497" s="585"/>
      <c r="AN497" s="585"/>
      <c r="AO497" s="585"/>
      <c r="AP497" s="585"/>
      <c r="AQ497" s="585"/>
      <c r="AR497" s="585"/>
      <c r="AS497" s="585"/>
      <c r="AT497" s="585"/>
      <c r="AU497" s="585"/>
      <c r="AV497" s="585"/>
      <c r="AW497" s="585"/>
      <c r="AX497" s="585"/>
      <c r="AY497" s="585"/>
      <c r="AZ497" s="585"/>
      <c r="BA497" s="585"/>
      <c r="BB497" s="586"/>
      <c r="BC497" s="675">
        <v>1</v>
      </c>
      <c r="BD497" s="676"/>
      <c r="BE497" s="676"/>
      <c r="BF497" s="676"/>
      <c r="BG497" s="676"/>
      <c r="BH497" s="676"/>
      <c r="BI497" s="676"/>
      <c r="BJ497" s="676"/>
      <c r="BK497" s="676"/>
      <c r="BL497" s="676"/>
      <c r="BM497" s="676"/>
      <c r="BN497" s="676"/>
      <c r="BO497" s="676"/>
      <c r="BP497" s="676"/>
      <c r="BQ497" s="676"/>
      <c r="BR497" s="677"/>
      <c r="BS497" s="627">
        <f t="shared" si="7"/>
        <v>0</v>
      </c>
      <c r="BT497" s="628"/>
      <c r="BU497" s="628"/>
      <c r="BV497" s="628"/>
      <c r="BW497" s="628"/>
      <c r="BX497" s="628"/>
      <c r="BY497" s="628"/>
      <c r="BZ497" s="628"/>
      <c r="CA497" s="628"/>
      <c r="CB497" s="628"/>
      <c r="CC497" s="628"/>
      <c r="CD497" s="628"/>
      <c r="CE497" s="628"/>
      <c r="CF497" s="628"/>
      <c r="CG497" s="628"/>
      <c r="CH497" s="629"/>
      <c r="CI497" s="627"/>
      <c r="CJ497" s="628"/>
      <c r="CK497" s="628"/>
      <c r="CL497" s="628"/>
      <c r="CM497" s="628"/>
      <c r="CN497" s="628"/>
      <c r="CO497" s="628"/>
      <c r="CP497" s="628"/>
      <c r="CQ497" s="628"/>
      <c r="CR497" s="628"/>
      <c r="CS497" s="628"/>
      <c r="CT497" s="628"/>
      <c r="CU497" s="628"/>
      <c r="CV497" s="628"/>
      <c r="CW497" s="628"/>
      <c r="CX497" s="628"/>
      <c r="CY497" s="628"/>
      <c r="CZ497" s="629"/>
      <c r="DA497" s="214"/>
    </row>
    <row r="498" spans="1:106" s="16" customFormat="1" ht="15" hidden="1" customHeight="1" x14ac:dyDescent="0.3">
      <c r="A498" s="630" t="s">
        <v>650</v>
      </c>
      <c r="B498" s="631"/>
      <c r="C498" s="631"/>
      <c r="D498" s="631"/>
      <c r="E498" s="631"/>
      <c r="F498" s="631"/>
      <c r="G498" s="632"/>
      <c r="H498" s="584" t="s">
        <v>640</v>
      </c>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5"/>
      <c r="AF498" s="585"/>
      <c r="AG498" s="585"/>
      <c r="AH498" s="585"/>
      <c r="AI498" s="585"/>
      <c r="AJ498" s="585"/>
      <c r="AK498" s="585"/>
      <c r="AL498" s="585"/>
      <c r="AM498" s="585"/>
      <c r="AN498" s="585"/>
      <c r="AO498" s="585"/>
      <c r="AP498" s="585"/>
      <c r="AQ498" s="585"/>
      <c r="AR498" s="585"/>
      <c r="AS498" s="585"/>
      <c r="AT498" s="585"/>
      <c r="AU498" s="585"/>
      <c r="AV498" s="585"/>
      <c r="AW498" s="585"/>
      <c r="AX498" s="585"/>
      <c r="AY498" s="585"/>
      <c r="AZ498" s="585"/>
      <c r="BA498" s="585"/>
      <c r="BB498" s="586"/>
      <c r="BC498" s="675">
        <v>2</v>
      </c>
      <c r="BD498" s="676"/>
      <c r="BE498" s="676"/>
      <c r="BF498" s="676"/>
      <c r="BG498" s="676"/>
      <c r="BH498" s="676"/>
      <c r="BI498" s="676"/>
      <c r="BJ498" s="676"/>
      <c r="BK498" s="676"/>
      <c r="BL498" s="676"/>
      <c r="BM498" s="676"/>
      <c r="BN498" s="676"/>
      <c r="BO498" s="676"/>
      <c r="BP498" s="676"/>
      <c r="BQ498" s="676"/>
      <c r="BR498" s="677"/>
      <c r="BS498" s="627">
        <f t="shared" si="7"/>
        <v>0</v>
      </c>
      <c r="BT498" s="628"/>
      <c r="BU498" s="628"/>
      <c r="BV498" s="628"/>
      <c r="BW498" s="628"/>
      <c r="BX498" s="628"/>
      <c r="BY498" s="628"/>
      <c r="BZ498" s="628"/>
      <c r="CA498" s="628"/>
      <c r="CB498" s="628"/>
      <c r="CC498" s="628"/>
      <c r="CD498" s="628"/>
      <c r="CE498" s="628"/>
      <c r="CF498" s="628"/>
      <c r="CG498" s="628"/>
      <c r="CH498" s="629"/>
      <c r="CI498" s="627"/>
      <c r="CJ498" s="628"/>
      <c r="CK498" s="628"/>
      <c r="CL498" s="628"/>
      <c r="CM498" s="628"/>
      <c r="CN498" s="628"/>
      <c r="CO498" s="628"/>
      <c r="CP498" s="628"/>
      <c r="CQ498" s="628"/>
      <c r="CR498" s="628"/>
      <c r="CS498" s="628"/>
      <c r="CT498" s="628"/>
      <c r="CU498" s="628"/>
      <c r="CV498" s="628"/>
      <c r="CW498" s="628"/>
      <c r="CX498" s="628"/>
      <c r="CY498" s="628"/>
      <c r="CZ498" s="629"/>
      <c r="DA498" s="217">
        <f>CI497+CI498+CI499+CI558+CI844+CI876+CL142</f>
        <v>0</v>
      </c>
    </row>
    <row r="499" spans="1:106" s="16" customFormat="1" ht="15" hidden="1" customHeight="1" x14ac:dyDescent="0.3">
      <c r="A499" s="630" t="s">
        <v>651</v>
      </c>
      <c r="B499" s="631"/>
      <c r="C499" s="631"/>
      <c r="D499" s="631"/>
      <c r="E499" s="631"/>
      <c r="F499" s="631"/>
      <c r="G499" s="632"/>
      <c r="H499" s="584" t="s">
        <v>641</v>
      </c>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5"/>
      <c r="AL499" s="585"/>
      <c r="AM499" s="585"/>
      <c r="AN499" s="585"/>
      <c r="AO499" s="585"/>
      <c r="AP499" s="585"/>
      <c r="AQ499" s="585"/>
      <c r="AR499" s="585"/>
      <c r="AS499" s="585"/>
      <c r="AT499" s="585"/>
      <c r="AU499" s="585"/>
      <c r="AV499" s="585"/>
      <c r="AW499" s="585"/>
      <c r="AX499" s="585"/>
      <c r="AY499" s="585"/>
      <c r="AZ499" s="585"/>
      <c r="BA499" s="585"/>
      <c r="BB499" s="586"/>
      <c r="BC499" s="675">
        <v>0</v>
      </c>
      <c r="BD499" s="676"/>
      <c r="BE499" s="676"/>
      <c r="BF499" s="676"/>
      <c r="BG499" s="676"/>
      <c r="BH499" s="676"/>
      <c r="BI499" s="676"/>
      <c r="BJ499" s="676"/>
      <c r="BK499" s="676"/>
      <c r="BL499" s="676"/>
      <c r="BM499" s="676"/>
      <c r="BN499" s="676"/>
      <c r="BO499" s="676"/>
      <c r="BP499" s="676"/>
      <c r="BQ499" s="676"/>
      <c r="BR499" s="677"/>
      <c r="BS499" s="627">
        <v>0</v>
      </c>
      <c r="BT499" s="628"/>
      <c r="BU499" s="628"/>
      <c r="BV499" s="628"/>
      <c r="BW499" s="628"/>
      <c r="BX499" s="628"/>
      <c r="BY499" s="628"/>
      <c r="BZ499" s="628"/>
      <c r="CA499" s="628"/>
      <c r="CB499" s="628"/>
      <c r="CC499" s="628"/>
      <c r="CD499" s="628"/>
      <c r="CE499" s="628"/>
      <c r="CF499" s="628"/>
      <c r="CG499" s="628"/>
      <c r="CH499" s="629"/>
      <c r="CI499" s="627">
        <v>0</v>
      </c>
      <c r="CJ499" s="628"/>
      <c r="CK499" s="628"/>
      <c r="CL499" s="628"/>
      <c r="CM499" s="628"/>
      <c r="CN499" s="628"/>
      <c r="CO499" s="628"/>
      <c r="CP499" s="628"/>
      <c r="CQ499" s="628"/>
      <c r="CR499" s="628"/>
      <c r="CS499" s="628"/>
      <c r="CT499" s="628"/>
      <c r="CU499" s="628"/>
      <c r="CV499" s="628"/>
      <c r="CW499" s="628"/>
      <c r="CX499" s="628"/>
      <c r="CY499" s="628"/>
      <c r="CZ499" s="629"/>
      <c r="DA499" s="217"/>
    </row>
    <row r="500" spans="1:106" s="16" customFormat="1" ht="24.75" hidden="1" customHeight="1" x14ac:dyDescent="0.3">
      <c r="A500" s="630" t="s">
        <v>642</v>
      </c>
      <c r="B500" s="631"/>
      <c r="C500" s="631"/>
      <c r="D500" s="631"/>
      <c r="E500" s="631"/>
      <c r="F500" s="631"/>
      <c r="G500" s="632"/>
      <c r="H500" s="584" t="s">
        <v>643</v>
      </c>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5"/>
      <c r="AL500" s="585"/>
      <c r="AM500" s="585"/>
      <c r="AN500" s="585"/>
      <c r="AO500" s="585"/>
      <c r="AP500" s="585"/>
      <c r="AQ500" s="585"/>
      <c r="AR500" s="585"/>
      <c r="AS500" s="585"/>
      <c r="AT500" s="585"/>
      <c r="AU500" s="585"/>
      <c r="AV500" s="585"/>
      <c r="AW500" s="585"/>
      <c r="AX500" s="585"/>
      <c r="AY500" s="585"/>
      <c r="AZ500" s="585"/>
      <c r="BA500" s="585"/>
      <c r="BB500" s="586"/>
      <c r="BC500" s="675"/>
      <c r="BD500" s="676"/>
      <c r="BE500" s="676"/>
      <c r="BF500" s="676"/>
      <c r="BG500" s="676"/>
      <c r="BH500" s="676"/>
      <c r="BI500" s="676"/>
      <c r="BJ500" s="676"/>
      <c r="BK500" s="676"/>
      <c r="BL500" s="676"/>
      <c r="BM500" s="676"/>
      <c r="BN500" s="676"/>
      <c r="BO500" s="676"/>
      <c r="BP500" s="676"/>
      <c r="BQ500" s="676"/>
      <c r="BR500" s="677"/>
      <c r="BS500" s="627"/>
      <c r="BT500" s="628"/>
      <c r="BU500" s="628"/>
      <c r="BV500" s="628"/>
      <c r="BW500" s="628"/>
      <c r="BX500" s="628"/>
      <c r="BY500" s="628"/>
      <c r="BZ500" s="628"/>
      <c r="CA500" s="628"/>
      <c r="CB500" s="628"/>
      <c r="CC500" s="628"/>
      <c r="CD500" s="628"/>
      <c r="CE500" s="628"/>
      <c r="CF500" s="628"/>
      <c r="CG500" s="628"/>
      <c r="CH500" s="629"/>
      <c r="CI500" s="627"/>
      <c r="CJ500" s="628"/>
      <c r="CK500" s="628"/>
      <c r="CL500" s="628"/>
      <c r="CM500" s="628"/>
      <c r="CN500" s="628"/>
      <c r="CO500" s="628"/>
      <c r="CP500" s="628"/>
      <c r="CQ500" s="628"/>
      <c r="CR500" s="628"/>
      <c r="CS500" s="628"/>
      <c r="CT500" s="628"/>
      <c r="CU500" s="628"/>
      <c r="CV500" s="628"/>
      <c r="CW500" s="628"/>
      <c r="CX500" s="628"/>
      <c r="CY500" s="628"/>
      <c r="CZ500" s="629"/>
      <c r="DA500" s="227"/>
    </row>
    <row r="501" spans="1:106" s="16" customFormat="1" ht="15" hidden="1" customHeight="1" x14ac:dyDescent="0.3">
      <c r="A501" s="633" t="s">
        <v>292</v>
      </c>
      <c r="B501" s="634"/>
      <c r="C501" s="634"/>
      <c r="D501" s="634"/>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c r="AA501" s="634"/>
      <c r="AB501" s="634"/>
      <c r="AC501" s="634"/>
      <c r="AD501" s="634"/>
      <c r="AE501" s="634"/>
      <c r="AF501" s="634"/>
      <c r="AG501" s="634"/>
      <c r="AH501" s="634"/>
      <c r="AI501" s="634"/>
      <c r="AJ501" s="634"/>
      <c r="AK501" s="634"/>
      <c r="AL501" s="634"/>
      <c r="AM501" s="634"/>
      <c r="AN501" s="634"/>
      <c r="AO501" s="634"/>
      <c r="AP501" s="634"/>
      <c r="AQ501" s="634"/>
      <c r="AR501" s="634"/>
      <c r="AS501" s="634"/>
      <c r="AT501" s="634"/>
      <c r="AU501" s="634"/>
      <c r="AV501" s="634"/>
      <c r="AW501" s="634"/>
      <c r="AX501" s="634"/>
      <c r="AY501" s="634"/>
      <c r="AZ501" s="634"/>
      <c r="BA501" s="634"/>
      <c r="BB501" s="635"/>
      <c r="BC501" s="544" t="s">
        <v>4</v>
      </c>
      <c r="BD501" s="545"/>
      <c r="BE501" s="545"/>
      <c r="BF501" s="545"/>
      <c r="BG501" s="545"/>
      <c r="BH501" s="545"/>
      <c r="BI501" s="545"/>
      <c r="BJ501" s="545"/>
      <c r="BK501" s="545"/>
      <c r="BL501" s="545"/>
      <c r="BM501" s="545"/>
      <c r="BN501" s="545"/>
      <c r="BO501" s="545"/>
      <c r="BP501" s="545"/>
      <c r="BQ501" s="545"/>
      <c r="BR501" s="546"/>
      <c r="BS501" s="544" t="s">
        <v>4</v>
      </c>
      <c r="BT501" s="545"/>
      <c r="BU501" s="545"/>
      <c r="BV501" s="545"/>
      <c r="BW501" s="545"/>
      <c r="BX501" s="545"/>
      <c r="BY501" s="545"/>
      <c r="BZ501" s="545"/>
      <c r="CA501" s="545"/>
      <c r="CB501" s="545"/>
      <c r="CC501" s="545"/>
      <c r="CD501" s="545"/>
      <c r="CE501" s="545"/>
      <c r="CF501" s="545"/>
      <c r="CG501" s="545"/>
      <c r="CH501" s="546"/>
      <c r="CI501" s="636">
        <f>SUM(CI490:CZ500)</f>
        <v>0</v>
      </c>
      <c r="CJ501" s="637"/>
      <c r="CK501" s="637"/>
      <c r="CL501" s="637"/>
      <c r="CM501" s="637"/>
      <c r="CN501" s="637"/>
      <c r="CO501" s="637"/>
      <c r="CP501" s="637"/>
      <c r="CQ501" s="637"/>
      <c r="CR501" s="637"/>
      <c r="CS501" s="637"/>
      <c r="CT501" s="637"/>
      <c r="CU501" s="637"/>
      <c r="CV501" s="637"/>
      <c r="CW501" s="637"/>
      <c r="CX501" s="637"/>
      <c r="CY501" s="637"/>
      <c r="CZ501" s="638"/>
      <c r="DA501" s="217"/>
      <c r="DB501" s="228" t="s">
        <v>644</v>
      </c>
    </row>
    <row r="502" spans="1:106" s="16" customFormat="1" ht="15" customHeight="1" x14ac:dyDescent="0.3">
      <c r="A502" s="553" t="s">
        <v>56</v>
      </c>
      <c r="B502" s="554"/>
      <c r="C502" s="554"/>
      <c r="D502" s="554"/>
      <c r="E502" s="554"/>
      <c r="F502" s="554"/>
      <c r="G502" s="554"/>
      <c r="H502" s="554"/>
      <c r="I502" s="554"/>
      <c r="J502" s="554"/>
      <c r="K502" s="554"/>
      <c r="L502" s="554"/>
      <c r="M502" s="554"/>
      <c r="N502" s="554"/>
      <c r="O502" s="554"/>
      <c r="P502" s="554"/>
      <c r="Q502" s="554"/>
      <c r="R502" s="554"/>
      <c r="S502" s="554"/>
      <c r="T502" s="554"/>
      <c r="U502" s="554"/>
      <c r="V502" s="554"/>
      <c r="W502" s="554"/>
      <c r="X502" s="554"/>
      <c r="Y502" s="554"/>
      <c r="Z502" s="554"/>
      <c r="AA502" s="554"/>
      <c r="AB502" s="554"/>
      <c r="AC502" s="554"/>
      <c r="AD502" s="554"/>
      <c r="AE502" s="554"/>
      <c r="AF502" s="554"/>
      <c r="AG502" s="554"/>
      <c r="AH502" s="554"/>
      <c r="AI502" s="554"/>
      <c r="AJ502" s="554"/>
      <c r="AK502" s="554"/>
      <c r="AL502" s="554"/>
      <c r="AM502" s="554"/>
      <c r="AN502" s="554"/>
      <c r="AO502" s="554"/>
      <c r="AP502" s="554"/>
      <c r="AQ502" s="554"/>
      <c r="AR502" s="554"/>
      <c r="AS502" s="554"/>
      <c r="AT502" s="554"/>
      <c r="AU502" s="554"/>
      <c r="AV502" s="554"/>
      <c r="AW502" s="554"/>
      <c r="AX502" s="554"/>
      <c r="AY502" s="554"/>
      <c r="AZ502" s="554"/>
      <c r="BA502" s="554"/>
      <c r="BB502" s="555"/>
      <c r="BC502" s="582" t="s">
        <v>4</v>
      </c>
      <c r="BD502" s="582"/>
      <c r="BE502" s="582"/>
      <c r="BF502" s="582"/>
      <c r="BG502" s="582"/>
      <c r="BH502" s="582"/>
      <c r="BI502" s="582"/>
      <c r="BJ502" s="582"/>
      <c r="BK502" s="582"/>
      <c r="BL502" s="582"/>
      <c r="BM502" s="582"/>
      <c r="BN502" s="582"/>
      <c r="BO502" s="582"/>
      <c r="BP502" s="582"/>
      <c r="BQ502" s="582"/>
      <c r="BR502" s="582"/>
      <c r="BS502" s="582" t="s">
        <v>4</v>
      </c>
      <c r="BT502" s="582"/>
      <c r="BU502" s="582"/>
      <c r="BV502" s="582"/>
      <c r="BW502" s="582"/>
      <c r="BX502" s="582"/>
      <c r="BY502" s="582"/>
      <c r="BZ502" s="582"/>
      <c r="CA502" s="582"/>
      <c r="CB502" s="582"/>
      <c r="CC502" s="582"/>
      <c r="CD502" s="582"/>
      <c r="CE502" s="582"/>
      <c r="CF502" s="582"/>
      <c r="CG502" s="582"/>
      <c r="CH502" s="582"/>
      <c r="CI502" s="611">
        <f>CI481+CI488+CI501</f>
        <v>204426.59999999998</v>
      </c>
      <c r="CJ502" s="560"/>
      <c r="CK502" s="560"/>
      <c r="CL502" s="560"/>
      <c r="CM502" s="560"/>
      <c r="CN502" s="560"/>
      <c r="CO502" s="560"/>
      <c r="CP502" s="560"/>
      <c r="CQ502" s="560"/>
      <c r="CR502" s="560"/>
      <c r="CS502" s="560"/>
      <c r="CT502" s="560"/>
      <c r="CU502" s="560"/>
      <c r="CV502" s="560"/>
      <c r="CW502" s="560"/>
      <c r="CX502" s="560"/>
      <c r="CY502" s="560"/>
      <c r="CZ502" s="560"/>
      <c r="DA502" s="220"/>
    </row>
    <row r="503" spans="1:106" s="16" customFormat="1" ht="15" customHeight="1" x14ac:dyDescent="0.3">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3"/>
      <c r="BD503" s="223"/>
      <c r="BE503" s="223"/>
      <c r="BF503" s="223"/>
      <c r="BG503" s="223"/>
      <c r="BH503" s="223"/>
      <c r="BI503" s="223"/>
      <c r="BJ503" s="223"/>
      <c r="BK503" s="223"/>
      <c r="BL503" s="223"/>
      <c r="BM503" s="223"/>
      <c r="BN503" s="223"/>
      <c r="BO503" s="223"/>
      <c r="BP503" s="223"/>
      <c r="BQ503" s="223"/>
      <c r="BR503" s="223"/>
      <c r="BS503" s="223"/>
      <c r="BT503" s="223"/>
      <c r="BU503" s="223"/>
      <c r="BV503" s="223"/>
      <c r="BW503" s="223"/>
      <c r="BX503" s="223"/>
      <c r="BY503" s="223"/>
      <c r="BZ503" s="223"/>
      <c r="CA503" s="223"/>
      <c r="CB503" s="223"/>
      <c r="CC503" s="223"/>
      <c r="CD503" s="223"/>
      <c r="CE503" s="223"/>
      <c r="CF503" s="223"/>
      <c r="CG503" s="223"/>
      <c r="CH503" s="223"/>
      <c r="CI503" s="229"/>
      <c r="CJ503" s="45"/>
      <c r="CK503" s="45"/>
      <c r="CL503" s="45"/>
      <c r="CM503" s="45"/>
      <c r="CN503" s="45"/>
      <c r="CO503" s="45"/>
      <c r="CP503" s="45"/>
      <c r="CQ503" s="45"/>
      <c r="CR503" s="45"/>
      <c r="CS503" s="45"/>
      <c r="CT503" s="45"/>
      <c r="CU503" s="45"/>
      <c r="CV503" s="45"/>
      <c r="CW503" s="45"/>
      <c r="CX503" s="45"/>
      <c r="CY503" s="45"/>
      <c r="CZ503" s="45"/>
      <c r="DA503" s="220"/>
    </row>
    <row r="504" spans="1:106" s="20" customFormat="1" ht="14.25" customHeight="1" x14ac:dyDescent="0.25">
      <c r="A504" s="594" t="s">
        <v>360</v>
      </c>
      <c r="B504" s="594"/>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4"/>
      <c r="AL504" s="594"/>
      <c r="AM504" s="594"/>
      <c r="AN504" s="594"/>
      <c r="AO504" s="594"/>
      <c r="AP504" s="594"/>
      <c r="AQ504" s="594"/>
      <c r="AR504" s="594"/>
      <c r="AS504" s="594"/>
      <c r="AT504" s="594"/>
      <c r="AU504" s="594"/>
      <c r="AV504" s="594"/>
      <c r="AW504" s="594"/>
      <c r="AX504" s="594"/>
      <c r="AY504" s="594"/>
      <c r="AZ504" s="594"/>
      <c r="BA504" s="594"/>
      <c r="BB504" s="594"/>
      <c r="BC504" s="594"/>
      <c r="BD504" s="594"/>
      <c r="BE504" s="594"/>
      <c r="BF504" s="594"/>
      <c r="BG504" s="594"/>
      <c r="BH504" s="594"/>
      <c r="BI504" s="594"/>
      <c r="BJ504" s="594"/>
      <c r="BK504" s="594"/>
      <c r="BL504" s="594"/>
      <c r="BM504" s="594"/>
      <c r="BN504" s="594"/>
      <c r="BO504" s="594"/>
      <c r="BP504" s="594"/>
      <c r="BQ504" s="594"/>
      <c r="BR504" s="594"/>
      <c r="BS504" s="594"/>
      <c r="BT504" s="594"/>
      <c r="BU504" s="594"/>
      <c r="BV504" s="594"/>
      <c r="BW504" s="594"/>
      <c r="BX504" s="594"/>
      <c r="BY504" s="594"/>
      <c r="BZ504" s="594"/>
      <c r="CA504" s="594"/>
      <c r="CB504" s="594"/>
      <c r="CC504" s="594"/>
      <c r="CD504" s="594"/>
      <c r="CE504" s="594"/>
      <c r="CF504" s="594"/>
      <c r="CG504" s="594"/>
      <c r="CH504" s="594"/>
      <c r="CI504" s="594"/>
      <c r="CJ504" s="594"/>
      <c r="CK504" s="594"/>
      <c r="CL504" s="594"/>
      <c r="CM504" s="594"/>
      <c r="CN504" s="594"/>
      <c r="CO504" s="594"/>
      <c r="CP504" s="594"/>
      <c r="CQ504" s="594"/>
      <c r="CR504" s="594"/>
      <c r="CS504" s="594"/>
      <c r="CT504" s="594"/>
      <c r="CU504" s="594"/>
      <c r="CV504" s="594"/>
      <c r="CW504" s="594"/>
      <c r="CX504" s="594"/>
      <c r="CY504" s="594"/>
      <c r="CZ504" s="594"/>
    </row>
    <row r="505" spans="1:106" s="20" customFormat="1" ht="9" customHeight="1" x14ac:dyDescent="0.25"/>
    <row r="506" spans="1:106" s="20" customFormat="1" ht="14.25" customHeight="1" x14ac:dyDescent="0.25">
      <c r="A506" s="20" t="s">
        <v>47</v>
      </c>
      <c r="W506" s="595" t="s">
        <v>587</v>
      </c>
      <c r="X506" s="595"/>
      <c r="Y506" s="595"/>
      <c r="Z506" s="595"/>
      <c r="AA506" s="595"/>
      <c r="AB506" s="595"/>
      <c r="AC506" s="595"/>
      <c r="AD506" s="595"/>
      <c r="AE506" s="595"/>
      <c r="AF506" s="595"/>
      <c r="AG506" s="595"/>
      <c r="AH506" s="595"/>
      <c r="AI506" s="595"/>
      <c r="AJ506" s="595"/>
      <c r="AK506" s="595"/>
      <c r="AL506" s="595"/>
      <c r="AM506" s="595"/>
      <c r="AN506" s="595"/>
      <c r="AO506" s="595"/>
      <c r="AP506" s="595"/>
      <c r="AQ506" s="595"/>
      <c r="AR506" s="595"/>
      <c r="AS506" s="595"/>
      <c r="AT506" s="595"/>
      <c r="AU506" s="595"/>
      <c r="AV506" s="595"/>
      <c r="AW506" s="595"/>
      <c r="AX506" s="595"/>
      <c r="AY506" s="595"/>
      <c r="AZ506" s="595"/>
      <c r="BA506" s="595"/>
      <c r="BB506" s="595"/>
      <c r="BC506" s="595"/>
      <c r="BD506" s="595"/>
      <c r="BE506" s="595"/>
      <c r="BF506" s="595"/>
      <c r="BG506" s="595"/>
      <c r="BH506" s="595"/>
      <c r="BI506" s="595"/>
      <c r="BJ506" s="595"/>
      <c r="BK506" s="595"/>
      <c r="BL506" s="595"/>
      <c r="BM506" s="595"/>
      <c r="BN506" s="595"/>
      <c r="BO506" s="595"/>
      <c r="BP506" s="595"/>
      <c r="BQ506" s="595"/>
      <c r="BR506" s="595"/>
      <c r="BS506" s="595"/>
      <c r="BT506" s="595"/>
      <c r="BU506" s="595"/>
      <c r="BV506" s="595"/>
      <c r="BW506" s="595"/>
      <c r="BX506" s="595"/>
      <c r="BY506" s="595"/>
      <c r="BZ506" s="595"/>
      <c r="CA506" s="595"/>
      <c r="CB506" s="595"/>
      <c r="CC506" s="595"/>
      <c r="CD506" s="595"/>
      <c r="CE506" s="595"/>
      <c r="CF506" s="595"/>
      <c r="CG506" s="595"/>
      <c r="CH506" s="595"/>
      <c r="CI506" s="595"/>
      <c r="CJ506" s="595"/>
      <c r="CK506" s="595"/>
      <c r="CL506" s="595"/>
      <c r="CM506" s="595"/>
      <c r="CN506" s="595"/>
      <c r="CO506" s="595"/>
      <c r="CP506" s="595"/>
      <c r="CQ506" s="595"/>
      <c r="CR506" s="595"/>
      <c r="CS506" s="595"/>
      <c r="CT506" s="595"/>
      <c r="CU506" s="595"/>
      <c r="CV506" s="595"/>
      <c r="CW506" s="595"/>
      <c r="CX506" s="595"/>
      <c r="CY506" s="595"/>
      <c r="CZ506" s="595"/>
      <c r="DA506" s="230">
        <v>226</v>
      </c>
    </row>
    <row r="507" spans="1:106" s="20" customFormat="1" ht="10.5" customHeight="1" x14ac:dyDescent="0.25"/>
    <row r="508" spans="1:106" ht="30" customHeight="1" x14ac:dyDescent="0.25">
      <c r="A508" s="475" t="s">
        <v>49</v>
      </c>
      <c r="B508" s="476"/>
      <c r="C508" s="476"/>
      <c r="D508" s="476"/>
      <c r="E508" s="476"/>
      <c r="F508" s="476"/>
      <c r="G508" s="477"/>
      <c r="H508" s="475" t="s">
        <v>78</v>
      </c>
      <c r="I508" s="476"/>
      <c r="J508" s="476"/>
      <c r="K508" s="476"/>
      <c r="L508" s="476"/>
      <c r="M508" s="476"/>
      <c r="N508" s="476"/>
      <c r="O508" s="476"/>
      <c r="P508" s="476"/>
      <c r="Q508" s="476"/>
      <c r="R508" s="476"/>
      <c r="S508" s="476"/>
      <c r="T508" s="476"/>
      <c r="U508" s="476"/>
      <c r="V508" s="476"/>
      <c r="W508" s="476"/>
      <c r="X508" s="476"/>
      <c r="Y508" s="476"/>
      <c r="Z508" s="476"/>
      <c r="AA508" s="476"/>
      <c r="AB508" s="476"/>
      <c r="AC508" s="476"/>
      <c r="AD508" s="476"/>
      <c r="AE508" s="476"/>
      <c r="AF508" s="476"/>
      <c r="AG508" s="476"/>
      <c r="AH508" s="476"/>
      <c r="AI508" s="476"/>
      <c r="AJ508" s="476"/>
      <c r="AK508" s="476"/>
      <c r="AL508" s="476"/>
      <c r="AM508" s="476"/>
      <c r="AN508" s="476"/>
      <c r="AO508" s="476"/>
      <c r="AP508" s="476"/>
      <c r="AQ508" s="476"/>
      <c r="AR508" s="476"/>
      <c r="AS508" s="476"/>
      <c r="AT508" s="476"/>
      <c r="AU508" s="476"/>
      <c r="AV508" s="476"/>
      <c r="AW508" s="476"/>
      <c r="AX508" s="476"/>
      <c r="AY508" s="476"/>
      <c r="AZ508" s="476"/>
      <c r="BA508" s="476"/>
      <c r="BB508" s="476"/>
      <c r="BC508" s="476"/>
      <c r="BD508" s="476"/>
      <c r="BE508" s="476"/>
      <c r="BF508" s="476"/>
      <c r="BG508" s="476"/>
      <c r="BH508" s="476"/>
      <c r="BI508" s="476"/>
      <c r="BJ508" s="476"/>
      <c r="BK508" s="476"/>
      <c r="BL508" s="476"/>
      <c r="BM508" s="476"/>
      <c r="BN508" s="476"/>
      <c r="BO508" s="476"/>
      <c r="BP508" s="476"/>
      <c r="BQ508" s="476"/>
      <c r="BR508" s="477"/>
      <c r="BS508" s="606" t="s">
        <v>291</v>
      </c>
      <c r="BT508" s="606"/>
      <c r="BU508" s="606"/>
      <c r="BV508" s="606"/>
      <c r="BW508" s="606"/>
      <c r="BX508" s="606"/>
      <c r="BY508" s="606"/>
      <c r="BZ508" s="606"/>
      <c r="CA508" s="606"/>
      <c r="CB508" s="606"/>
      <c r="CC508" s="606"/>
      <c r="CD508" s="606"/>
      <c r="CE508" s="606"/>
      <c r="CF508" s="606"/>
      <c r="CG508" s="606"/>
      <c r="CH508" s="606"/>
      <c r="CI508" s="606" t="s">
        <v>99</v>
      </c>
      <c r="CJ508" s="606"/>
      <c r="CK508" s="606"/>
      <c r="CL508" s="606"/>
      <c r="CM508" s="606"/>
      <c r="CN508" s="606"/>
      <c r="CO508" s="606"/>
      <c r="CP508" s="606"/>
      <c r="CQ508" s="606"/>
      <c r="CR508" s="606"/>
      <c r="CS508" s="606"/>
      <c r="CT508" s="606"/>
      <c r="CU508" s="606"/>
      <c r="CV508" s="606"/>
      <c r="CW508" s="606"/>
      <c r="CX508" s="606"/>
      <c r="CY508" s="606"/>
      <c r="CZ508" s="606"/>
    </row>
    <row r="509" spans="1:106" s="17" customFormat="1" ht="12.75" customHeight="1" x14ac:dyDescent="0.25">
      <c r="A509" s="591">
        <v>1</v>
      </c>
      <c r="B509" s="591"/>
      <c r="C509" s="591"/>
      <c r="D509" s="591"/>
      <c r="E509" s="591"/>
      <c r="F509" s="591"/>
      <c r="G509" s="591"/>
      <c r="H509" s="591">
        <v>2</v>
      </c>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1"/>
      <c r="AL509" s="591"/>
      <c r="AM509" s="591"/>
      <c r="AN509" s="591"/>
      <c r="AO509" s="591"/>
      <c r="AP509" s="591"/>
      <c r="AQ509" s="591"/>
      <c r="AR509" s="591"/>
      <c r="AS509" s="591"/>
      <c r="AT509" s="591"/>
      <c r="AU509" s="591"/>
      <c r="AV509" s="591"/>
      <c r="AW509" s="591"/>
      <c r="AX509" s="591"/>
      <c r="AY509" s="591"/>
      <c r="AZ509" s="591"/>
      <c r="BA509" s="591"/>
      <c r="BB509" s="591"/>
      <c r="BC509" s="591"/>
      <c r="BD509" s="591"/>
      <c r="BE509" s="591"/>
      <c r="BF509" s="591"/>
      <c r="BG509" s="591"/>
      <c r="BH509" s="591"/>
      <c r="BI509" s="591"/>
      <c r="BJ509" s="591"/>
      <c r="BK509" s="591"/>
      <c r="BL509" s="591"/>
      <c r="BM509" s="591"/>
      <c r="BN509" s="591"/>
      <c r="BO509" s="591"/>
      <c r="BP509" s="591"/>
      <c r="BQ509" s="591"/>
      <c r="BR509" s="591"/>
      <c r="BS509" s="591">
        <v>3</v>
      </c>
      <c r="BT509" s="591"/>
      <c r="BU509" s="591"/>
      <c r="BV509" s="591"/>
      <c r="BW509" s="591"/>
      <c r="BX509" s="591"/>
      <c r="BY509" s="591"/>
      <c r="BZ509" s="591"/>
      <c r="CA509" s="591"/>
      <c r="CB509" s="591"/>
      <c r="CC509" s="591"/>
      <c r="CD509" s="591"/>
      <c r="CE509" s="591"/>
      <c r="CF509" s="591"/>
      <c r="CG509" s="591"/>
      <c r="CH509" s="591"/>
      <c r="CI509" s="591">
        <v>4</v>
      </c>
      <c r="CJ509" s="591"/>
      <c r="CK509" s="591"/>
      <c r="CL509" s="591"/>
      <c r="CM509" s="591"/>
      <c r="CN509" s="591"/>
      <c r="CO509" s="591"/>
      <c r="CP509" s="591"/>
      <c r="CQ509" s="591"/>
      <c r="CR509" s="591"/>
      <c r="CS509" s="591"/>
      <c r="CT509" s="591"/>
      <c r="CU509" s="591"/>
      <c r="CV509" s="591"/>
      <c r="CW509" s="591"/>
      <c r="CX509" s="591"/>
      <c r="CY509" s="591"/>
      <c r="CZ509" s="591"/>
      <c r="DA509" s="232"/>
    </row>
    <row r="510" spans="1:106" ht="15" customHeight="1" x14ac:dyDescent="0.25">
      <c r="A510" s="656" t="s">
        <v>537</v>
      </c>
      <c r="B510" s="657"/>
      <c r="C510" s="657"/>
      <c r="D510" s="657"/>
      <c r="E510" s="657"/>
      <c r="F510" s="657"/>
      <c r="G510" s="657"/>
      <c r="H510" s="657"/>
      <c r="I510" s="657"/>
      <c r="J510" s="657"/>
      <c r="K510" s="657"/>
      <c r="L510" s="657"/>
      <c r="M510" s="657"/>
      <c r="N510" s="657"/>
      <c r="O510" s="657"/>
      <c r="P510" s="657"/>
      <c r="Q510" s="657"/>
      <c r="R510" s="657"/>
      <c r="S510" s="657"/>
      <c r="T510" s="657"/>
      <c r="U510" s="657"/>
      <c r="V510" s="657"/>
      <c r="W510" s="657"/>
      <c r="X510" s="657"/>
      <c r="Y510" s="657"/>
      <c r="Z510" s="657"/>
      <c r="AA510" s="657"/>
      <c r="AB510" s="657"/>
      <c r="AC510" s="657"/>
      <c r="AD510" s="657"/>
      <c r="AE510" s="657"/>
      <c r="AF510" s="657"/>
      <c r="AG510" s="657"/>
      <c r="AH510" s="657"/>
      <c r="AI510" s="657"/>
      <c r="AJ510" s="657"/>
      <c r="AK510" s="657"/>
      <c r="AL510" s="657"/>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57"/>
      <c r="BQ510" s="657"/>
      <c r="BR510" s="657"/>
      <c r="BS510" s="657"/>
      <c r="BT510" s="657"/>
      <c r="BU510" s="657"/>
      <c r="BV510" s="657"/>
      <c r="BW510" s="657"/>
      <c r="BX510" s="657"/>
      <c r="BY510" s="657"/>
      <c r="BZ510" s="657"/>
      <c r="CA510" s="657"/>
      <c r="CB510" s="657"/>
      <c r="CC510" s="657"/>
      <c r="CD510" s="657"/>
      <c r="CE510" s="657"/>
      <c r="CF510" s="657"/>
      <c r="CG510" s="657"/>
      <c r="CH510" s="657"/>
      <c r="CI510" s="657"/>
      <c r="CJ510" s="657"/>
      <c r="CK510" s="657"/>
      <c r="CL510" s="657"/>
      <c r="CM510" s="657"/>
      <c r="CN510" s="657"/>
      <c r="CO510" s="657"/>
      <c r="CP510" s="657"/>
      <c r="CQ510" s="657"/>
      <c r="CR510" s="657"/>
      <c r="CS510" s="657"/>
      <c r="CT510" s="657"/>
      <c r="CU510" s="657"/>
      <c r="CV510" s="657"/>
      <c r="CW510" s="657"/>
      <c r="CX510" s="657"/>
      <c r="CY510" s="657"/>
      <c r="CZ510" s="658"/>
    </row>
    <row r="511" spans="1:106" ht="19.5" hidden="1" customHeight="1" x14ac:dyDescent="0.25">
      <c r="A511" s="659" t="s">
        <v>441</v>
      </c>
      <c r="B511" s="659"/>
      <c r="C511" s="659"/>
      <c r="D511" s="659"/>
      <c r="E511" s="659"/>
      <c r="F511" s="659"/>
      <c r="G511" s="659"/>
      <c r="H511" s="584" t="s">
        <v>645</v>
      </c>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6"/>
      <c r="BS511" s="582">
        <v>1</v>
      </c>
      <c r="BT511" s="582"/>
      <c r="BU511" s="582"/>
      <c r="BV511" s="582"/>
      <c r="BW511" s="582"/>
      <c r="BX511" s="582"/>
      <c r="BY511" s="582"/>
      <c r="BZ511" s="582"/>
      <c r="CA511" s="582"/>
      <c r="CB511" s="582"/>
      <c r="CC511" s="582"/>
      <c r="CD511" s="582"/>
      <c r="CE511" s="582"/>
      <c r="CF511" s="582"/>
      <c r="CG511" s="582"/>
      <c r="CH511" s="582"/>
      <c r="CI511" s="664"/>
      <c r="CJ511" s="664"/>
      <c r="CK511" s="664"/>
      <c r="CL511" s="664"/>
      <c r="CM511" s="664"/>
      <c r="CN511" s="664"/>
      <c r="CO511" s="664"/>
      <c r="CP511" s="664"/>
      <c r="CQ511" s="664"/>
      <c r="CR511" s="664"/>
      <c r="CS511" s="664"/>
      <c r="CT511" s="664"/>
      <c r="CU511" s="664"/>
      <c r="CV511" s="664"/>
      <c r="CW511" s="664"/>
      <c r="CX511" s="664"/>
      <c r="CY511" s="664"/>
      <c r="CZ511" s="664"/>
    </row>
    <row r="512" spans="1:106" ht="17.25" hidden="1" customHeight="1" x14ac:dyDescent="0.25">
      <c r="A512" s="659" t="s">
        <v>444</v>
      </c>
      <c r="B512" s="659"/>
      <c r="C512" s="659"/>
      <c r="D512" s="659"/>
      <c r="E512" s="659"/>
      <c r="F512" s="659"/>
      <c r="G512" s="659"/>
      <c r="H512" s="584" t="s">
        <v>836</v>
      </c>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5"/>
      <c r="AL512" s="585"/>
      <c r="AM512" s="585"/>
      <c r="AN512" s="585"/>
      <c r="AO512" s="585"/>
      <c r="AP512" s="585"/>
      <c r="AQ512" s="585"/>
      <c r="AR512" s="585"/>
      <c r="AS512" s="585"/>
      <c r="AT512" s="585"/>
      <c r="AU512" s="585"/>
      <c r="AV512" s="585"/>
      <c r="AW512" s="585"/>
      <c r="AX512" s="585"/>
      <c r="AY512" s="585"/>
      <c r="AZ512" s="585"/>
      <c r="BA512" s="585"/>
      <c r="BB512" s="585"/>
      <c r="BC512" s="585"/>
      <c r="BD512" s="585"/>
      <c r="BE512" s="585"/>
      <c r="BF512" s="585"/>
      <c r="BG512" s="585"/>
      <c r="BH512" s="585"/>
      <c r="BI512" s="585"/>
      <c r="BJ512" s="585"/>
      <c r="BK512" s="585"/>
      <c r="BL512" s="585"/>
      <c r="BM512" s="585"/>
      <c r="BN512" s="585"/>
      <c r="BO512" s="585"/>
      <c r="BP512" s="585"/>
      <c r="BQ512" s="585"/>
      <c r="BR512" s="586"/>
      <c r="BS512" s="582">
        <v>1</v>
      </c>
      <c r="BT512" s="582"/>
      <c r="BU512" s="582"/>
      <c r="BV512" s="582"/>
      <c r="BW512" s="582"/>
      <c r="BX512" s="582"/>
      <c r="BY512" s="582"/>
      <c r="BZ512" s="582"/>
      <c r="CA512" s="582"/>
      <c r="CB512" s="582"/>
      <c r="CC512" s="582"/>
      <c r="CD512" s="582"/>
      <c r="CE512" s="582"/>
      <c r="CF512" s="582"/>
      <c r="CG512" s="582"/>
      <c r="CH512" s="582"/>
      <c r="CI512" s="664"/>
      <c r="CJ512" s="664"/>
      <c r="CK512" s="664"/>
      <c r="CL512" s="664"/>
      <c r="CM512" s="664"/>
      <c r="CN512" s="664"/>
      <c r="CO512" s="664"/>
      <c r="CP512" s="664"/>
      <c r="CQ512" s="664"/>
      <c r="CR512" s="664"/>
      <c r="CS512" s="664"/>
      <c r="CT512" s="664"/>
      <c r="CU512" s="664"/>
      <c r="CV512" s="664"/>
      <c r="CW512" s="664"/>
      <c r="CX512" s="664"/>
      <c r="CY512" s="664"/>
      <c r="CZ512" s="664"/>
    </row>
    <row r="513" spans="1:104" ht="39.75" hidden="1" customHeight="1" x14ac:dyDescent="0.25">
      <c r="A513" s="659" t="s">
        <v>446</v>
      </c>
      <c r="B513" s="659"/>
      <c r="C513" s="659"/>
      <c r="D513" s="659"/>
      <c r="E513" s="659"/>
      <c r="F513" s="659"/>
      <c r="G513" s="659"/>
      <c r="H513" s="584" t="s">
        <v>886</v>
      </c>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c r="BB513" s="585"/>
      <c r="BC513" s="585"/>
      <c r="BD513" s="585"/>
      <c r="BE513" s="585"/>
      <c r="BF513" s="585"/>
      <c r="BG513" s="585"/>
      <c r="BH513" s="585"/>
      <c r="BI513" s="585"/>
      <c r="BJ513" s="585"/>
      <c r="BK513" s="585"/>
      <c r="BL513" s="585"/>
      <c r="BM513" s="585"/>
      <c r="BN513" s="585"/>
      <c r="BO513" s="585"/>
      <c r="BP513" s="585"/>
      <c r="BQ513" s="585"/>
      <c r="BR513" s="586"/>
      <c r="BS513" s="582">
        <v>1</v>
      </c>
      <c r="BT513" s="582"/>
      <c r="BU513" s="582"/>
      <c r="BV513" s="582"/>
      <c r="BW513" s="582"/>
      <c r="BX513" s="582"/>
      <c r="BY513" s="582"/>
      <c r="BZ513" s="582"/>
      <c r="CA513" s="582"/>
      <c r="CB513" s="582"/>
      <c r="CC513" s="582"/>
      <c r="CD513" s="582"/>
      <c r="CE513" s="582"/>
      <c r="CF513" s="582"/>
      <c r="CG513" s="582"/>
      <c r="CH513" s="582"/>
      <c r="CI513" s="664"/>
      <c r="CJ513" s="664"/>
      <c r="CK513" s="664"/>
      <c r="CL513" s="664"/>
      <c r="CM513" s="664"/>
      <c r="CN513" s="664"/>
      <c r="CO513" s="664"/>
      <c r="CP513" s="664"/>
      <c r="CQ513" s="664"/>
      <c r="CR513" s="664"/>
      <c r="CS513" s="664"/>
      <c r="CT513" s="664"/>
      <c r="CU513" s="664"/>
      <c r="CV513" s="664"/>
      <c r="CW513" s="664"/>
      <c r="CX513" s="664"/>
      <c r="CY513" s="664"/>
      <c r="CZ513" s="664"/>
    </row>
    <row r="514" spans="1:104" ht="15" hidden="1" customHeight="1" x14ac:dyDescent="0.25">
      <c r="A514" s="659" t="s">
        <v>551</v>
      </c>
      <c r="B514" s="659"/>
      <c r="C514" s="659"/>
      <c r="D514" s="659"/>
      <c r="E514" s="659"/>
      <c r="F514" s="659"/>
      <c r="G514" s="659"/>
      <c r="H514" s="584" t="s">
        <v>646</v>
      </c>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5"/>
      <c r="AL514" s="585"/>
      <c r="AM514" s="585"/>
      <c r="AN514" s="585"/>
      <c r="AO514" s="585"/>
      <c r="AP514" s="585"/>
      <c r="AQ514" s="585"/>
      <c r="AR514" s="585"/>
      <c r="AS514" s="585"/>
      <c r="AT514" s="585"/>
      <c r="AU514" s="585"/>
      <c r="AV514" s="585"/>
      <c r="AW514" s="585"/>
      <c r="AX514" s="585"/>
      <c r="AY514" s="585"/>
      <c r="AZ514" s="585"/>
      <c r="BA514" s="585"/>
      <c r="BB514" s="585"/>
      <c r="BC514" s="585"/>
      <c r="BD514" s="585"/>
      <c r="BE514" s="585"/>
      <c r="BF514" s="585"/>
      <c r="BG514" s="585"/>
      <c r="BH514" s="585"/>
      <c r="BI514" s="585"/>
      <c r="BJ514" s="585"/>
      <c r="BK514" s="585"/>
      <c r="BL514" s="585"/>
      <c r="BM514" s="585"/>
      <c r="BN514" s="585"/>
      <c r="BO514" s="585"/>
      <c r="BP514" s="585"/>
      <c r="BQ514" s="585"/>
      <c r="BR514" s="586"/>
      <c r="BS514" s="582">
        <v>1</v>
      </c>
      <c r="BT514" s="582"/>
      <c r="BU514" s="582"/>
      <c r="BV514" s="582"/>
      <c r="BW514" s="582"/>
      <c r="BX514" s="582"/>
      <c r="BY514" s="582"/>
      <c r="BZ514" s="582"/>
      <c r="CA514" s="582"/>
      <c r="CB514" s="582"/>
      <c r="CC514" s="582"/>
      <c r="CD514" s="582"/>
      <c r="CE514" s="582"/>
      <c r="CF514" s="582"/>
      <c r="CG514" s="582"/>
      <c r="CH514" s="582"/>
      <c r="CI514" s="664"/>
      <c r="CJ514" s="664"/>
      <c r="CK514" s="664"/>
      <c r="CL514" s="664"/>
      <c r="CM514" s="664"/>
      <c r="CN514" s="664"/>
      <c r="CO514" s="664"/>
      <c r="CP514" s="664"/>
      <c r="CQ514" s="664"/>
      <c r="CR514" s="664"/>
      <c r="CS514" s="664"/>
      <c r="CT514" s="664"/>
      <c r="CU514" s="664"/>
      <c r="CV514" s="664"/>
      <c r="CW514" s="664"/>
      <c r="CX514" s="664"/>
      <c r="CY514" s="664"/>
      <c r="CZ514" s="664"/>
    </row>
    <row r="515" spans="1:104" ht="15" hidden="1" customHeight="1" x14ac:dyDescent="0.25">
      <c r="A515" s="659" t="s">
        <v>599</v>
      </c>
      <c r="B515" s="659"/>
      <c r="C515" s="659"/>
      <c r="D515" s="659"/>
      <c r="E515" s="659"/>
      <c r="F515" s="659"/>
      <c r="G515" s="659"/>
      <c r="H515" s="584" t="s">
        <v>835</v>
      </c>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5"/>
      <c r="AL515" s="585"/>
      <c r="AM515" s="585"/>
      <c r="AN515" s="585"/>
      <c r="AO515" s="585"/>
      <c r="AP515" s="585"/>
      <c r="AQ515" s="585"/>
      <c r="AR515" s="585"/>
      <c r="AS515" s="585"/>
      <c r="AT515" s="585"/>
      <c r="AU515" s="585"/>
      <c r="AV515" s="585"/>
      <c r="AW515" s="585"/>
      <c r="AX515" s="585"/>
      <c r="AY515" s="585"/>
      <c r="AZ515" s="585"/>
      <c r="BA515" s="585"/>
      <c r="BB515" s="585"/>
      <c r="BC515" s="585"/>
      <c r="BD515" s="585"/>
      <c r="BE515" s="585"/>
      <c r="BF515" s="585"/>
      <c r="BG515" s="585"/>
      <c r="BH515" s="585"/>
      <c r="BI515" s="585"/>
      <c r="BJ515" s="585"/>
      <c r="BK515" s="585"/>
      <c r="BL515" s="585"/>
      <c r="BM515" s="585"/>
      <c r="BN515" s="585"/>
      <c r="BO515" s="585"/>
      <c r="BP515" s="585"/>
      <c r="BQ515" s="585"/>
      <c r="BR515" s="586"/>
      <c r="BS515" s="582">
        <v>0</v>
      </c>
      <c r="BT515" s="582"/>
      <c r="BU515" s="582"/>
      <c r="BV515" s="582"/>
      <c r="BW515" s="582"/>
      <c r="BX515" s="582"/>
      <c r="BY515" s="582"/>
      <c r="BZ515" s="582"/>
      <c r="CA515" s="582"/>
      <c r="CB515" s="582"/>
      <c r="CC515" s="582"/>
      <c r="CD515" s="582"/>
      <c r="CE515" s="582"/>
      <c r="CF515" s="582"/>
      <c r="CG515" s="582"/>
      <c r="CH515" s="582"/>
      <c r="CI515" s="664"/>
      <c r="CJ515" s="664"/>
      <c r="CK515" s="664"/>
      <c r="CL515" s="664"/>
      <c r="CM515" s="664"/>
      <c r="CN515" s="664"/>
      <c r="CO515" s="664"/>
      <c r="CP515" s="664"/>
      <c r="CQ515" s="664"/>
      <c r="CR515" s="664"/>
      <c r="CS515" s="664"/>
      <c r="CT515" s="664"/>
      <c r="CU515" s="664"/>
      <c r="CV515" s="664"/>
      <c r="CW515" s="664"/>
      <c r="CX515" s="664"/>
      <c r="CY515" s="664"/>
      <c r="CZ515" s="664"/>
    </row>
    <row r="516" spans="1:104" ht="15" hidden="1" customHeight="1" x14ac:dyDescent="0.25">
      <c r="A516" s="659" t="s">
        <v>642</v>
      </c>
      <c r="B516" s="659"/>
      <c r="C516" s="659"/>
      <c r="D516" s="659"/>
      <c r="E516" s="659"/>
      <c r="F516" s="659"/>
      <c r="G516" s="659"/>
      <c r="H516" s="584" t="s">
        <v>647</v>
      </c>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5"/>
      <c r="AL516" s="585"/>
      <c r="AM516" s="585"/>
      <c r="AN516" s="585"/>
      <c r="AO516" s="585"/>
      <c r="AP516" s="585"/>
      <c r="AQ516" s="585"/>
      <c r="AR516" s="585"/>
      <c r="AS516" s="585"/>
      <c r="AT516" s="585"/>
      <c r="AU516" s="585"/>
      <c r="AV516" s="585"/>
      <c r="AW516" s="585"/>
      <c r="AX516" s="585"/>
      <c r="AY516" s="585"/>
      <c r="AZ516" s="585"/>
      <c r="BA516" s="585"/>
      <c r="BB516" s="585"/>
      <c r="BC516" s="585"/>
      <c r="BD516" s="585"/>
      <c r="BE516" s="585"/>
      <c r="BF516" s="585"/>
      <c r="BG516" s="585"/>
      <c r="BH516" s="585"/>
      <c r="BI516" s="585"/>
      <c r="BJ516" s="585"/>
      <c r="BK516" s="585"/>
      <c r="BL516" s="585"/>
      <c r="BM516" s="585"/>
      <c r="BN516" s="585"/>
      <c r="BO516" s="585"/>
      <c r="BP516" s="585"/>
      <c r="BQ516" s="585"/>
      <c r="BR516" s="586"/>
      <c r="BS516" s="582">
        <v>1</v>
      </c>
      <c r="BT516" s="582"/>
      <c r="BU516" s="582"/>
      <c r="BV516" s="582"/>
      <c r="BW516" s="582"/>
      <c r="BX516" s="582"/>
      <c r="BY516" s="582"/>
      <c r="BZ516" s="582"/>
      <c r="CA516" s="582"/>
      <c r="CB516" s="582"/>
      <c r="CC516" s="582"/>
      <c r="CD516" s="582"/>
      <c r="CE516" s="582"/>
      <c r="CF516" s="582"/>
      <c r="CG516" s="582"/>
      <c r="CH516" s="582"/>
      <c r="CI516" s="664"/>
      <c r="CJ516" s="664"/>
      <c r="CK516" s="664"/>
      <c r="CL516" s="664"/>
      <c r="CM516" s="664"/>
      <c r="CN516" s="664"/>
      <c r="CO516" s="664"/>
      <c r="CP516" s="664"/>
      <c r="CQ516" s="664"/>
      <c r="CR516" s="664"/>
      <c r="CS516" s="664"/>
      <c r="CT516" s="664"/>
      <c r="CU516" s="664"/>
      <c r="CV516" s="664"/>
      <c r="CW516" s="664"/>
      <c r="CX516" s="664"/>
      <c r="CY516" s="664"/>
      <c r="CZ516" s="664"/>
    </row>
    <row r="517" spans="1:104" ht="15" hidden="1" customHeight="1" x14ac:dyDescent="0.25">
      <c r="A517" s="659" t="s">
        <v>648</v>
      </c>
      <c r="B517" s="659"/>
      <c r="C517" s="659"/>
      <c r="D517" s="659"/>
      <c r="E517" s="659"/>
      <c r="F517" s="659"/>
      <c r="G517" s="659"/>
      <c r="H517" s="584" t="s">
        <v>649</v>
      </c>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5"/>
      <c r="AL517" s="585"/>
      <c r="AM517" s="585"/>
      <c r="AN517" s="585"/>
      <c r="AO517" s="585"/>
      <c r="AP517" s="585"/>
      <c r="AQ517" s="585"/>
      <c r="AR517" s="585"/>
      <c r="AS517" s="585"/>
      <c r="AT517" s="585"/>
      <c r="AU517" s="585"/>
      <c r="AV517" s="585"/>
      <c r="AW517" s="585"/>
      <c r="AX517" s="585"/>
      <c r="AY517" s="585"/>
      <c r="AZ517" s="585"/>
      <c r="BA517" s="585"/>
      <c r="BB517" s="585"/>
      <c r="BC517" s="585"/>
      <c r="BD517" s="585"/>
      <c r="BE517" s="585"/>
      <c r="BF517" s="585"/>
      <c r="BG517" s="585"/>
      <c r="BH517" s="585"/>
      <c r="BI517" s="585"/>
      <c r="BJ517" s="585"/>
      <c r="BK517" s="585"/>
      <c r="BL517" s="585"/>
      <c r="BM517" s="585"/>
      <c r="BN517" s="585"/>
      <c r="BO517" s="585"/>
      <c r="BP517" s="585"/>
      <c r="BQ517" s="585"/>
      <c r="BR517" s="586"/>
      <c r="BS517" s="582">
        <v>1</v>
      </c>
      <c r="BT517" s="582"/>
      <c r="BU517" s="582"/>
      <c r="BV517" s="582"/>
      <c r="BW517" s="582"/>
      <c r="BX517" s="582"/>
      <c r="BY517" s="582"/>
      <c r="BZ517" s="582"/>
      <c r="CA517" s="582"/>
      <c r="CB517" s="582"/>
      <c r="CC517" s="582"/>
      <c r="CD517" s="582"/>
      <c r="CE517" s="582"/>
      <c r="CF517" s="582"/>
      <c r="CG517" s="582"/>
      <c r="CH517" s="582"/>
      <c r="CI517" s="664"/>
      <c r="CJ517" s="664"/>
      <c r="CK517" s="664"/>
      <c r="CL517" s="664"/>
      <c r="CM517" s="664"/>
      <c r="CN517" s="664"/>
      <c r="CO517" s="664"/>
      <c r="CP517" s="664"/>
      <c r="CQ517" s="664"/>
      <c r="CR517" s="664"/>
      <c r="CS517" s="664"/>
      <c r="CT517" s="664"/>
      <c r="CU517" s="664"/>
      <c r="CV517" s="664"/>
      <c r="CW517" s="664"/>
      <c r="CX517" s="664"/>
      <c r="CY517" s="664"/>
      <c r="CZ517" s="664"/>
    </row>
    <row r="518" spans="1:104" ht="20.25" hidden="1" customHeight="1" x14ac:dyDescent="0.25">
      <c r="A518" s="659" t="s">
        <v>650</v>
      </c>
      <c r="B518" s="659"/>
      <c r="C518" s="659"/>
      <c r="D518" s="659"/>
      <c r="E518" s="659"/>
      <c r="F518" s="659"/>
      <c r="G518" s="659"/>
      <c r="H518" s="584" t="s">
        <v>832</v>
      </c>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5"/>
      <c r="AL518" s="585"/>
      <c r="AM518" s="585"/>
      <c r="AN518" s="585"/>
      <c r="AO518" s="585"/>
      <c r="AP518" s="585"/>
      <c r="AQ518" s="585"/>
      <c r="AR518" s="585"/>
      <c r="AS518" s="585"/>
      <c r="AT518" s="585"/>
      <c r="AU518" s="585"/>
      <c r="AV518" s="585"/>
      <c r="AW518" s="585"/>
      <c r="AX518" s="585"/>
      <c r="AY518" s="585"/>
      <c r="AZ518" s="585"/>
      <c r="BA518" s="585"/>
      <c r="BB518" s="585"/>
      <c r="BC518" s="585"/>
      <c r="BD518" s="585"/>
      <c r="BE518" s="585"/>
      <c r="BF518" s="585"/>
      <c r="BG518" s="585"/>
      <c r="BH518" s="585"/>
      <c r="BI518" s="585"/>
      <c r="BJ518" s="585"/>
      <c r="BK518" s="585"/>
      <c r="BL518" s="585"/>
      <c r="BM518" s="585"/>
      <c r="BN518" s="585"/>
      <c r="BO518" s="585"/>
      <c r="BP518" s="585"/>
      <c r="BQ518" s="585"/>
      <c r="BR518" s="586"/>
      <c r="BS518" s="582">
        <v>1</v>
      </c>
      <c r="BT518" s="582"/>
      <c r="BU518" s="582"/>
      <c r="BV518" s="582"/>
      <c r="BW518" s="582"/>
      <c r="BX518" s="582"/>
      <c r="BY518" s="582"/>
      <c r="BZ518" s="582"/>
      <c r="CA518" s="582"/>
      <c r="CB518" s="582"/>
      <c r="CC518" s="582"/>
      <c r="CD518" s="582"/>
      <c r="CE518" s="582"/>
      <c r="CF518" s="582"/>
      <c r="CG518" s="582"/>
      <c r="CH518" s="582"/>
      <c r="CI518" s="664"/>
      <c r="CJ518" s="664"/>
      <c r="CK518" s="664"/>
      <c r="CL518" s="664"/>
      <c r="CM518" s="664"/>
      <c r="CN518" s="664"/>
      <c r="CO518" s="664"/>
      <c r="CP518" s="664"/>
      <c r="CQ518" s="664"/>
      <c r="CR518" s="664"/>
      <c r="CS518" s="664"/>
      <c r="CT518" s="664"/>
      <c r="CU518" s="664"/>
      <c r="CV518" s="664"/>
      <c r="CW518" s="664"/>
      <c r="CX518" s="664"/>
      <c r="CY518" s="664"/>
      <c r="CZ518" s="664"/>
    </row>
    <row r="519" spans="1:104" ht="15" hidden="1" customHeight="1" x14ac:dyDescent="0.25">
      <c r="A519" s="659" t="s">
        <v>651</v>
      </c>
      <c r="B519" s="659"/>
      <c r="C519" s="659"/>
      <c r="D519" s="659"/>
      <c r="E519" s="659"/>
      <c r="F519" s="659"/>
      <c r="G519" s="659"/>
      <c r="H519" s="584" t="s">
        <v>888</v>
      </c>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5"/>
      <c r="AL519" s="585"/>
      <c r="AM519" s="585"/>
      <c r="AN519" s="585"/>
      <c r="AO519" s="585"/>
      <c r="AP519" s="585"/>
      <c r="AQ519" s="585"/>
      <c r="AR519" s="585"/>
      <c r="AS519" s="585"/>
      <c r="AT519" s="585"/>
      <c r="AU519" s="585"/>
      <c r="AV519" s="585"/>
      <c r="AW519" s="585"/>
      <c r="AX519" s="585"/>
      <c r="AY519" s="585"/>
      <c r="AZ519" s="585"/>
      <c r="BA519" s="585"/>
      <c r="BB519" s="585"/>
      <c r="BC519" s="585"/>
      <c r="BD519" s="585"/>
      <c r="BE519" s="585"/>
      <c r="BF519" s="585"/>
      <c r="BG519" s="585"/>
      <c r="BH519" s="585"/>
      <c r="BI519" s="585"/>
      <c r="BJ519" s="585"/>
      <c r="BK519" s="585"/>
      <c r="BL519" s="585"/>
      <c r="BM519" s="585"/>
      <c r="BN519" s="585"/>
      <c r="BO519" s="585"/>
      <c r="BP519" s="585"/>
      <c r="BQ519" s="585"/>
      <c r="BR519" s="586"/>
      <c r="BS519" s="582">
        <v>1</v>
      </c>
      <c r="BT519" s="582"/>
      <c r="BU519" s="582"/>
      <c r="BV519" s="582"/>
      <c r="BW519" s="582"/>
      <c r="BX519" s="582"/>
      <c r="BY519" s="582"/>
      <c r="BZ519" s="582"/>
      <c r="CA519" s="582"/>
      <c r="CB519" s="582"/>
      <c r="CC519" s="582"/>
      <c r="CD519" s="582"/>
      <c r="CE519" s="582"/>
      <c r="CF519" s="582"/>
      <c r="CG519" s="582"/>
      <c r="CH519" s="582"/>
      <c r="CI519" s="664"/>
      <c r="CJ519" s="664"/>
      <c r="CK519" s="664"/>
      <c r="CL519" s="664"/>
      <c r="CM519" s="664"/>
      <c r="CN519" s="664"/>
      <c r="CO519" s="664"/>
      <c r="CP519" s="664"/>
      <c r="CQ519" s="664"/>
      <c r="CR519" s="664"/>
      <c r="CS519" s="664"/>
      <c r="CT519" s="664"/>
      <c r="CU519" s="664"/>
      <c r="CV519" s="664"/>
      <c r="CW519" s="664"/>
      <c r="CX519" s="664"/>
      <c r="CY519" s="664"/>
      <c r="CZ519" s="664"/>
    </row>
    <row r="520" spans="1:104" ht="15" hidden="1" customHeight="1" x14ac:dyDescent="0.25">
      <c r="A520" s="659" t="s">
        <v>489</v>
      </c>
      <c r="B520" s="659"/>
      <c r="C520" s="659"/>
      <c r="D520" s="659"/>
      <c r="E520" s="659"/>
      <c r="F520" s="659"/>
      <c r="G520" s="659"/>
      <c r="H520" s="584" t="s">
        <v>652</v>
      </c>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5"/>
      <c r="AL520" s="585"/>
      <c r="AM520" s="585"/>
      <c r="AN520" s="585"/>
      <c r="AO520" s="585"/>
      <c r="AP520" s="585"/>
      <c r="AQ520" s="585"/>
      <c r="AR520" s="585"/>
      <c r="AS520" s="585"/>
      <c r="AT520" s="585"/>
      <c r="AU520" s="585"/>
      <c r="AV520" s="585"/>
      <c r="AW520" s="585"/>
      <c r="AX520" s="585"/>
      <c r="AY520" s="585"/>
      <c r="AZ520" s="585"/>
      <c r="BA520" s="585"/>
      <c r="BB520" s="585"/>
      <c r="BC520" s="585"/>
      <c r="BD520" s="585"/>
      <c r="BE520" s="585"/>
      <c r="BF520" s="585"/>
      <c r="BG520" s="585"/>
      <c r="BH520" s="585"/>
      <c r="BI520" s="585"/>
      <c r="BJ520" s="585"/>
      <c r="BK520" s="585"/>
      <c r="BL520" s="585"/>
      <c r="BM520" s="585"/>
      <c r="BN520" s="585"/>
      <c r="BO520" s="585"/>
      <c r="BP520" s="585"/>
      <c r="BQ520" s="585"/>
      <c r="BR520" s="586"/>
      <c r="BS520" s="582"/>
      <c r="BT520" s="582"/>
      <c r="BU520" s="582"/>
      <c r="BV520" s="582"/>
      <c r="BW520" s="582"/>
      <c r="BX520" s="582"/>
      <c r="BY520" s="582"/>
      <c r="BZ520" s="582"/>
      <c r="CA520" s="582"/>
      <c r="CB520" s="582"/>
      <c r="CC520" s="582"/>
      <c r="CD520" s="582"/>
      <c r="CE520" s="582"/>
      <c r="CF520" s="582"/>
      <c r="CG520" s="582"/>
      <c r="CH520" s="582"/>
      <c r="CI520" s="664"/>
      <c r="CJ520" s="664"/>
      <c r="CK520" s="664"/>
      <c r="CL520" s="664"/>
      <c r="CM520" s="664"/>
      <c r="CN520" s="664"/>
      <c r="CO520" s="664"/>
      <c r="CP520" s="664"/>
      <c r="CQ520" s="664"/>
      <c r="CR520" s="664"/>
      <c r="CS520" s="664"/>
      <c r="CT520" s="664"/>
      <c r="CU520" s="664"/>
      <c r="CV520" s="664"/>
      <c r="CW520" s="664"/>
      <c r="CX520" s="664"/>
      <c r="CY520" s="664"/>
      <c r="CZ520" s="664"/>
    </row>
    <row r="521" spans="1:104" ht="15" hidden="1" customHeight="1" x14ac:dyDescent="0.25">
      <c r="A521" s="659" t="s">
        <v>653</v>
      </c>
      <c r="B521" s="659"/>
      <c r="C521" s="659"/>
      <c r="D521" s="659"/>
      <c r="E521" s="659"/>
      <c r="F521" s="659"/>
      <c r="G521" s="659"/>
      <c r="H521" s="584" t="s">
        <v>837</v>
      </c>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5"/>
      <c r="AL521" s="585"/>
      <c r="AM521" s="585"/>
      <c r="AN521" s="585"/>
      <c r="AO521" s="585"/>
      <c r="AP521" s="585"/>
      <c r="AQ521" s="585"/>
      <c r="AR521" s="585"/>
      <c r="AS521" s="585"/>
      <c r="AT521" s="585"/>
      <c r="AU521" s="585"/>
      <c r="AV521" s="585"/>
      <c r="AW521" s="585"/>
      <c r="AX521" s="585"/>
      <c r="AY521" s="585"/>
      <c r="AZ521" s="585"/>
      <c r="BA521" s="585"/>
      <c r="BB521" s="585"/>
      <c r="BC521" s="585"/>
      <c r="BD521" s="585"/>
      <c r="BE521" s="585"/>
      <c r="BF521" s="585"/>
      <c r="BG521" s="585"/>
      <c r="BH521" s="585"/>
      <c r="BI521" s="585"/>
      <c r="BJ521" s="585"/>
      <c r="BK521" s="585"/>
      <c r="BL521" s="585"/>
      <c r="BM521" s="585"/>
      <c r="BN521" s="585"/>
      <c r="BO521" s="585"/>
      <c r="BP521" s="585"/>
      <c r="BQ521" s="585"/>
      <c r="BR521" s="586"/>
      <c r="BS521" s="582">
        <v>1</v>
      </c>
      <c r="BT521" s="582"/>
      <c r="BU521" s="582"/>
      <c r="BV521" s="582"/>
      <c r="BW521" s="582"/>
      <c r="BX521" s="582"/>
      <c r="BY521" s="582"/>
      <c r="BZ521" s="582"/>
      <c r="CA521" s="582"/>
      <c r="CB521" s="582"/>
      <c r="CC521" s="582"/>
      <c r="CD521" s="582"/>
      <c r="CE521" s="582"/>
      <c r="CF521" s="582"/>
      <c r="CG521" s="582"/>
      <c r="CH521" s="582"/>
      <c r="CI521" s="664"/>
      <c r="CJ521" s="664"/>
      <c r="CK521" s="664"/>
      <c r="CL521" s="664"/>
      <c r="CM521" s="664"/>
      <c r="CN521" s="664"/>
      <c r="CO521" s="664"/>
      <c r="CP521" s="664"/>
      <c r="CQ521" s="664"/>
      <c r="CR521" s="664"/>
      <c r="CS521" s="664"/>
      <c r="CT521" s="664"/>
      <c r="CU521" s="664"/>
      <c r="CV521" s="664"/>
      <c r="CW521" s="664"/>
      <c r="CX521" s="664"/>
      <c r="CY521" s="664"/>
      <c r="CZ521" s="664"/>
    </row>
    <row r="522" spans="1:104" ht="23.25" hidden="1" customHeight="1" x14ac:dyDescent="0.25">
      <c r="A522" s="659" t="s">
        <v>654</v>
      </c>
      <c r="B522" s="659"/>
      <c r="C522" s="659"/>
      <c r="D522" s="659"/>
      <c r="E522" s="659"/>
      <c r="F522" s="659"/>
      <c r="G522" s="659"/>
      <c r="H522" s="584" t="s">
        <v>838</v>
      </c>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5"/>
      <c r="AL522" s="585"/>
      <c r="AM522" s="585"/>
      <c r="AN522" s="585"/>
      <c r="AO522" s="585"/>
      <c r="AP522" s="585"/>
      <c r="AQ522" s="585"/>
      <c r="AR522" s="585"/>
      <c r="AS522" s="585"/>
      <c r="AT522" s="585"/>
      <c r="AU522" s="585"/>
      <c r="AV522" s="585"/>
      <c r="AW522" s="585"/>
      <c r="AX522" s="585"/>
      <c r="AY522" s="585"/>
      <c r="AZ522" s="585"/>
      <c r="BA522" s="585"/>
      <c r="BB522" s="585"/>
      <c r="BC522" s="585"/>
      <c r="BD522" s="585"/>
      <c r="BE522" s="585"/>
      <c r="BF522" s="585"/>
      <c r="BG522" s="585"/>
      <c r="BH522" s="585"/>
      <c r="BI522" s="585"/>
      <c r="BJ522" s="585"/>
      <c r="BK522" s="585"/>
      <c r="BL522" s="585"/>
      <c r="BM522" s="585"/>
      <c r="BN522" s="585"/>
      <c r="BO522" s="585"/>
      <c r="BP522" s="585"/>
      <c r="BQ522" s="585"/>
      <c r="BR522" s="586"/>
      <c r="BS522" s="582">
        <v>2</v>
      </c>
      <c r="BT522" s="582"/>
      <c r="BU522" s="582"/>
      <c r="BV522" s="582"/>
      <c r="BW522" s="582"/>
      <c r="BX522" s="582"/>
      <c r="BY522" s="582"/>
      <c r="BZ522" s="582"/>
      <c r="CA522" s="582"/>
      <c r="CB522" s="582"/>
      <c r="CC522" s="582"/>
      <c r="CD522" s="582"/>
      <c r="CE522" s="582"/>
      <c r="CF522" s="582"/>
      <c r="CG522" s="582"/>
      <c r="CH522" s="582"/>
      <c r="CI522" s="664"/>
      <c r="CJ522" s="664"/>
      <c r="CK522" s="664"/>
      <c r="CL522" s="664"/>
      <c r="CM522" s="664"/>
      <c r="CN522" s="664"/>
      <c r="CO522" s="664"/>
      <c r="CP522" s="664"/>
      <c r="CQ522" s="664"/>
      <c r="CR522" s="664"/>
      <c r="CS522" s="664"/>
      <c r="CT522" s="664"/>
      <c r="CU522" s="664"/>
      <c r="CV522" s="664"/>
      <c r="CW522" s="664"/>
      <c r="CX522" s="664"/>
      <c r="CY522" s="664"/>
      <c r="CZ522" s="664"/>
    </row>
    <row r="523" spans="1:104" ht="28.5" hidden="1" customHeight="1" x14ac:dyDescent="0.25">
      <c r="A523" s="659" t="s">
        <v>655</v>
      </c>
      <c r="B523" s="659"/>
      <c r="C523" s="659"/>
      <c r="D523" s="659"/>
      <c r="E523" s="659"/>
      <c r="F523" s="659"/>
      <c r="G523" s="659"/>
      <c r="H523" s="584" t="s">
        <v>839</v>
      </c>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5"/>
      <c r="AL523" s="585"/>
      <c r="AM523" s="585"/>
      <c r="AN523" s="585"/>
      <c r="AO523" s="585"/>
      <c r="AP523" s="585"/>
      <c r="AQ523" s="585"/>
      <c r="AR523" s="585"/>
      <c r="AS523" s="585"/>
      <c r="AT523" s="585"/>
      <c r="AU523" s="585"/>
      <c r="AV523" s="585"/>
      <c r="AW523" s="585"/>
      <c r="AX523" s="585"/>
      <c r="AY523" s="585"/>
      <c r="AZ523" s="585"/>
      <c r="BA523" s="585"/>
      <c r="BB523" s="585"/>
      <c r="BC523" s="585"/>
      <c r="BD523" s="585"/>
      <c r="BE523" s="585"/>
      <c r="BF523" s="585"/>
      <c r="BG523" s="585"/>
      <c r="BH523" s="585"/>
      <c r="BI523" s="585"/>
      <c r="BJ523" s="585"/>
      <c r="BK523" s="585"/>
      <c r="BL523" s="585"/>
      <c r="BM523" s="585"/>
      <c r="BN523" s="585"/>
      <c r="BO523" s="585"/>
      <c r="BP523" s="585"/>
      <c r="BQ523" s="585"/>
      <c r="BR523" s="586"/>
      <c r="BS523" s="582">
        <v>1</v>
      </c>
      <c r="BT523" s="582"/>
      <c r="BU523" s="582"/>
      <c r="BV523" s="582"/>
      <c r="BW523" s="582"/>
      <c r="BX523" s="582"/>
      <c r="BY523" s="582"/>
      <c r="BZ523" s="582"/>
      <c r="CA523" s="582"/>
      <c r="CB523" s="582"/>
      <c r="CC523" s="582"/>
      <c r="CD523" s="582"/>
      <c r="CE523" s="582"/>
      <c r="CF523" s="582"/>
      <c r="CG523" s="582"/>
      <c r="CH523" s="582"/>
      <c r="CI523" s="664"/>
      <c r="CJ523" s="664"/>
      <c r="CK523" s="664"/>
      <c r="CL523" s="664"/>
      <c r="CM523" s="664"/>
      <c r="CN523" s="664"/>
      <c r="CO523" s="664"/>
      <c r="CP523" s="664"/>
      <c r="CQ523" s="664"/>
      <c r="CR523" s="664"/>
      <c r="CS523" s="664"/>
      <c r="CT523" s="664"/>
      <c r="CU523" s="664"/>
      <c r="CV523" s="664"/>
      <c r="CW523" s="664"/>
      <c r="CX523" s="664"/>
      <c r="CY523" s="664"/>
      <c r="CZ523" s="664"/>
    </row>
    <row r="524" spans="1:104" ht="16.2" hidden="1" customHeight="1" x14ac:dyDescent="0.25">
      <c r="A524" s="659" t="s">
        <v>656</v>
      </c>
      <c r="B524" s="659"/>
      <c r="C524" s="659"/>
      <c r="D524" s="659"/>
      <c r="E524" s="659"/>
      <c r="F524" s="659"/>
      <c r="G524" s="659"/>
      <c r="H524" s="584" t="s">
        <v>842</v>
      </c>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5"/>
      <c r="AL524" s="585"/>
      <c r="AM524" s="585"/>
      <c r="AN524" s="585"/>
      <c r="AO524" s="585"/>
      <c r="AP524" s="585"/>
      <c r="AQ524" s="585"/>
      <c r="AR524" s="585"/>
      <c r="AS524" s="585"/>
      <c r="AT524" s="585"/>
      <c r="AU524" s="585"/>
      <c r="AV524" s="585"/>
      <c r="AW524" s="585"/>
      <c r="AX524" s="585"/>
      <c r="AY524" s="585"/>
      <c r="AZ524" s="585"/>
      <c r="BA524" s="585"/>
      <c r="BB524" s="585"/>
      <c r="BC524" s="585"/>
      <c r="BD524" s="585"/>
      <c r="BE524" s="585"/>
      <c r="BF524" s="585"/>
      <c r="BG524" s="585"/>
      <c r="BH524" s="585"/>
      <c r="BI524" s="585"/>
      <c r="BJ524" s="585"/>
      <c r="BK524" s="585"/>
      <c r="BL524" s="585"/>
      <c r="BM524" s="585"/>
      <c r="BN524" s="585"/>
      <c r="BO524" s="585"/>
      <c r="BP524" s="585"/>
      <c r="BQ524" s="585"/>
      <c r="BR524" s="586"/>
      <c r="BS524" s="582">
        <v>1</v>
      </c>
      <c r="BT524" s="582"/>
      <c r="BU524" s="582"/>
      <c r="BV524" s="582"/>
      <c r="BW524" s="582"/>
      <c r="BX524" s="582"/>
      <c r="BY524" s="582"/>
      <c r="BZ524" s="582"/>
      <c r="CA524" s="582"/>
      <c r="CB524" s="582"/>
      <c r="CC524" s="582"/>
      <c r="CD524" s="582"/>
      <c r="CE524" s="582"/>
      <c r="CF524" s="582"/>
      <c r="CG524" s="582"/>
      <c r="CH524" s="582"/>
      <c r="CI524" s="664"/>
      <c r="CJ524" s="664"/>
      <c r="CK524" s="664"/>
      <c r="CL524" s="664"/>
      <c r="CM524" s="664"/>
      <c r="CN524" s="664"/>
      <c r="CO524" s="664"/>
      <c r="CP524" s="664"/>
      <c r="CQ524" s="664"/>
      <c r="CR524" s="664"/>
      <c r="CS524" s="664"/>
      <c r="CT524" s="664"/>
      <c r="CU524" s="664"/>
      <c r="CV524" s="664"/>
      <c r="CW524" s="664"/>
      <c r="CX524" s="664"/>
      <c r="CY524" s="664"/>
      <c r="CZ524" s="664"/>
    </row>
    <row r="525" spans="1:104" ht="15" hidden="1" customHeight="1" x14ac:dyDescent="0.25">
      <c r="A525" s="659" t="s">
        <v>656</v>
      </c>
      <c r="B525" s="659"/>
      <c r="C525" s="659"/>
      <c r="D525" s="659"/>
      <c r="E525" s="659"/>
      <c r="F525" s="659"/>
      <c r="G525" s="659"/>
      <c r="H525" s="584" t="s">
        <v>658</v>
      </c>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5"/>
      <c r="AL525" s="585"/>
      <c r="AM525" s="585"/>
      <c r="AN525" s="585"/>
      <c r="AO525" s="585"/>
      <c r="AP525" s="585"/>
      <c r="AQ525" s="585"/>
      <c r="AR525" s="585"/>
      <c r="AS525" s="585"/>
      <c r="AT525" s="585"/>
      <c r="AU525" s="585"/>
      <c r="AV525" s="585"/>
      <c r="AW525" s="585"/>
      <c r="AX525" s="585"/>
      <c r="AY525" s="585"/>
      <c r="AZ525" s="585"/>
      <c r="BA525" s="585"/>
      <c r="BB525" s="585"/>
      <c r="BC525" s="585"/>
      <c r="BD525" s="585"/>
      <c r="BE525" s="585"/>
      <c r="BF525" s="585"/>
      <c r="BG525" s="585"/>
      <c r="BH525" s="585"/>
      <c r="BI525" s="585"/>
      <c r="BJ525" s="585"/>
      <c r="BK525" s="585"/>
      <c r="BL525" s="585"/>
      <c r="BM525" s="585"/>
      <c r="BN525" s="585"/>
      <c r="BO525" s="585"/>
      <c r="BP525" s="585"/>
      <c r="BQ525" s="585"/>
      <c r="BR525" s="586"/>
      <c r="BS525" s="582"/>
      <c r="BT525" s="582"/>
      <c r="BU525" s="582"/>
      <c r="BV525" s="582"/>
      <c r="BW525" s="582"/>
      <c r="BX525" s="582"/>
      <c r="BY525" s="582"/>
      <c r="BZ525" s="582"/>
      <c r="CA525" s="582"/>
      <c r="CB525" s="582"/>
      <c r="CC525" s="582"/>
      <c r="CD525" s="582"/>
      <c r="CE525" s="582"/>
      <c r="CF525" s="582"/>
      <c r="CG525" s="582"/>
      <c r="CH525" s="582"/>
      <c r="CI525" s="747"/>
      <c r="CJ525" s="747"/>
      <c r="CK525" s="747"/>
      <c r="CL525" s="747"/>
      <c r="CM525" s="747"/>
      <c r="CN525" s="747"/>
      <c r="CO525" s="747"/>
      <c r="CP525" s="747"/>
      <c r="CQ525" s="747"/>
      <c r="CR525" s="747"/>
      <c r="CS525" s="747"/>
      <c r="CT525" s="747"/>
      <c r="CU525" s="747"/>
      <c r="CV525" s="747"/>
      <c r="CW525" s="747"/>
      <c r="CX525" s="747"/>
      <c r="CY525" s="747"/>
      <c r="CZ525" s="747"/>
    </row>
    <row r="526" spans="1:104" ht="15" hidden="1" customHeight="1" x14ac:dyDescent="0.25">
      <c r="A526" s="659" t="s">
        <v>656</v>
      </c>
      <c r="B526" s="659"/>
      <c r="C526" s="659"/>
      <c r="D526" s="659"/>
      <c r="E526" s="659"/>
      <c r="F526" s="659"/>
      <c r="G526" s="659"/>
      <c r="H526" s="584" t="s">
        <v>660</v>
      </c>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5"/>
      <c r="AL526" s="585"/>
      <c r="AM526" s="585"/>
      <c r="AN526" s="585"/>
      <c r="AO526" s="585"/>
      <c r="AP526" s="585"/>
      <c r="AQ526" s="585"/>
      <c r="AR526" s="585"/>
      <c r="AS526" s="585"/>
      <c r="AT526" s="585"/>
      <c r="AU526" s="585"/>
      <c r="AV526" s="585"/>
      <c r="AW526" s="585"/>
      <c r="AX526" s="585"/>
      <c r="AY526" s="585"/>
      <c r="AZ526" s="585"/>
      <c r="BA526" s="585"/>
      <c r="BB526" s="585"/>
      <c r="BC526" s="585"/>
      <c r="BD526" s="585"/>
      <c r="BE526" s="585"/>
      <c r="BF526" s="585"/>
      <c r="BG526" s="585"/>
      <c r="BH526" s="585"/>
      <c r="BI526" s="585"/>
      <c r="BJ526" s="585"/>
      <c r="BK526" s="585"/>
      <c r="BL526" s="585"/>
      <c r="BM526" s="585"/>
      <c r="BN526" s="585"/>
      <c r="BO526" s="585"/>
      <c r="BP526" s="585"/>
      <c r="BQ526" s="585"/>
      <c r="BR526" s="586"/>
      <c r="BS526" s="544"/>
      <c r="BT526" s="545"/>
      <c r="BU526" s="545"/>
      <c r="BV526" s="545"/>
      <c r="BW526" s="545"/>
      <c r="BX526" s="545"/>
      <c r="BY526" s="545"/>
      <c r="BZ526" s="545"/>
      <c r="CA526" s="545"/>
      <c r="CB526" s="545"/>
      <c r="CC526" s="545"/>
      <c r="CD526" s="545"/>
      <c r="CE526" s="545"/>
      <c r="CF526" s="545"/>
      <c r="CG526" s="545"/>
      <c r="CH526" s="546"/>
      <c r="CI526" s="702"/>
      <c r="CJ526" s="703"/>
      <c r="CK526" s="703"/>
      <c r="CL526" s="703"/>
      <c r="CM526" s="703"/>
      <c r="CN526" s="703"/>
      <c r="CO526" s="703"/>
      <c r="CP526" s="703"/>
      <c r="CQ526" s="703"/>
      <c r="CR526" s="703"/>
      <c r="CS526" s="703"/>
      <c r="CT526" s="703"/>
      <c r="CU526" s="703"/>
      <c r="CV526" s="703"/>
      <c r="CW526" s="703"/>
      <c r="CX526" s="703"/>
      <c r="CY526" s="703"/>
      <c r="CZ526" s="704"/>
    </row>
    <row r="527" spans="1:104" ht="15" hidden="1" customHeight="1" x14ac:dyDescent="0.25">
      <c r="A527" s="659" t="s">
        <v>519</v>
      </c>
      <c r="B527" s="659"/>
      <c r="C527" s="659"/>
      <c r="D527" s="659"/>
      <c r="E527" s="659"/>
      <c r="F527" s="659"/>
      <c r="G527" s="659"/>
      <c r="H527" s="584" t="s">
        <v>840</v>
      </c>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5"/>
      <c r="AL527" s="585"/>
      <c r="AM527" s="585"/>
      <c r="AN527" s="585"/>
      <c r="AO527" s="585"/>
      <c r="AP527" s="585"/>
      <c r="AQ527" s="585"/>
      <c r="AR527" s="585"/>
      <c r="AS527" s="585"/>
      <c r="AT527" s="585"/>
      <c r="AU527" s="585"/>
      <c r="AV527" s="585"/>
      <c r="AW527" s="585"/>
      <c r="AX527" s="585"/>
      <c r="AY527" s="585"/>
      <c r="AZ527" s="585"/>
      <c r="BA527" s="585"/>
      <c r="BB527" s="585"/>
      <c r="BC527" s="585"/>
      <c r="BD527" s="585"/>
      <c r="BE527" s="585"/>
      <c r="BF527" s="585"/>
      <c r="BG527" s="585"/>
      <c r="BH527" s="585"/>
      <c r="BI527" s="585"/>
      <c r="BJ527" s="585"/>
      <c r="BK527" s="585"/>
      <c r="BL527" s="585"/>
      <c r="BM527" s="585"/>
      <c r="BN527" s="585"/>
      <c r="BO527" s="585"/>
      <c r="BP527" s="585"/>
      <c r="BQ527" s="585"/>
      <c r="BR527" s="586"/>
      <c r="BS527" s="544">
        <v>1</v>
      </c>
      <c r="BT527" s="545"/>
      <c r="BU527" s="545"/>
      <c r="BV527" s="545"/>
      <c r="BW527" s="545"/>
      <c r="BX527" s="545"/>
      <c r="BY527" s="545"/>
      <c r="BZ527" s="545"/>
      <c r="CA527" s="545"/>
      <c r="CB527" s="545"/>
      <c r="CC527" s="545"/>
      <c r="CD527" s="545"/>
      <c r="CE527" s="545"/>
      <c r="CF527" s="545"/>
      <c r="CG527" s="545"/>
      <c r="CH527" s="546"/>
      <c r="CI527" s="627"/>
      <c r="CJ527" s="628"/>
      <c r="CK527" s="628"/>
      <c r="CL527" s="628"/>
      <c r="CM527" s="628"/>
      <c r="CN527" s="628"/>
      <c r="CO527" s="628"/>
      <c r="CP527" s="628"/>
      <c r="CQ527" s="628"/>
      <c r="CR527" s="628"/>
      <c r="CS527" s="628"/>
      <c r="CT527" s="628"/>
      <c r="CU527" s="628"/>
      <c r="CV527" s="628"/>
      <c r="CW527" s="628"/>
      <c r="CX527" s="628"/>
      <c r="CY527" s="628"/>
      <c r="CZ527" s="629"/>
    </row>
    <row r="528" spans="1:104" ht="15" customHeight="1" x14ac:dyDescent="0.25">
      <c r="A528" s="659" t="s">
        <v>67</v>
      </c>
      <c r="B528" s="659"/>
      <c r="C528" s="659"/>
      <c r="D528" s="659"/>
      <c r="E528" s="659"/>
      <c r="F528" s="659"/>
      <c r="G528" s="659"/>
      <c r="H528" s="584" t="s">
        <v>661</v>
      </c>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5"/>
      <c r="AL528" s="585"/>
      <c r="AM528" s="585"/>
      <c r="AN528" s="585"/>
      <c r="AO528" s="585"/>
      <c r="AP528" s="585"/>
      <c r="AQ528" s="585"/>
      <c r="AR528" s="585"/>
      <c r="AS528" s="585"/>
      <c r="AT528" s="585"/>
      <c r="AU528" s="585"/>
      <c r="AV528" s="585"/>
      <c r="AW528" s="585"/>
      <c r="AX528" s="585"/>
      <c r="AY528" s="585"/>
      <c r="AZ528" s="585"/>
      <c r="BA528" s="585"/>
      <c r="BB528" s="585"/>
      <c r="BC528" s="585"/>
      <c r="BD528" s="585"/>
      <c r="BE528" s="585"/>
      <c r="BF528" s="585"/>
      <c r="BG528" s="585"/>
      <c r="BH528" s="585"/>
      <c r="BI528" s="585"/>
      <c r="BJ528" s="585"/>
      <c r="BK528" s="585"/>
      <c r="BL528" s="585"/>
      <c r="BM528" s="585"/>
      <c r="BN528" s="585"/>
      <c r="BO528" s="585"/>
      <c r="BP528" s="585"/>
      <c r="BQ528" s="585"/>
      <c r="BR528" s="586"/>
      <c r="BS528" s="582">
        <v>1</v>
      </c>
      <c r="BT528" s="582"/>
      <c r="BU528" s="582"/>
      <c r="BV528" s="582"/>
      <c r="BW528" s="582"/>
      <c r="BX528" s="582"/>
      <c r="BY528" s="582"/>
      <c r="BZ528" s="582"/>
      <c r="CA528" s="582"/>
      <c r="CB528" s="582"/>
      <c r="CC528" s="582"/>
      <c r="CD528" s="582"/>
      <c r="CE528" s="582"/>
      <c r="CF528" s="582"/>
      <c r="CG528" s="582"/>
      <c r="CH528" s="582"/>
      <c r="CI528" s="664">
        <v>5001903</v>
      </c>
      <c r="CJ528" s="664"/>
      <c r="CK528" s="664"/>
      <c r="CL528" s="664"/>
      <c r="CM528" s="664"/>
      <c r="CN528" s="664"/>
      <c r="CO528" s="664"/>
      <c r="CP528" s="664"/>
      <c r="CQ528" s="664"/>
      <c r="CR528" s="664"/>
      <c r="CS528" s="664"/>
      <c r="CT528" s="664"/>
      <c r="CU528" s="664"/>
      <c r="CV528" s="664"/>
      <c r="CW528" s="664"/>
      <c r="CX528" s="664"/>
      <c r="CY528" s="664"/>
      <c r="CZ528" s="664"/>
    </row>
    <row r="529" spans="1:104" ht="15" hidden="1" customHeight="1" x14ac:dyDescent="0.25">
      <c r="A529" s="659" t="s">
        <v>525</v>
      </c>
      <c r="B529" s="659"/>
      <c r="C529" s="659"/>
      <c r="D529" s="659"/>
      <c r="E529" s="659"/>
      <c r="F529" s="659"/>
      <c r="G529" s="659"/>
      <c r="H529" s="584"/>
      <c r="I529" s="585"/>
      <c r="J529" s="585"/>
      <c r="K529" s="585"/>
      <c r="L529" s="585"/>
      <c r="M529" s="585"/>
      <c r="N529" s="585"/>
      <c r="O529" s="585"/>
      <c r="P529" s="585"/>
      <c r="Q529" s="585"/>
      <c r="R529" s="585"/>
      <c r="S529" s="585"/>
      <c r="T529" s="585"/>
      <c r="U529" s="585"/>
      <c r="V529" s="585"/>
      <c r="W529" s="585"/>
      <c r="X529" s="585"/>
      <c r="Y529" s="585"/>
      <c r="Z529" s="585"/>
      <c r="AA529" s="585"/>
      <c r="AB529" s="585"/>
      <c r="AC529" s="585"/>
      <c r="AD529" s="585"/>
      <c r="AE529" s="585"/>
      <c r="AF529" s="585"/>
      <c r="AG529" s="585"/>
      <c r="AH529" s="585"/>
      <c r="AI529" s="585"/>
      <c r="AJ529" s="585"/>
      <c r="AK529" s="585"/>
      <c r="AL529" s="585"/>
      <c r="AM529" s="585"/>
      <c r="AN529" s="585"/>
      <c r="AO529" s="585"/>
      <c r="AP529" s="585"/>
      <c r="AQ529" s="585"/>
      <c r="AR529" s="585"/>
      <c r="AS529" s="585"/>
      <c r="AT529" s="585"/>
      <c r="AU529" s="585"/>
      <c r="AV529" s="585"/>
      <c r="AW529" s="585"/>
      <c r="AX529" s="585"/>
      <c r="AY529" s="585"/>
      <c r="AZ529" s="585"/>
      <c r="BA529" s="585"/>
      <c r="BB529" s="585"/>
      <c r="BC529" s="585"/>
      <c r="BD529" s="585"/>
      <c r="BE529" s="585"/>
      <c r="BF529" s="585"/>
      <c r="BG529" s="585"/>
      <c r="BH529" s="585"/>
      <c r="BI529" s="585"/>
      <c r="BJ529" s="585"/>
      <c r="BK529" s="585"/>
      <c r="BL529" s="585"/>
      <c r="BM529" s="585"/>
      <c r="BN529" s="585"/>
      <c r="BO529" s="585"/>
      <c r="BP529" s="585"/>
      <c r="BQ529" s="585"/>
      <c r="BR529" s="586"/>
      <c r="BS529" s="582"/>
      <c r="BT529" s="582"/>
      <c r="BU529" s="582"/>
      <c r="BV529" s="582"/>
      <c r="BW529" s="582"/>
      <c r="BX529" s="582"/>
      <c r="BY529" s="582"/>
      <c r="BZ529" s="582"/>
      <c r="CA529" s="582"/>
      <c r="CB529" s="582"/>
      <c r="CC529" s="582"/>
      <c r="CD529" s="582"/>
      <c r="CE529" s="582"/>
      <c r="CF529" s="582"/>
      <c r="CG529" s="582"/>
      <c r="CH529" s="582"/>
      <c r="CI529" s="664"/>
      <c r="CJ529" s="664"/>
      <c r="CK529" s="664"/>
      <c r="CL529" s="664"/>
      <c r="CM529" s="664"/>
      <c r="CN529" s="664"/>
      <c r="CO529" s="664"/>
      <c r="CP529" s="664"/>
      <c r="CQ529" s="664"/>
      <c r="CR529" s="664"/>
      <c r="CS529" s="664"/>
      <c r="CT529" s="664"/>
      <c r="CU529" s="664"/>
      <c r="CV529" s="664"/>
      <c r="CW529" s="664"/>
      <c r="CX529" s="664"/>
      <c r="CY529" s="664"/>
      <c r="CZ529" s="664"/>
    </row>
    <row r="530" spans="1:104" hidden="1" x14ac:dyDescent="0.25">
      <c r="A530" s="659" t="s">
        <v>662</v>
      </c>
      <c r="B530" s="659"/>
      <c r="C530" s="659"/>
      <c r="D530" s="659"/>
      <c r="E530" s="659"/>
      <c r="F530" s="659"/>
      <c r="G530" s="659"/>
      <c r="H530" s="584" t="s">
        <v>967</v>
      </c>
      <c r="I530" s="585"/>
      <c r="J530" s="585"/>
      <c r="K530" s="585"/>
      <c r="L530" s="585"/>
      <c r="M530" s="585"/>
      <c r="N530" s="585"/>
      <c r="O530" s="585"/>
      <c r="P530" s="585"/>
      <c r="Q530" s="585"/>
      <c r="R530" s="585"/>
      <c r="S530" s="585"/>
      <c r="T530" s="585"/>
      <c r="U530" s="585"/>
      <c r="V530" s="585"/>
      <c r="W530" s="585"/>
      <c r="X530" s="585"/>
      <c r="Y530" s="585"/>
      <c r="Z530" s="585"/>
      <c r="AA530" s="585"/>
      <c r="AB530" s="585"/>
      <c r="AC530" s="585"/>
      <c r="AD530" s="585"/>
      <c r="AE530" s="585"/>
      <c r="AF530" s="585"/>
      <c r="AG530" s="585"/>
      <c r="AH530" s="585"/>
      <c r="AI530" s="585"/>
      <c r="AJ530" s="585"/>
      <c r="AK530" s="585"/>
      <c r="AL530" s="585"/>
      <c r="AM530" s="585"/>
      <c r="AN530" s="585"/>
      <c r="AO530" s="585"/>
      <c r="AP530" s="585"/>
      <c r="AQ530" s="585"/>
      <c r="AR530" s="585"/>
      <c r="AS530" s="585"/>
      <c r="AT530" s="585"/>
      <c r="AU530" s="585"/>
      <c r="AV530" s="585"/>
      <c r="AW530" s="585"/>
      <c r="AX530" s="585"/>
      <c r="AY530" s="585"/>
      <c r="AZ530" s="585"/>
      <c r="BA530" s="585"/>
      <c r="BB530" s="585"/>
      <c r="BC530" s="585"/>
      <c r="BD530" s="585"/>
      <c r="BE530" s="585"/>
      <c r="BF530" s="585"/>
      <c r="BG530" s="585"/>
      <c r="BH530" s="585"/>
      <c r="BI530" s="585"/>
      <c r="BJ530" s="585"/>
      <c r="BK530" s="585"/>
      <c r="BL530" s="585"/>
      <c r="BM530" s="585"/>
      <c r="BN530" s="585"/>
      <c r="BO530" s="585"/>
      <c r="BP530" s="585"/>
      <c r="BQ530" s="585"/>
      <c r="BR530" s="586"/>
      <c r="BS530" s="582">
        <v>1</v>
      </c>
      <c r="BT530" s="582"/>
      <c r="BU530" s="582"/>
      <c r="BV530" s="582"/>
      <c r="BW530" s="582"/>
      <c r="BX530" s="582"/>
      <c r="BY530" s="582"/>
      <c r="BZ530" s="582"/>
      <c r="CA530" s="582"/>
      <c r="CB530" s="582"/>
      <c r="CC530" s="582"/>
      <c r="CD530" s="582"/>
      <c r="CE530" s="582"/>
      <c r="CF530" s="582"/>
      <c r="CG530" s="582"/>
      <c r="CH530" s="582"/>
      <c r="CI530" s="664"/>
      <c r="CJ530" s="664"/>
      <c r="CK530" s="664"/>
      <c r="CL530" s="664"/>
      <c r="CM530" s="664"/>
      <c r="CN530" s="664"/>
      <c r="CO530" s="664"/>
      <c r="CP530" s="664"/>
      <c r="CQ530" s="664"/>
      <c r="CR530" s="664"/>
      <c r="CS530" s="664"/>
      <c r="CT530" s="664"/>
      <c r="CU530" s="664"/>
      <c r="CV530" s="664"/>
      <c r="CW530" s="664"/>
      <c r="CX530" s="664"/>
      <c r="CY530" s="664"/>
      <c r="CZ530" s="664"/>
    </row>
    <row r="531" spans="1:104" hidden="1" x14ac:dyDescent="0.25">
      <c r="A531" s="659" t="s">
        <v>523</v>
      </c>
      <c r="B531" s="659"/>
      <c r="C531" s="659"/>
      <c r="D531" s="659"/>
      <c r="E531" s="659"/>
      <c r="F531" s="659"/>
      <c r="G531" s="659"/>
      <c r="H531" s="584" t="s">
        <v>663</v>
      </c>
      <c r="I531" s="585"/>
      <c r="J531" s="585"/>
      <c r="K531" s="585"/>
      <c r="L531" s="585"/>
      <c r="M531" s="585"/>
      <c r="N531" s="585"/>
      <c r="O531" s="585"/>
      <c r="P531" s="585"/>
      <c r="Q531" s="585"/>
      <c r="R531" s="585"/>
      <c r="S531" s="585"/>
      <c r="T531" s="585"/>
      <c r="U531" s="585"/>
      <c r="V531" s="585"/>
      <c r="W531" s="585"/>
      <c r="X531" s="585"/>
      <c r="Y531" s="585"/>
      <c r="Z531" s="585"/>
      <c r="AA531" s="585"/>
      <c r="AB531" s="585"/>
      <c r="AC531" s="585"/>
      <c r="AD531" s="585"/>
      <c r="AE531" s="585"/>
      <c r="AF531" s="585"/>
      <c r="AG531" s="585"/>
      <c r="AH531" s="585"/>
      <c r="AI531" s="585"/>
      <c r="AJ531" s="585"/>
      <c r="AK531" s="585"/>
      <c r="AL531" s="585"/>
      <c r="AM531" s="585"/>
      <c r="AN531" s="585"/>
      <c r="AO531" s="585"/>
      <c r="AP531" s="585"/>
      <c r="AQ531" s="585"/>
      <c r="AR531" s="585"/>
      <c r="AS531" s="585"/>
      <c r="AT531" s="585"/>
      <c r="AU531" s="585"/>
      <c r="AV531" s="585"/>
      <c r="AW531" s="585"/>
      <c r="AX531" s="585"/>
      <c r="AY531" s="585"/>
      <c r="AZ531" s="585"/>
      <c r="BA531" s="585"/>
      <c r="BB531" s="585"/>
      <c r="BC531" s="585"/>
      <c r="BD531" s="585"/>
      <c r="BE531" s="585"/>
      <c r="BF531" s="585"/>
      <c r="BG531" s="585"/>
      <c r="BH531" s="585"/>
      <c r="BI531" s="585"/>
      <c r="BJ531" s="585"/>
      <c r="BK531" s="585"/>
      <c r="BL531" s="585"/>
      <c r="BM531" s="585"/>
      <c r="BN531" s="585"/>
      <c r="BO531" s="585"/>
      <c r="BP531" s="585"/>
      <c r="BQ531" s="585"/>
      <c r="BR531" s="586"/>
      <c r="BS531" s="582">
        <v>1</v>
      </c>
      <c r="BT531" s="582"/>
      <c r="BU531" s="582"/>
      <c r="BV531" s="582"/>
      <c r="BW531" s="582"/>
      <c r="BX531" s="582"/>
      <c r="BY531" s="582"/>
      <c r="BZ531" s="582"/>
      <c r="CA531" s="582"/>
      <c r="CB531" s="582"/>
      <c r="CC531" s="582"/>
      <c r="CD531" s="582"/>
      <c r="CE531" s="582"/>
      <c r="CF531" s="582"/>
      <c r="CG531" s="582"/>
      <c r="CH531" s="582"/>
      <c r="CI531" s="664"/>
      <c r="CJ531" s="664"/>
      <c r="CK531" s="664"/>
      <c r="CL531" s="664"/>
      <c r="CM531" s="664"/>
      <c r="CN531" s="664"/>
      <c r="CO531" s="664"/>
      <c r="CP531" s="664"/>
      <c r="CQ531" s="664"/>
      <c r="CR531" s="664"/>
      <c r="CS531" s="664"/>
      <c r="CT531" s="664"/>
      <c r="CU531" s="664"/>
      <c r="CV531" s="664"/>
      <c r="CW531" s="664"/>
      <c r="CX531" s="664"/>
      <c r="CY531" s="664"/>
      <c r="CZ531" s="664"/>
    </row>
    <row r="532" spans="1:104" ht="12" hidden="1" customHeight="1" x14ac:dyDescent="0.25">
      <c r="A532" s="659" t="s">
        <v>621</v>
      </c>
      <c r="B532" s="659"/>
      <c r="C532" s="659"/>
      <c r="D532" s="659"/>
      <c r="E532" s="659"/>
      <c r="F532" s="659"/>
      <c r="G532" s="659"/>
      <c r="H532" s="584"/>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5"/>
      <c r="AL532" s="585"/>
      <c r="AM532" s="585"/>
      <c r="AN532" s="585"/>
      <c r="AO532" s="585"/>
      <c r="AP532" s="585"/>
      <c r="AQ532" s="585"/>
      <c r="AR532" s="585"/>
      <c r="AS532" s="585"/>
      <c r="AT532" s="585"/>
      <c r="AU532" s="585"/>
      <c r="AV532" s="585"/>
      <c r="AW532" s="585"/>
      <c r="AX532" s="585"/>
      <c r="AY532" s="585"/>
      <c r="AZ532" s="585"/>
      <c r="BA532" s="585"/>
      <c r="BB532" s="585"/>
      <c r="BC532" s="585"/>
      <c r="BD532" s="585"/>
      <c r="BE532" s="585"/>
      <c r="BF532" s="585"/>
      <c r="BG532" s="585"/>
      <c r="BH532" s="585"/>
      <c r="BI532" s="585"/>
      <c r="BJ532" s="585"/>
      <c r="BK532" s="585"/>
      <c r="BL532" s="585"/>
      <c r="BM532" s="585"/>
      <c r="BN532" s="585"/>
      <c r="BO532" s="585"/>
      <c r="BP532" s="585"/>
      <c r="BQ532" s="585"/>
      <c r="BR532" s="586"/>
      <c r="BS532" s="582"/>
      <c r="BT532" s="582"/>
      <c r="BU532" s="582"/>
      <c r="BV532" s="582"/>
      <c r="BW532" s="582"/>
      <c r="BX532" s="582"/>
      <c r="BY532" s="582"/>
      <c r="BZ532" s="582"/>
      <c r="CA532" s="582"/>
      <c r="CB532" s="582"/>
      <c r="CC532" s="582"/>
      <c r="CD532" s="582"/>
      <c r="CE532" s="582"/>
      <c r="CF532" s="582"/>
      <c r="CG532" s="582"/>
      <c r="CH532" s="582"/>
      <c r="CI532" s="664"/>
      <c r="CJ532" s="664"/>
      <c r="CK532" s="664"/>
      <c r="CL532" s="664"/>
      <c r="CM532" s="664"/>
      <c r="CN532" s="664"/>
      <c r="CO532" s="664"/>
      <c r="CP532" s="664"/>
      <c r="CQ532" s="664"/>
      <c r="CR532" s="664"/>
      <c r="CS532" s="664"/>
      <c r="CT532" s="664"/>
      <c r="CU532" s="664"/>
      <c r="CV532" s="664"/>
      <c r="CW532" s="664"/>
      <c r="CX532" s="664"/>
      <c r="CY532" s="664"/>
      <c r="CZ532" s="664"/>
    </row>
    <row r="533" spans="1:104" ht="15" hidden="1" customHeight="1" x14ac:dyDescent="0.25">
      <c r="A533" s="659" t="s">
        <v>525</v>
      </c>
      <c r="B533" s="659"/>
      <c r="C533" s="659"/>
      <c r="D533" s="659"/>
      <c r="E533" s="659"/>
      <c r="F533" s="659"/>
      <c r="G533" s="659"/>
      <c r="H533" s="584" t="s">
        <v>665</v>
      </c>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5"/>
      <c r="AL533" s="585"/>
      <c r="AM533" s="585"/>
      <c r="AN533" s="585"/>
      <c r="AO533" s="585"/>
      <c r="AP533" s="585"/>
      <c r="AQ533" s="585"/>
      <c r="AR533" s="585"/>
      <c r="AS533" s="585"/>
      <c r="AT533" s="585"/>
      <c r="AU533" s="585"/>
      <c r="AV533" s="585"/>
      <c r="AW533" s="585"/>
      <c r="AX533" s="585"/>
      <c r="AY533" s="585"/>
      <c r="AZ533" s="585"/>
      <c r="BA533" s="585"/>
      <c r="BB533" s="585"/>
      <c r="BC533" s="585"/>
      <c r="BD533" s="585"/>
      <c r="BE533" s="585"/>
      <c r="BF533" s="585"/>
      <c r="BG533" s="585"/>
      <c r="BH533" s="585"/>
      <c r="BI533" s="585"/>
      <c r="BJ533" s="585"/>
      <c r="BK533" s="585"/>
      <c r="BL533" s="585"/>
      <c r="BM533" s="585"/>
      <c r="BN533" s="585"/>
      <c r="BO533" s="585"/>
      <c r="BP533" s="585"/>
      <c r="BQ533" s="585"/>
      <c r="BR533" s="586"/>
      <c r="BS533" s="582">
        <v>1</v>
      </c>
      <c r="BT533" s="582"/>
      <c r="BU533" s="582"/>
      <c r="BV533" s="582"/>
      <c r="BW533" s="582"/>
      <c r="BX533" s="582"/>
      <c r="BY533" s="582"/>
      <c r="BZ533" s="582"/>
      <c r="CA533" s="582"/>
      <c r="CB533" s="582"/>
      <c r="CC533" s="582"/>
      <c r="CD533" s="582"/>
      <c r="CE533" s="582"/>
      <c r="CF533" s="582"/>
      <c r="CG533" s="582"/>
      <c r="CH533" s="582"/>
      <c r="CI533" s="664"/>
      <c r="CJ533" s="664"/>
      <c r="CK533" s="664"/>
      <c r="CL533" s="664"/>
      <c r="CM533" s="664"/>
      <c r="CN533" s="664"/>
      <c r="CO533" s="664"/>
      <c r="CP533" s="664"/>
      <c r="CQ533" s="664"/>
      <c r="CR533" s="664"/>
      <c r="CS533" s="664"/>
      <c r="CT533" s="664"/>
      <c r="CU533" s="664"/>
      <c r="CV533" s="664"/>
      <c r="CW533" s="664"/>
      <c r="CX533" s="664"/>
      <c r="CY533" s="664"/>
      <c r="CZ533" s="664"/>
    </row>
    <row r="534" spans="1:104" ht="30" hidden="1" customHeight="1" x14ac:dyDescent="0.25">
      <c r="A534" s="630" t="s">
        <v>526</v>
      </c>
      <c r="B534" s="631"/>
      <c r="C534" s="631"/>
      <c r="D534" s="631"/>
      <c r="E534" s="631"/>
      <c r="F534" s="631"/>
      <c r="G534" s="632"/>
      <c r="H534" s="584" t="s">
        <v>849</v>
      </c>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5"/>
      <c r="AL534" s="585"/>
      <c r="AM534" s="585"/>
      <c r="AN534" s="585"/>
      <c r="AO534" s="585"/>
      <c r="AP534" s="585"/>
      <c r="AQ534" s="585"/>
      <c r="AR534" s="585"/>
      <c r="AS534" s="585"/>
      <c r="AT534" s="585"/>
      <c r="AU534" s="585"/>
      <c r="AV534" s="585"/>
      <c r="AW534" s="585"/>
      <c r="AX534" s="585"/>
      <c r="AY534" s="585"/>
      <c r="AZ534" s="585"/>
      <c r="BA534" s="585"/>
      <c r="BB534" s="585"/>
      <c r="BC534" s="585"/>
      <c r="BD534" s="585"/>
      <c r="BE534" s="585"/>
      <c r="BF534" s="585"/>
      <c r="BG534" s="585"/>
      <c r="BH534" s="585"/>
      <c r="BI534" s="585"/>
      <c r="BJ534" s="585"/>
      <c r="BK534" s="585"/>
      <c r="BL534" s="585"/>
      <c r="BM534" s="585"/>
      <c r="BN534" s="585"/>
      <c r="BO534" s="585"/>
      <c r="BP534" s="585"/>
      <c r="BQ534" s="585"/>
      <c r="BR534" s="586"/>
      <c r="BS534" s="544">
        <v>1</v>
      </c>
      <c r="BT534" s="545"/>
      <c r="BU534" s="545"/>
      <c r="BV534" s="545"/>
      <c r="BW534" s="545"/>
      <c r="BX534" s="545"/>
      <c r="BY534" s="545"/>
      <c r="BZ534" s="545"/>
      <c r="CA534" s="545"/>
      <c r="CB534" s="545"/>
      <c r="CC534" s="545"/>
      <c r="CD534" s="545"/>
      <c r="CE534" s="545"/>
      <c r="CF534" s="545"/>
      <c r="CG534" s="545"/>
      <c r="CH534" s="546"/>
      <c r="CI534" s="627"/>
      <c r="CJ534" s="628"/>
      <c r="CK534" s="628"/>
      <c r="CL534" s="628"/>
      <c r="CM534" s="628"/>
      <c r="CN534" s="628"/>
      <c r="CO534" s="628"/>
      <c r="CP534" s="628"/>
      <c r="CQ534" s="628"/>
      <c r="CR534" s="628"/>
      <c r="CS534" s="628"/>
      <c r="CT534" s="628"/>
      <c r="CU534" s="628"/>
      <c r="CV534" s="628"/>
      <c r="CW534" s="628"/>
      <c r="CX534" s="628"/>
      <c r="CY534" s="628"/>
      <c r="CZ534" s="629"/>
    </row>
    <row r="535" spans="1:104" ht="27.6" hidden="1" customHeight="1" x14ac:dyDescent="0.25">
      <c r="A535" s="659" t="s">
        <v>530</v>
      </c>
      <c r="B535" s="659"/>
      <c r="C535" s="659"/>
      <c r="D535" s="659"/>
      <c r="E535" s="659"/>
      <c r="F535" s="659"/>
      <c r="G535" s="659"/>
      <c r="H535" s="584" t="s">
        <v>841</v>
      </c>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5"/>
      <c r="AL535" s="585"/>
      <c r="AM535" s="585"/>
      <c r="AN535" s="585"/>
      <c r="AO535" s="585"/>
      <c r="AP535" s="585"/>
      <c r="AQ535" s="585"/>
      <c r="AR535" s="585"/>
      <c r="AS535" s="585"/>
      <c r="AT535" s="585"/>
      <c r="AU535" s="585"/>
      <c r="AV535" s="585"/>
      <c r="AW535" s="585"/>
      <c r="AX535" s="585"/>
      <c r="AY535" s="585"/>
      <c r="AZ535" s="585"/>
      <c r="BA535" s="585"/>
      <c r="BB535" s="585"/>
      <c r="BC535" s="585"/>
      <c r="BD535" s="585"/>
      <c r="BE535" s="585"/>
      <c r="BF535" s="585"/>
      <c r="BG535" s="585"/>
      <c r="BH535" s="585"/>
      <c r="BI535" s="585"/>
      <c r="BJ535" s="585"/>
      <c r="BK535" s="585"/>
      <c r="BL535" s="585"/>
      <c r="BM535" s="585"/>
      <c r="BN535" s="585"/>
      <c r="BO535" s="585"/>
      <c r="BP535" s="585"/>
      <c r="BQ535" s="585"/>
      <c r="BR535" s="586"/>
      <c r="BS535" s="582">
        <v>1</v>
      </c>
      <c r="BT535" s="582"/>
      <c r="BU535" s="582"/>
      <c r="BV535" s="582"/>
      <c r="BW535" s="582"/>
      <c r="BX535" s="582"/>
      <c r="BY535" s="582"/>
      <c r="BZ535" s="582"/>
      <c r="CA535" s="582"/>
      <c r="CB535" s="582"/>
      <c r="CC535" s="582"/>
      <c r="CD535" s="582"/>
      <c r="CE535" s="582"/>
      <c r="CF535" s="582"/>
      <c r="CG535" s="582"/>
      <c r="CH535" s="582"/>
      <c r="CI535" s="664"/>
      <c r="CJ535" s="664"/>
      <c r="CK535" s="664"/>
      <c r="CL535" s="664"/>
      <c r="CM535" s="664"/>
      <c r="CN535" s="664"/>
      <c r="CO535" s="664"/>
      <c r="CP535" s="664"/>
      <c r="CQ535" s="664"/>
      <c r="CR535" s="664"/>
      <c r="CS535" s="664"/>
      <c r="CT535" s="664"/>
      <c r="CU535" s="664"/>
      <c r="CV535" s="664"/>
      <c r="CW535" s="664"/>
      <c r="CX535" s="664"/>
      <c r="CY535" s="664"/>
      <c r="CZ535" s="664"/>
    </row>
    <row r="536" spans="1:104" ht="15" hidden="1" customHeight="1" x14ac:dyDescent="0.25">
      <c r="A536" s="659" t="s">
        <v>621</v>
      </c>
      <c r="B536" s="659"/>
      <c r="C536" s="659"/>
      <c r="D536" s="659"/>
      <c r="E536" s="659"/>
      <c r="F536" s="659"/>
      <c r="G536" s="659"/>
      <c r="H536" s="584" t="s">
        <v>904</v>
      </c>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5"/>
      <c r="AL536" s="585"/>
      <c r="AM536" s="585"/>
      <c r="AN536" s="585"/>
      <c r="AO536" s="585"/>
      <c r="AP536" s="585"/>
      <c r="AQ536" s="585"/>
      <c r="AR536" s="585"/>
      <c r="AS536" s="585"/>
      <c r="AT536" s="585"/>
      <c r="AU536" s="585"/>
      <c r="AV536" s="585"/>
      <c r="AW536" s="585"/>
      <c r="AX536" s="585"/>
      <c r="AY536" s="585"/>
      <c r="AZ536" s="585"/>
      <c r="BA536" s="585"/>
      <c r="BB536" s="585"/>
      <c r="BC536" s="585"/>
      <c r="BD536" s="585"/>
      <c r="BE536" s="585"/>
      <c r="BF536" s="585"/>
      <c r="BG536" s="585"/>
      <c r="BH536" s="585"/>
      <c r="BI536" s="585"/>
      <c r="BJ536" s="585"/>
      <c r="BK536" s="585"/>
      <c r="BL536" s="585"/>
      <c r="BM536" s="585"/>
      <c r="BN536" s="585"/>
      <c r="BO536" s="585"/>
      <c r="BP536" s="585"/>
      <c r="BQ536" s="585"/>
      <c r="BR536" s="586"/>
      <c r="BS536" s="582">
        <v>1</v>
      </c>
      <c r="BT536" s="582"/>
      <c r="BU536" s="582"/>
      <c r="BV536" s="582"/>
      <c r="BW536" s="582"/>
      <c r="BX536" s="582"/>
      <c r="BY536" s="582"/>
      <c r="BZ536" s="582"/>
      <c r="CA536" s="582"/>
      <c r="CB536" s="582"/>
      <c r="CC536" s="582"/>
      <c r="CD536" s="582"/>
      <c r="CE536" s="582"/>
      <c r="CF536" s="582"/>
      <c r="CG536" s="582"/>
      <c r="CH536" s="582"/>
      <c r="CI536" s="664"/>
      <c r="CJ536" s="664"/>
      <c r="CK536" s="664"/>
      <c r="CL536" s="664"/>
      <c r="CM536" s="664"/>
      <c r="CN536" s="664"/>
      <c r="CO536" s="664"/>
      <c r="CP536" s="664"/>
      <c r="CQ536" s="664"/>
      <c r="CR536" s="664"/>
      <c r="CS536" s="664"/>
      <c r="CT536" s="664"/>
      <c r="CU536" s="664"/>
      <c r="CV536" s="664"/>
      <c r="CW536" s="664"/>
      <c r="CX536" s="664"/>
      <c r="CY536" s="664"/>
      <c r="CZ536" s="664"/>
    </row>
    <row r="537" spans="1:104" ht="15" hidden="1" customHeight="1" x14ac:dyDescent="0.25">
      <c r="A537" s="659" t="s">
        <v>668</v>
      </c>
      <c r="B537" s="659"/>
      <c r="C537" s="659"/>
      <c r="D537" s="659"/>
      <c r="E537" s="659"/>
      <c r="F537" s="659"/>
      <c r="G537" s="659"/>
      <c r="H537" s="584" t="s">
        <v>669</v>
      </c>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5"/>
      <c r="AL537" s="585"/>
      <c r="AM537" s="585"/>
      <c r="AN537" s="585"/>
      <c r="AO537" s="585"/>
      <c r="AP537" s="585"/>
      <c r="AQ537" s="585"/>
      <c r="AR537" s="585"/>
      <c r="AS537" s="585"/>
      <c r="AT537" s="585"/>
      <c r="AU537" s="585"/>
      <c r="AV537" s="585"/>
      <c r="AW537" s="585"/>
      <c r="AX537" s="585"/>
      <c r="AY537" s="585"/>
      <c r="AZ537" s="585"/>
      <c r="BA537" s="585"/>
      <c r="BB537" s="585"/>
      <c r="BC537" s="585"/>
      <c r="BD537" s="585"/>
      <c r="BE537" s="585"/>
      <c r="BF537" s="585"/>
      <c r="BG537" s="585"/>
      <c r="BH537" s="585"/>
      <c r="BI537" s="585"/>
      <c r="BJ537" s="585"/>
      <c r="BK537" s="585"/>
      <c r="BL537" s="585"/>
      <c r="BM537" s="585"/>
      <c r="BN537" s="585"/>
      <c r="BO537" s="585"/>
      <c r="BP537" s="585"/>
      <c r="BQ537" s="585"/>
      <c r="BR537" s="586"/>
      <c r="BS537" s="582"/>
      <c r="BT537" s="582"/>
      <c r="BU537" s="582"/>
      <c r="BV537" s="582"/>
      <c r="BW537" s="582"/>
      <c r="BX537" s="582"/>
      <c r="BY537" s="582"/>
      <c r="BZ537" s="582"/>
      <c r="CA537" s="582"/>
      <c r="CB537" s="582"/>
      <c r="CC537" s="582"/>
      <c r="CD537" s="582"/>
      <c r="CE537" s="582"/>
      <c r="CF537" s="582"/>
      <c r="CG537" s="582"/>
      <c r="CH537" s="582"/>
      <c r="CI537" s="664"/>
      <c r="CJ537" s="664"/>
      <c r="CK537" s="664"/>
      <c r="CL537" s="664"/>
      <c r="CM537" s="664"/>
      <c r="CN537" s="664"/>
      <c r="CO537" s="664"/>
      <c r="CP537" s="664"/>
      <c r="CQ537" s="664"/>
      <c r="CR537" s="664"/>
      <c r="CS537" s="664"/>
      <c r="CT537" s="664"/>
      <c r="CU537" s="664"/>
      <c r="CV537" s="664"/>
      <c r="CW537" s="664"/>
      <c r="CX537" s="664"/>
      <c r="CY537" s="664"/>
      <c r="CZ537" s="664"/>
    </row>
    <row r="538" spans="1:104" ht="15" hidden="1" customHeight="1" x14ac:dyDescent="0.25">
      <c r="A538" s="659" t="s">
        <v>622</v>
      </c>
      <c r="B538" s="659"/>
      <c r="C538" s="659"/>
      <c r="D538" s="659"/>
      <c r="E538" s="659"/>
      <c r="F538" s="659"/>
      <c r="G538" s="659"/>
      <c r="H538" s="584" t="s">
        <v>671</v>
      </c>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585"/>
      <c r="AY538" s="585"/>
      <c r="AZ538" s="585"/>
      <c r="BA538" s="585"/>
      <c r="BB538" s="585"/>
      <c r="BC538" s="585"/>
      <c r="BD538" s="585"/>
      <c r="BE538" s="585"/>
      <c r="BF538" s="585"/>
      <c r="BG538" s="585"/>
      <c r="BH538" s="585"/>
      <c r="BI538" s="585"/>
      <c r="BJ538" s="585"/>
      <c r="BK538" s="585"/>
      <c r="BL538" s="585"/>
      <c r="BM538" s="585"/>
      <c r="BN538" s="585"/>
      <c r="BO538" s="585"/>
      <c r="BP538" s="585"/>
      <c r="BQ538" s="585"/>
      <c r="BR538" s="586"/>
      <c r="BS538" s="582">
        <v>2</v>
      </c>
      <c r="BT538" s="582"/>
      <c r="BU538" s="582"/>
      <c r="BV538" s="582"/>
      <c r="BW538" s="582"/>
      <c r="BX538" s="582"/>
      <c r="BY538" s="582"/>
      <c r="BZ538" s="582"/>
      <c r="CA538" s="582"/>
      <c r="CB538" s="582"/>
      <c r="CC538" s="582"/>
      <c r="CD538" s="582"/>
      <c r="CE538" s="582"/>
      <c r="CF538" s="582"/>
      <c r="CG538" s="582"/>
      <c r="CH538" s="582"/>
      <c r="CI538" s="664"/>
      <c r="CJ538" s="664"/>
      <c r="CK538" s="664"/>
      <c r="CL538" s="664"/>
      <c r="CM538" s="664"/>
      <c r="CN538" s="664"/>
      <c r="CO538" s="664"/>
      <c r="CP538" s="664"/>
      <c r="CQ538" s="664"/>
      <c r="CR538" s="664"/>
      <c r="CS538" s="664"/>
      <c r="CT538" s="664"/>
      <c r="CU538" s="664"/>
      <c r="CV538" s="664"/>
      <c r="CW538" s="664"/>
      <c r="CX538" s="664"/>
      <c r="CY538" s="664"/>
      <c r="CZ538" s="664"/>
    </row>
    <row r="539" spans="1:104" ht="15" hidden="1" customHeight="1" x14ac:dyDescent="0.25">
      <c r="A539" s="659" t="s">
        <v>623</v>
      </c>
      <c r="B539" s="659"/>
      <c r="C539" s="659"/>
      <c r="D539" s="659"/>
      <c r="E539" s="659"/>
      <c r="F539" s="659"/>
      <c r="G539" s="659"/>
      <c r="H539" s="584" t="s">
        <v>673</v>
      </c>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5"/>
      <c r="AL539" s="585"/>
      <c r="AM539" s="585"/>
      <c r="AN539" s="585"/>
      <c r="AO539" s="585"/>
      <c r="AP539" s="585"/>
      <c r="AQ539" s="585"/>
      <c r="AR539" s="585"/>
      <c r="AS539" s="585"/>
      <c r="AT539" s="585"/>
      <c r="AU539" s="585"/>
      <c r="AV539" s="585"/>
      <c r="AW539" s="585"/>
      <c r="AX539" s="585"/>
      <c r="AY539" s="585"/>
      <c r="AZ539" s="585"/>
      <c r="BA539" s="585"/>
      <c r="BB539" s="585"/>
      <c r="BC539" s="585"/>
      <c r="BD539" s="585"/>
      <c r="BE539" s="585"/>
      <c r="BF539" s="585"/>
      <c r="BG539" s="585"/>
      <c r="BH539" s="585"/>
      <c r="BI539" s="585"/>
      <c r="BJ539" s="585"/>
      <c r="BK539" s="585"/>
      <c r="BL539" s="585"/>
      <c r="BM539" s="585"/>
      <c r="BN539" s="585"/>
      <c r="BO539" s="585"/>
      <c r="BP539" s="585"/>
      <c r="BQ539" s="585"/>
      <c r="BR539" s="586"/>
      <c r="BS539" s="582">
        <v>1</v>
      </c>
      <c r="BT539" s="582"/>
      <c r="BU539" s="582"/>
      <c r="BV539" s="582"/>
      <c r="BW539" s="582"/>
      <c r="BX539" s="582"/>
      <c r="BY539" s="582"/>
      <c r="BZ539" s="582"/>
      <c r="CA539" s="582"/>
      <c r="CB539" s="582"/>
      <c r="CC539" s="582"/>
      <c r="CD539" s="582"/>
      <c r="CE539" s="582"/>
      <c r="CF539" s="582"/>
      <c r="CG539" s="582"/>
      <c r="CH539" s="582"/>
      <c r="CI539" s="664"/>
      <c r="CJ539" s="664"/>
      <c r="CK539" s="664"/>
      <c r="CL539" s="664"/>
      <c r="CM539" s="664"/>
      <c r="CN539" s="664"/>
      <c r="CO539" s="664"/>
      <c r="CP539" s="664"/>
      <c r="CQ539" s="664"/>
      <c r="CR539" s="664"/>
      <c r="CS539" s="664"/>
      <c r="CT539" s="664"/>
      <c r="CU539" s="664"/>
      <c r="CV539" s="664"/>
      <c r="CW539" s="664"/>
      <c r="CX539" s="664"/>
      <c r="CY539" s="664"/>
      <c r="CZ539" s="664"/>
    </row>
    <row r="540" spans="1:104" ht="15" hidden="1" customHeight="1" x14ac:dyDescent="0.25">
      <c r="A540" s="659" t="s">
        <v>387</v>
      </c>
      <c r="B540" s="659"/>
      <c r="C540" s="659"/>
      <c r="D540" s="659"/>
      <c r="E540" s="659"/>
      <c r="F540" s="659"/>
      <c r="G540" s="659"/>
      <c r="H540" s="556" t="s">
        <v>892</v>
      </c>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6"/>
      <c r="AL540" s="556"/>
      <c r="AM540" s="556"/>
      <c r="AN540" s="556"/>
      <c r="AO540" s="556"/>
      <c r="AP540" s="556"/>
      <c r="AQ540" s="556"/>
      <c r="AR540" s="556"/>
      <c r="AS540" s="556"/>
      <c r="AT540" s="556"/>
      <c r="AU540" s="556"/>
      <c r="AV540" s="556"/>
      <c r="AW540" s="556"/>
      <c r="AX540" s="556"/>
      <c r="AY540" s="556"/>
      <c r="AZ540" s="556"/>
      <c r="BA540" s="556"/>
      <c r="BB540" s="556"/>
      <c r="BC540" s="556"/>
      <c r="BD540" s="556"/>
      <c r="BE540" s="556"/>
      <c r="BF540" s="556"/>
      <c r="BG540" s="556"/>
      <c r="BH540" s="556"/>
      <c r="BI540" s="556"/>
      <c r="BJ540" s="556"/>
      <c r="BK540" s="556"/>
      <c r="BL540" s="556"/>
      <c r="BM540" s="556"/>
      <c r="BN540" s="556"/>
      <c r="BO540" s="556"/>
      <c r="BP540" s="556"/>
      <c r="BQ540" s="556"/>
      <c r="BR540" s="556"/>
      <c r="BS540" s="582">
        <v>1</v>
      </c>
      <c r="BT540" s="582"/>
      <c r="BU540" s="582"/>
      <c r="BV540" s="582"/>
      <c r="BW540" s="582"/>
      <c r="BX540" s="582"/>
      <c r="BY540" s="582"/>
      <c r="BZ540" s="582"/>
      <c r="CA540" s="582"/>
      <c r="CB540" s="582"/>
      <c r="CC540" s="582"/>
      <c r="CD540" s="582"/>
      <c r="CE540" s="582"/>
      <c r="CF540" s="582"/>
      <c r="CG540" s="582"/>
      <c r="CH540" s="582"/>
      <c r="CI540" s="664"/>
      <c r="CJ540" s="664"/>
      <c r="CK540" s="664"/>
      <c r="CL540" s="664"/>
      <c r="CM540" s="664"/>
      <c r="CN540" s="664"/>
      <c r="CO540" s="664"/>
      <c r="CP540" s="664"/>
      <c r="CQ540" s="664"/>
      <c r="CR540" s="664"/>
      <c r="CS540" s="664"/>
      <c r="CT540" s="664"/>
      <c r="CU540" s="664"/>
      <c r="CV540" s="664"/>
      <c r="CW540" s="664"/>
      <c r="CX540" s="664"/>
      <c r="CY540" s="664"/>
      <c r="CZ540" s="664"/>
    </row>
    <row r="541" spans="1:104" ht="15" hidden="1" customHeight="1" x14ac:dyDescent="0.25">
      <c r="A541" s="659" t="s">
        <v>675</v>
      </c>
      <c r="B541" s="659"/>
      <c r="C541" s="659"/>
      <c r="D541" s="659"/>
      <c r="E541" s="659"/>
      <c r="F541" s="659"/>
      <c r="G541" s="659"/>
      <c r="H541" s="556" t="s">
        <v>676</v>
      </c>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6"/>
      <c r="AL541" s="556"/>
      <c r="AM541" s="556"/>
      <c r="AN541" s="556"/>
      <c r="AO541" s="556"/>
      <c r="AP541" s="556"/>
      <c r="AQ541" s="556"/>
      <c r="AR541" s="556"/>
      <c r="AS541" s="556"/>
      <c r="AT541" s="556"/>
      <c r="AU541" s="556"/>
      <c r="AV541" s="556"/>
      <c r="AW541" s="556"/>
      <c r="AX541" s="556"/>
      <c r="AY541" s="556"/>
      <c r="AZ541" s="556"/>
      <c r="BA541" s="556"/>
      <c r="BB541" s="556"/>
      <c r="BC541" s="556"/>
      <c r="BD541" s="556"/>
      <c r="BE541" s="556"/>
      <c r="BF541" s="556"/>
      <c r="BG541" s="556"/>
      <c r="BH541" s="556"/>
      <c r="BI541" s="556"/>
      <c r="BJ541" s="556"/>
      <c r="BK541" s="556"/>
      <c r="BL541" s="556"/>
      <c r="BM541" s="556"/>
      <c r="BN541" s="556"/>
      <c r="BO541" s="556"/>
      <c r="BP541" s="556"/>
      <c r="BQ541" s="556"/>
      <c r="BR541" s="556"/>
      <c r="BS541" s="582"/>
      <c r="BT541" s="582"/>
      <c r="BU541" s="582"/>
      <c r="BV541" s="582"/>
      <c r="BW541" s="582"/>
      <c r="BX541" s="582"/>
      <c r="BY541" s="582"/>
      <c r="BZ541" s="582"/>
      <c r="CA541" s="582"/>
      <c r="CB541" s="582"/>
      <c r="CC541" s="582"/>
      <c r="CD541" s="582"/>
      <c r="CE541" s="582"/>
      <c r="CF541" s="582"/>
      <c r="CG541" s="582"/>
      <c r="CH541" s="582"/>
      <c r="CI541" s="664"/>
      <c r="CJ541" s="664"/>
      <c r="CK541" s="664"/>
      <c r="CL541" s="664"/>
      <c r="CM541" s="664"/>
      <c r="CN541" s="664"/>
      <c r="CO541" s="664"/>
      <c r="CP541" s="664"/>
      <c r="CQ541" s="664"/>
      <c r="CR541" s="664"/>
      <c r="CS541" s="664"/>
      <c r="CT541" s="664"/>
      <c r="CU541" s="664"/>
      <c r="CV541" s="664"/>
      <c r="CW541" s="664"/>
      <c r="CX541" s="664"/>
      <c r="CY541" s="664"/>
      <c r="CZ541" s="664"/>
    </row>
    <row r="542" spans="1:104" ht="15" hidden="1" customHeight="1" x14ac:dyDescent="0.25">
      <c r="A542" s="659" t="s">
        <v>677</v>
      </c>
      <c r="B542" s="659"/>
      <c r="C542" s="659"/>
      <c r="D542" s="659"/>
      <c r="E542" s="659"/>
      <c r="F542" s="659"/>
      <c r="G542" s="659"/>
      <c r="H542" s="556" t="s">
        <v>678</v>
      </c>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6"/>
      <c r="AL542" s="556"/>
      <c r="AM542" s="556"/>
      <c r="AN542" s="556"/>
      <c r="AO542" s="556"/>
      <c r="AP542" s="556"/>
      <c r="AQ542" s="556"/>
      <c r="AR542" s="556"/>
      <c r="AS542" s="556"/>
      <c r="AT542" s="556"/>
      <c r="AU542" s="556"/>
      <c r="AV542" s="556"/>
      <c r="AW542" s="556"/>
      <c r="AX542" s="556"/>
      <c r="AY542" s="556"/>
      <c r="AZ542" s="556"/>
      <c r="BA542" s="556"/>
      <c r="BB542" s="556"/>
      <c r="BC542" s="556"/>
      <c r="BD542" s="556"/>
      <c r="BE542" s="556"/>
      <c r="BF542" s="556"/>
      <c r="BG542" s="556"/>
      <c r="BH542" s="556"/>
      <c r="BI542" s="556"/>
      <c r="BJ542" s="556"/>
      <c r="BK542" s="556"/>
      <c r="BL542" s="556"/>
      <c r="BM542" s="556"/>
      <c r="BN542" s="556"/>
      <c r="BO542" s="556"/>
      <c r="BP542" s="556"/>
      <c r="BQ542" s="556"/>
      <c r="BR542" s="556"/>
      <c r="BS542" s="582"/>
      <c r="BT542" s="582"/>
      <c r="BU542" s="582"/>
      <c r="BV542" s="582"/>
      <c r="BW542" s="582"/>
      <c r="BX542" s="582"/>
      <c r="BY542" s="582"/>
      <c r="BZ542" s="582"/>
      <c r="CA542" s="582"/>
      <c r="CB542" s="582"/>
      <c r="CC542" s="582"/>
      <c r="CD542" s="582"/>
      <c r="CE542" s="582"/>
      <c r="CF542" s="582"/>
      <c r="CG542" s="582"/>
      <c r="CH542" s="582"/>
      <c r="CI542" s="664"/>
      <c r="CJ542" s="664"/>
      <c r="CK542" s="664"/>
      <c r="CL542" s="664"/>
      <c r="CM542" s="664"/>
      <c r="CN542" s="664"/>
      <c r="CO542" s="664"/>
      <c r="CP542" s="664"/>
      <c r="CQ542" s="664"/>
      <c r="CR542" s="664"/>
      <c r="CS542" s="664"/>
      <c r="CT542" s="664"/>
      <c r="CU542" s="664"/>
      <c r="CV542" s="664"/>
      <c r="CW542" s="664"/>
      <c r="CX542" s="664"/>
      <c r="CY542" s="664"/>
      <c r="CZ542" s="664"/>
    </row>
    <row r="543" spans="1:104" ht="15" hidden="1" customHeight="1" x14ac:dyDescent="0.25">
      <c r="A543" s="659" t="s">
        <v>668</v>
      </c>
      <c r="B543" s="659"/>
      <c r="C543" s="659"/>
      <c r="D543" s="659"/>
      <c r="E543" s="659"/>
      <c r="F543" s="659"/>
      <c r="G543" s="659"/>
      <c r="H543" s="691" t="s">
        <v>915</v>
      </c>
      <c r="I543" s="691"/>
      <c r="J543" s="691"/>
      <c r="K543" s="691"/>
      <c r="L543" s="691"/>
      <c r="M543" s="691"/>
      <c r="N543" s="691"/>
      <c r="O543" s="691"/>
      <c r="P543" s="691"/>
      <c r="Q543" s="691"/>
      <c r="R543" s="691"/>
      <c r="S543" s="691"/>
      <c r="T543" s="691"/>
      <c r="U543" s="691"/>
      <c r="V543" s="691"/>
      <c r="W543" s="691"/>
      <c r="X543" s="691"/>
      <c r="Y543" s="691"/>
      <c r="Z543" s="691"/>
      <c r="AA543" s="691"/>
      <c r="AB543" s="691"/>
      <c r="AC543" s="691"/>
      <c r="AD543" s="691"/>
      <c r="AE543" s="691"/>
      <c r="AF543" s="691"/>
      <c r="AG543" s="691"/>
      <c r="AH543" s="691"/>
      <c r="AI543" s="691"/>
      <c r="AJ543" s="691"/>
      <c r="AK543" s="691"/>
      <c r="AL543" s="691"/>
      <c r="AM543" s="691"/>
      <c r="AN543" s="691"/>
      <c r="AO543" s="691"/>
      <c r="AP543" s="691"/>
      <c r="AQ543" s="691"/>
      <c r="AR543" s="691"/>
      <c r="AS543" s="691"/>
      <c r="AT543" s="691"/>
      <c r="AU543" s="691"/>
      <c r="AV543" s="691"/>
      <c r="AW543" s="691"/>
      <c r="AX543" s="691"/>
      <c r="AY543" s="691"/>
      <c r="AZ543" s="691"/>
      <c r="BA543" s="691"/>
      <c r="BB543" s="691"/>
      <c r="BC543" s="691"/>
      <c r="BD543" s="691"/>
      <c r="BE543" s="691"/>
      <c r="BF543" s="691"/>
      <c r="BG543" s="691"/>
      <c r="BH543" s="691"/>
      <c r="BI543" s="691"/>
      <c r="BJ543" s="691"/>
      <c r="BK543" s="691"/>
      <c r="BL543" s="691"/>
      <c r="BM543" s="691"/>
      <c r="BN543" s="691"/>
      <c r="BO543" s="691"/>
      <c r="BP543" s="691"/>
      <c r="BQ543" s="691"/>
      <c r="BR543" s="691"/>
      <c r="BS543" s="457">
        <v>1</v>
      </c>
      <c r="BT543" s="457"/>
      <c r="BU543" s="457"/>
      <c r="BV543" s="457"/>
      <c r="BW543" s="457"/>
      <c r="BX543" s="457"/>
      <c r="BY543" s="457"/>
      <c r="BZ543" s="457"/>
      <c r="CA543" s="457"/>
      <c r="CB543" s="457"/>
      <c r="CC543" s="457"/>
      <c r="CD543" s="457"/>
      <c r="CE543" s="457"/>
      <c r="CF543" s="457"/>
      <c r="CG543" s="457"/>
      <c r="CH543" s="457"/>
      <c r="CI543" s="457"/>
      <c r="CJ543" s="457"/>
      <c r="CK543" s="457"/>
      <c r="CL543" s="457"/>
      <c r="CM543" s="457"/>
      <c r="CN543" s="457"/>
      <c r="CO543" s="457"/>
      <c r="CP543" s="457"/>
      <c r="CQ543" s="457"/>
      <c r="CR543" s="457"/>
      <c r="CS543" s="457"/>
      <c r="CT543" s="457"/>
      <c r="CU543" s="457"/>
      <c r="CV543" s="457"/>
      <c r="CW543" s="457"/>
      <c r="CX543" s="457"/>
      <c r="CY543" s="457"/>
      <c r="CZ543" s="457"/>
    </row>
    <row r="544" spans="1:104" ht="15" hidden="1" customHeight="1" x14ac:dyDescent="0.25">
      <c r="A544" s="659" t="s">
        <v>754</v>
      </c>
      <c r="B544" s="659"/>
      <c r="C544" s="659"/>
      <c r="D544" s="659"/>
      <c r="E544" s="659"/>
      <c r="F544" s="659"/>
      <c r="G544" s="659"/>
      <c r="H544" s="556" t="s">
        <v>916</v>
      </c>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6"/>
      <c r="AL544" s="556"/>
      <c r="AM544" s="556"/>
      <c r="AN544" s="556"/>
      <c r="AO544" s="556"/>
      <c r="AP544" s="556"/>
      <c r="AQ544" s="556"/>
      <c r="AR544" s="556"/>
      <c r="AS544" s="556"/>
      <c r="AT544" s="556"/>
      <c r="AU544" s="556"/>
      <c r="AV544" s="556"/>
      <c r="AW544" s="556"/>
      <c r="AX544" s="556"/>
      <c r="AY544" s="556"/>
      <c r="AZ544" s="556"/>
      <c r="BA544" s="556"/>
      <c r="BB544" s="556"/>
      <c r="BC544" s="556"/>
      <c r="BD544" s="556"/>
      <c r="BE544" s="556"/>
      <c r="BF544" s="556"/>
      <c r="BG544" s="556"/>
      <c r="BH544" s="556"/>
      <c r="BI544" s="556"/>
      <c r="BJ544" s="556"/>
      <c r="BK544" s="556"/>
      <c r="BL544" s="556"/>
      <c r="BM544" s="556"/>
      <c r="BN544" s="556"/>
      <c r="BO544" s="556"/>
      <c r="BP544" s="556"/>
      <c r="BQ544" s="556"/>
      <c r="BR544" s="556"/>
      <c r="BS544" s="582">
        <v>1</v>
      </c>
      <c r="BT544" s="582"/>
      <c r="BU544" s="582"/>
      <c r="BV544" s="582"/>
      <c r="BW544" s="582"/>
      <c r="BX544" s="582"/>
      <c r="BY544" s="582"/>
      <c r="BZ544" s="582"/>
      <c r="CA544" s="582"/>
      <c r="CB544" s="582"/>
      <c r="CC544" s="582"/>
      <c r="CD544" s="582"/>
      <c r="CE544" s="582"/>
      <c r="CF544" s="582"/>
      <c r="CG544" s="582"/>
      <c r="CH544" s="582"/>
      <c r="CI544" s="664"/>
      <c r="CJ544" s="664"/>
      <c r="CK544" s="664"/>
      <c r="CL544" s="664"/>
      <c r="CM544" s="664"/>
      <c r="CN544" s="664"/>
      <c r="CO544" s="664"/>
      <c r="CP544" s="664"/>
      <c r="CQ544" s="664"/>
      <c r="CR544" s="664"/>
      <c r="CS544" s="664"/>
      <c r="CT544" s="664"/>
      <c r="CU544" s="664"/>
      <c r="CV544" s="664"/>
      <c r="CW544" s="664"/>
      <c r="CX544" s="664"/>
      <c r="CY544" s="664"/>
      <c r="CZ544" s="664"/>
    </row>
    <row r="545" spans="1:105" ht="15" hidden="1" customHeight="1" x14ac:dyDescent="0.25">
      <c r="A545" s="659"/>
      <c r="B545" s="659"/>
      <c r="C545" s="659"/>
      <c r="D545" s="659"/>
      <c r="E545" s="659"/>
      <c r="F545" s="659"/>
      <c r="G545" s="659"/>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06"/>
      <c r="AL545" s="606"/>
      <c r="AM545" s="606"/>
      <c r="AN545" s="606"/>
      <c r="AO545" s="606"/>
      <c r="AP545" s="606"/>
      <c r="AQ545" s="606"/>
      <c r="AR545" s="606"/>
      <c r="AS545" s="606"/>
      <c r="AT545" s="606"/>
      <c r="AU545" s="606"/>
      <c r="AV545" s="606"/>
      <c r="AW545" s="606"/>
      <c r="AX545" s="606"/>
      <c r="AY545" s="606"/>
      <c r="AZ545" s="606"/>
      <c r="BA545" s="606"/>
      <c r="BB545" s="606"/>
      <c r="BC545" s="606"/>
      <c r="BD545" s="606"/>
      <c r="BE545" s="606"/>
      <c r="BF545" s="606"/>
      <c r="BG545" s="606"/>
      <c r="BH545" s="606"/>
      <c r="BI545" s="606"/>
      <c r="BJ545" s="606"/>
      <c r="BK545" s="606"/>
      <c r="BL545" s="606"/>
      <c r="BM545" s="606"/>
      <c r="BN545" s="606"/>
      <c r="BO545" s="606"/>
      <c r="BP545" s="606"/>
      <c r="BQ545" s="606"/>
      <c r="BR545" s="606"/>
      <c r="BS545" s="582"/>
      <c r="BT545" s="582"/>
      <c r="BU545" s="582"/>
      <c r="BV545" s="582"/>
      <c r="BW545" s="582"/>
      <c r="BX545" s="582"/>
      <c r="BY545" s="582"/>
      <c r="BZ545" s="582"/>
      <c r="CA545" s="582"/>
      <c r="CB545" s="582"/>
      <c r="CC545" s="582"/>
      <c r="CD545" s="582"/>
      <c r="CE545" s="582"/>
      <c r="CF545" s="582"/>
      <c r="CG545" s="582"/>
      <c r="CH545" s="582"/>
      <c r="CI545" s="664"/>
      <c r="CJ545" s="664"/>
      <c r="CK545" s="664"/>
      <c r="CL545" s="664"/>
      <c r="CM545" s="664"/>
      <c r="CN545" s="664"/>
      <c r="CO545" s="664"/>
      <c r="CP545" s="664"/>
      <c r="CQ545" s="664"/>
      <c r="CR545" s="664"/>
      <c r="CS545" s="664"/>
      <c r="CT545" s="664"/>
      <c r="CU545" s="664"/>
      <c r="CV545" s="664"/>
      <c r="CW545" s="664"/>
      <c r="CX545" s="664"/>
      <c r="CY545" s="664"/>
      <c r="CZ545" s="664"/>
    </row>
    <row r="546" spans="1:105" ht="15" hidden="1" customHeight="1" x14ac:dyDescent="0.25">
      <c r="A546" s="659"/>
      <c r="B546" s="659"/>
      <c r="C546" s="659"/>
      <c r="D546" s="659"/>
      <c r="E546" s="659"/>
      <c r="F546" s="659"/>
      <c r="G546" s="659"/>
      <c r="H546" s="457"/>
      <c r="I546" s="457"/>
      <c r="J546" s="457"/>
      <c r="K546" s="457"/>
      <c r="L546" s="457"/>
      <c r="M546" s="457"/>
      <c r="N546" s="457"/>
      <c r="O546" s="457"/>
      <c r="P546" s="457"/>
      <c r="Q546" s="457"/>
      <c r="R546" s="457"/>
      <c r="S546" s="457"/>
      <c r="T546" s="457"/>
      <c r="U546" s="457"/>
      <c r="V546" s="457"/>
      <c r="W546" s="457"/>
      <c r="X546" s="457"/>
      <c r="Y546" s="457"/>
      <c r="Z546" s="457"/>
      <c r="AA546" s="457"/>
      <c r="AB546" s="457"/>
      <c r="AC546" s="457"/>
      <c r="AD546" s="457"/>
      <c r="AE546" s="457"/>
      <c r="AF546" s="457"/>
      <c r="AG546" s="457"/>
      <c r="AH546" s="457"/>
      <c r="AI546" s="457"/>
      <c r="AJ546" s="457"/>
      <c r="AK546" s="457"/>
      <c r="AL546" s="457"/>
      <c r="AM546" s="457"/>
      <c r="AN546" s="457"/>
      <c r="AO546" s="457"/>
      <c r="AP546" s="457"/>
      <c r="AQ546" s="457"/>
      <c r="AR546" s="457"/>
      <c r="AS546" s="457"/>
      <c r="AT546" s="457"/>
      <c r="AU546" s="457"/>
      <c r="AV546" s="457"/>
      <c r="AW546" s="457"/>
      <c r="AX546" s="457"/>
      <c r="AY546" s="457"/>
      <c r="AZ546" s="457"/>
      <c r="BA546" s="457"/>
      <c r="BB546" s="457"/>
      <c r="BC546" s="457"/>
      <c r="BD546" s="457"/>
      <c r="BE546" s="457"/>
      <c r="BF546" s="457"/>
      <c r="BG546" s="457"/>
      <c r="BH546" s="457"/>
      <c r="BI546" s="457"/>
      <c r="BJ546" s="457"/>
      <c r="BK546" s="457"/>
      <c r="BL546" s="457"/>
      <c r="BM546" s="457"/>
      <c r="BN546" s="457"/>
      <c r="BO546" s="457"/>
      <c r="BP546" s="457"/>
      <c r="BQ546" s="457"/>
      <c r="BR546" s="457"/>
      <c r="BS546" s="457"/>
      <c r="BT546" s="457"/>
      <c r="BU546" s="457"/>
      <c r="BV546" s="457"/>
      <c r="BW546" s="457"/>
      <c r="BX546" s="457"/>
      <c r="BY546" s="457"/>
      <c r="BZ546" s="457"/>
      <c r="CA546" s="457"/>
      <c r="CB546" s="457"/>
      <c r="CC546" s="457"/>
      <c r="CD546" s="457"/>
      <c r="CE546" s="457"/>
      <c r="CF546" s="457"/>
      <c r="CG546" s="457"/>
      <c r="CH546" s="457"/>
      <c r="CI546" s="457"/>
      <c r="CJ546" s="457"/>
      <c r="CK546" s="457"/>
      <c r="CL546" s="457"/>
      <c r="CM546" s="457"/>
      <c r="CN546" s="457"/>
      <c r="CO546" s="457"/>
      <c r="CP546" s="457"/>
      <c r="CQ546" s="457"/>
      <c r="CR546" s="457"/>
      <c r="CS546" s="457"/>
      <c r="CT546" s="457"/>
      <c r="CU546" s="457"/>
      <c r="CV546" s="457"/>
      <c r="CW546" s="457"/>
      <c r="CX546" s="457"/>
      <c r="CY546" s="457"/>
      <c r="CZ546" s="457"/>
    </row>
    <row r="547" spans="1:105" ht="15" hidden="1" customHeight="1" x14ac:dyDescent="0.25">
      <c r="A547" s="712" t="s">
        <v>624</v>
      </c>
      <c r="B547" s="713"/>
      <c r="C547" s="713"/>
      <c r="D547" s="713"/>
      <c r="E547" s="713"/>
      <c r="F547" s="713"/>
      <c r="G547" s="714"/>
      <c r="H547" s="687" t="s">
        <v>843</v>
      </c>
      <c r="I547" s="687"/>
      <c r="J547" s="687"/>
      <c r="K547" s="687"/>
      <c r="L547" s="687"/>
      <c r="M547" s="687"/>
      <c r="N547" s="687"/>
      <c r="O547" s="687"/>
      <c r="P547" s="687"/>
      <c r="Q547" s="687"/>
      <c r="R547" s="687"/>
      <c r="S547" s="687"/>
      <c r="T547" s="687"/>
      <c r="U547" s="687"/>
      <c r="V547" s="687"/>
      <c r="W547" s="687"/>
      <c r="X547" s="687"/>
      <c r="Y547" s="687"/>
      <c r="Z547" s="687"/>
      <c r="AA547" s="687"/>
      <c r="AB547" s="687"/>
      <c r="AC547" s="687"/>
      <c r="AD547" s="687"/>
      <c r="AE547" s="687"/>
      <c r="AF547" s="687"/>
      <c r="AG547" s="687"/>
      <c r="AH547" s="687"/>
      <c r="AI547" s="687"/>
      <c r="AJ547" s="687"/>
      <c r="AK547" s="687"/>
      <c r="AL547" s="687"/>
      <c r="AM547" s="687"/>
      <c r="AN547" s="687"/>
      <c r="AO547" s="687"/>
      <c r="AP547" s="687"/>
      <c r="AQ547" s="687"/>
      <c r="AR547" s="687"/>
      <c r="AS547" s="687"/>
      <c r="AT547" s="687"/>
      <c r="AU547" s="687"/>
      <c r="AV547" s="687"/>
      <c r="AW547" s="687"/>
      <c r="AX547" s="687"/>
      <c r="AY547" s="687"/>
      <c r="AZ547" s="687"/>
      <c r="BA547" s="687"/>
      <c r="BB547" s="687"/>
      <c r="BC547" s="687"/>
      <c r="BD547" s="687"/>
      <c r="BE547" s="687"/>
      <c r="BF547" s="687"/>
      <c r="BG547" s="687"/>
      <c r="BH547" s="687"/>
      <c r="BI547" s="687"/>
      <c r="BJ547" s="687"/>
      <c r="BK547" s="687"/>
      <c r="BL547" s="687"/>
      <c r="BM547" s="687"/>
      <c r="BN547" s="687"/>
      <c r="BO547" s="687"/>
      <c r="BP547" s="687"/>
      <c r="BQ547" s="687"/>
      <c r="BR547" s="687"/>
      <c r="BS547" s="688">
        <v>1</v>
      </c>
      <c r="BT547" s="688"/>
      <c r="BU547" s="688"/>
      <c r="BV547" s="688"/>
      <c r="BW547" s="688"/>
      <c r="BX547" s="688"/>
      <c r="BY547" s="688"/>
      <c r="BZ547" s="688"/>
      <c r="CA547" s="688"/>
      <c r="CB547" s="688"/>
      <c r="CC547" s="688"/>
      <c r="CD547" s="688"/>
      <c r="CE547" s="688"/>
      <c r="CF547" s="688"/>
      <c r="CG547" s="688"/>
      <c r="CH547" s="688"/>
      <c r="CI547" s="689"/>
      <c r="CJ547" s="690"/>
      <c r="CK547" s="690"/>
      <c r="CL547" s="690"/>
      <c r="CM547" s="690"/>
      <c r="CN547" s="690"/>
      <c r="CO547" s="690"/>
      <c r="CP547" s="690"/>
      <c r="CQ547" s="690"/>
      <c r="CR547" s="690"/>
      <c r="CS547" s="690"/>
      <c r="CT547" s="690"/>
      <c r="CU547" s="690"/>
      <c r="CV547" s="690"/>
      <c r="CW547" s="690"/>
      <c r="CX547" s="690"/>
      <c r="CY547" s="690"/>
      <c r="CZ547" s="690"/>
    </row>
    <row r="548" spans="1:105" ht="29.4" hidden="1" customHeight="1" x14ac:dyDescent="0.25">
      <c r="A548" s="659" t="s">
        <v>625</v>
      </c>
      <c r="B548" s="659"/>
      <c r="C548" s="659"/>
      <c r="D548" s="659"/>
      <c r="E548" s="659"/>
      <c r="F548" s="659"/>
      <c r="G548" s="659"/>
      <c r="H548" s="584" t="s">
        <v>679</v>
      </c>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5"/>
      <c r="AL548" s="585"/>
      <c r="AM548" s="585"/>
      <c r="AN548" s="585"/>
      <c r="AO548" s="585"/>
      <c r="AP548" s="585"/>
      <c r="AQ548" s="585"/>
      <c r="AR548" s="585"/>
      <c r="AS548" s="585"/>
      <c r="AT548" s="585"/>
      <c r="AU548" s="585"/>
      <c r="AV548" s="585"/>
      <c r="AW548" s="585"/>
      <c r="AX548" s="585"/>
      <c r="AY548" s="585"/>
      <c r="AZ548" s="585"/>
      <c r="BA548" s="585"/>
      <c r="BB548" s="585"/>
      <c r="BC548" s="585"/>
      <c r="BD548" s="585"/>
      <c r="BE548" s="585"/>
      <c r="BF548" s="585"/>
      <c r="BG548" s="585"/>
      <c r="BH548" s="585"/>
      <c r="BI548" s="585"/>
      <c r="BJ548" s="585"/>
      <c r="BK548" s="585"/>
      <c r="BL548" s="585"/>
      <c r="BM548" s="585"/>
      <c r="BN548" s="585"/>
      <c r="BO548" s="585"/>
      <c r="BP548" s="585"/>
      <c r="BQ548" s="585"/>
      <c r="BR548" s="586"/>
      <c r="BS548" s="582">
        <v>1</v>
      </c>
      <c r="BT548" s="582"/>
      <c r="BU548" s="582"/>
      <c r="BV548" s="582"/>
      <c r="BW548" s="582"/>
      <c r="BX548" s="582"/>
      <c r="BY548" s="582"/>
      <c r="BZ548" s="582"/>
      <c r="CA548" s="582"/>
      <c r="CB548" s="582"/>
      <c r="CC548" s="582"/>
      <c r="CD548" s="582"/>
      <c r="CE548" s="582"/>
      <c r="CF548" s="582"/>
      <c r="CG548" s="582"/>
      <c r="CH548" s="582"/>
      <c r="CI548" s="664"/>
      <c r="CJ548" s="664"/>
      <c r="CK548" s="664"/>
      <c r="CL548" s="664"/>
      <c r="CM548" s="664"/>
      <c r="CN548" s="664"/>
      <c r="CO548" s="664"/>
      <c r="CP548" s="664"/>
      <c r="CQ548" s="664"/>
      <c r="CR548" s="664"/>
      <c r="CS548" s="664"/>
      <c r="CT548" s="664"/>
      <c r="CU548" s="664"/>
      <c r="CV548" s="664"/>
      <c r="CW548" s="664"/>
      <c r="CX548" s="664"/>
      <c r="CY548" s="664"/>
      <c r="CZ548" s="664"/>
    </row>
    <row r="549" spans="1:105" ht="15" hidden="1" customHeight="1" x14ac:dyDescent="0.25">
      <c r="A549" s="659" t="s">
        <v>388</v>
      </c>
      <c r="B549" s="659"/>
      <c r="C549" s="659"/>
      <c r="D549" s="659"/>
      <c r="E549" s="659"/>
      <c r="F549" s="659"/>
      <c r="G549" s="659"/>
      <c r="H549" s="584" t="s">
        <v>844</v>
      </c>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5"/>
      <c r="AL549" s="585"/>
      <c r="AM549" s="585"/>
      <c r="AN549" s="585"/>
      <c r="AO549" s="585"/>
      <c r="AP549" s="585"/>
      <c r="AQ549" s="585"/>
      <c r="AR549" s="585"/>
      <c r="AS549" s="585"/>
      <c r="AT549" s="585"/>
      <c r="AU549" s="585"/>
      <c r="AV549" s="585"/>
      <c r="AW549" s="585"/>
      <c r="AX549" s="585"/>
      <c r="AY549" s="585"/>
      <c r="AZ549" s="585"/>
      <c r="BA549" s="585"/>
      <c r="BB549" s="585"/>
      <c r="BC549" s="585"/>
      <c r="BD549" s="585"/>
      <c r="BE549" s="585"/>
      <c r="BF549" s="585"/>
      <c r="BG549" s="585"/>
      <c r="BH549" s="585"/>
      <c r="BI549" s="585"/>
      <c r="BJ549" s="585"/>
      <c r="BK549" s="585"/>
      <c r="BL549" s="585"/>
      <c r="BM549" s="585"/>
      <c r="BN549" s="585"/>
      <c r="BO549" s="585"/>
      <c r="BP549" s="585"/>
      <c r="BQ549" s="585"/>
      <c r="BR549" s="586"/>
      <c r="BS549" s="544">
        <v>1</v>
      </c>
      <c r="BT549" s="545"/>
      <c r="BU549" s="545"/>
      <c r="BV549" s="545"/>
      <c r="BW549" s="545"/>
      <c r="BX549" s="545"/>
      <c r="BY549" s="545"/>
      <c r="BZ549" s="545"/>
      <c r="CA549" s="545"/>
      <c r="CB549" s="545"/>
      <c r="CC549" s="545"/>
      <c r="CD549" s="545"/>
      <c r="CE549" s="545"/>
      <c r="CF549" s="545"/>
      <c r="CG549" s="545"/>
      <c r="CH549" s="546"/>
      <c r="CI549" s="627"/>
      <c r="CJ549" s="628"/>
      <c r="CK549" s="628"/>
      <c r="CL549" s="628"/>
      <c r="CM549" s="628"/>
      <c r="CN549" s="628"/>
      <c r="CO549" s="628"/>
      <c r="CP549" s="628"/>
      <c r="CQ549" s="628"/>
      <c r="CR549" s="628"/>
      <c r="CS549" s="628"/>
      <c r="CT549" s="628"/>
      <c r="CU549" s="628"/>
      <c r="CV549" s="628"/>
      <c r="CW549" s="628"/>
      <c r="CX549" s="628"/>
      <c r="CY549" s="628"/>
      <c r="CZ549" s="629"/>
    </row>
    <row r="550" spans="1:105" ht="15" customHeight="1" x14ac:dyDescent="0.25">
      <c r="A550" s="553" t="s">
        <v>292</v>
      </c>
      <c r="B550" s="554"/>
      <c r="C550" s="554"/>
      <c r="D550" s="554"/>
      <c r="E550" s="554"/>
      <c r="F550" s="554"/>
      <c r="G550" s="554"/>
      <c r="H550" s="554"/>
      <c r="I550" s="554"/>
      <c r="J550" s="554"/>
      <c r="K550" s="554"/>
      <c r="L550" s="554"/>
      <c r="M550" s="554"/>
      <c r="N550" s="554"/>
      <c r="O550" s="554"/>
      <c r="P550" s="554"/>
      <c r="Q550" s="554"/>
      <c r="R550" s="554"/>
      <c r="S550" s="554"/>
      <c r="T550" s="554"/>
      <c r="U550" s="554"/>
      <c r="V550" s="554"/>
      <c r="W550" s="554"/>
      <c r="X550" s="554"/>
      <c r="Y550" s="554"/>
      <c r="Z550" s="554"/>
      <c r="AA550" s="554"/>
      <c r="AB550" s="554"/>
      <c r="AC550" s="554"/>
      <c r="AD550" s="554"/>
      <c r="AE550" s="554"/>
      <c r="AF550" s="554"/>
      <c r="AG550" s="554"/>
      <c r="AH550" s="554"/>
      <c r="AI550" s="554"/>
      <c r="AJ550" s="554"/>
      <c r="AK550" s="554"/>
      <c r="AL550" s="554"/>
      <c r="AM550" s="554"/>
      <c r="AN550" s="554"/>
      <c r="AO550" s="554"/>
      <c r="AP550" s="554"/>
      <c r="AQ550" s="554"/>
      <c r="AR550" s="554"/>
      <c r="AS550" s="554"/>
      <c r="AT550" s="554"/>
      <c r="AU550" s="554"/>
      <c r="AV550" s="554"/>
      <c r="AW550" s="554"/>
      <c r="AX550" s="554"/>
      <c r="AY550" s="554"/>
      <c r="AZ550" s="554"/>
      <c r="BA550" s="554"/>
      <c r="BB550" s="554"/>
      <c r="BC550" s="554"/>
      <c r="BD550" s="554"/>
      <c r="BE550" s="554"/>
      <c r="BF550" s="554"/>
      <c r="BG550" s="554"/>
      <c r="BH550" s="554"/>
      <c r="BI550" s="554"/>
      <c r="BJ550" s="554"/>
      <c r="BK550" s="554"/>
      <c r="BL550" s="554"/>
      <c r="BM550" s="554"/>
      <c r="BN550" s="554"/>
      <c r="BO550" s="554"/>
      <c r="BP550" s="554"/>
      <c r="BQ550" s="554"/>
      <c r="BR550" s="555"/>
      <c r="BS550" s="582" t="s">
        <v>4</v>
      </c>
      <c r="BT550" s="582"/>
      <c r="BU550" s="582"/>
      <c r="BV550" s="582"/>
      <c r="BW550" s="582"/>
      <c r="BX550" s="582"/>
      <c r="BY550" s="582"/>
      <c r="BZ550" s="582"/>
      <c r="CA550" s="582"/>
      <c r="CB550" s="582"/>
      <c r="CC550" s="582"/>
      <c r="CD550" s="582"/>
      <c r="CE550" s="582"/>
      <c r="CF550" s="582"/>
      <c r="CG550" s="582"/>
      <c r="CH550" s="582"/>
      <c r="CI550" s="611">
        <f>SUM(CI511:CZ549)</f>
        <v>5001903</v>
      </c>
      <c r="CJ550" s="611"/>
      <c r="CK550" s="611"/>
      <c r="CL550" s="611"/>
      <c r="CM550" s="611"/>
      <c r="CN550" s="611"/>
      <c r="CO550" s="611"/>
      <c r="CP550" s="611"/>
      <c r="CQ550" s="611"/>
      <c r="CR550" s="611"/>
      <c r="CS550" s="611"/>
      <c r="CT550" s="611"/>
      <c r="CU550" s="611"/>
      <c r="CV550" s="611"/>
      <c r="CW550" s="611"/>
      <c r="CX550" s="611"/>
      <c r="CY550" s="611"/>
      <c r="CZ550" s="611"/>
      <c r="DA550" s="243"/>
    </row>
    <row r="551" spans="1:105" ht="15" customHeight="1" x14ac:dyDescent="0.25">
      <c r="A551" s="648" t="s">
        <v>634</v>
      </c>
      <c r="B551" s="657"/>
      <c r="C551" s="657"/>
      <c r="D551" s="657"/>
      <c r="E551" s="657"/>
      <c r="F551" s="657"/>
      <c r="G551" s="657"/>
      <c r="H551" s="657"/>
      <c r="I551" s="657"/>
      <c r="J551" s="657"/>
      <c r="K551" s="657"/>
      <c r="L551" s="657"/>
      <c r="M551" s="657"/>
      <c r="N551" s="657"/>
      <c r="O551" s="657"/>
      <c r="P551" s="657"/>
      <c r="Q551" s="657"/>
      <c r="R551" s="657"/>
      <c r="S551" s="657"/>
      <c r="T551" s="657"/>
      <c r="U551" s="657"/>
      <c r="V551" s="657"/>
      <c r="W551" s="657"/>
      <c r="X551" s="657"/>
      <c r="Y551" s="657"/>
      <c r="Z551" s="657"/>
      <c r="AA551" s="657"/>
      <c r="AB551" s="657"/>
      <c r="AC551" s="657"/>
      <c r="AD551" s="657"/>
      <c r="AE551" s="657"/>
      <c r="AF551" s="657"/>
      <c r="AG551" s="657"/>
      <c r="AH551" s="657"/>
      <c r="AI551" s="657"/>
      <c r="AJ551" s="657"/>
      <c r="AK551" s="657"/>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57"/>
      <c r="BQ551" s="657"/>
      <c r="BR551" s="657"/>
      <c r="BS551" s="657"/>
      <c r="BT551" s="657"/>
      <c r="BU551" s="657"/>
      <c r="BV551" s="657"/>
      <c r="BW551" s="657"/>
      <c r="BX551" s="657"/>
      <c r="BY551" s="657"/>
      <c r="BZ551" s="657"/>
      <c r="CA551" s="657"/>
      <c r="CB551" s="657"/>
      <c r="CC551" s="657"/>
      <c r="CD551" s="657"/>
      <c r="CE551" s="657"/>
      <c r="CF551" s="657"/>
      <c r="CG551" s="657"/>
      <c r="CH551" s="657"/>
      <c r="CI551" s="657"/>
      <c r="CJ551" s="657"/>
      <c r="CK551" s="657"/>
      <c r="CL551" s="657"/>
      <c r="CM551" s="657"/>
      <c r="CN551" s="657"/>
      <c r="CO551" s="657"/>
      <c r="CP551" s="657"/>
      <c r="CQ551" s="657"/>
      <c r="CR551" s="657"/>
      <c r="CS551" s="657"/>
      <c r="CT551" s="657"/>
      <c r="CU551" s="657"/>
      <c r="CV551" s="657"/>
      <c r="CW551" s="657"/>
      <c r="CX551" s="657"/>
      <c r="CY551" s="657"/>
      <c r="CZ551" s="658"/>
    </row>
    <row r="552" spans="1:105" ht="28.5" hidden="1" customHeight="1" x14ac:dyDescent="0.25">
      <c r="A552" s="659" t="s">
        <v>441</v>
      </c>
      <c r="B552" s="659"/>
      <c r="C552" s="659"/>
      <c r="D552" s="659"/>
      <c r="E552" s="659"/>
      <c r="F552" s="659"/>
      <c r="G552" s="659"/>
      <c r="H552" s="584" t="s">
        <v>839</v>
      </c>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5"/>
      <c r="AL552" s="585"/>
      <c r="AM552" s="585"/>
      <c r="AN552" s="585"/>
      <c r="AO552" s="585"/>
      <c r="AP552" s="585"/>
      <c r="AQ552" s="585"/>
      <c r="AR552" s="585"/>
      <c r="AS552" s="585"/>
      <c r="AT552" s="585"/>
      <c r="AU552" s="585"/>
      <c r="AV552" s="585"/>
      <c r="AW552" s="585"/>
      <c r="AX552" s="585"/>
      <c r="AY552" s="585"/>
      <c r="AZ552" s="585"/>
      <c r="BA552" s="585"/>
      <c r="BB552" s="585"/>
      <c r="BC552" s="585"/>
      <c r="BD552" s="585"/>
      <c r="BE552" s="585"/>
      <c r="BF552" s="585"/>
      <c r="BG552" s="585"/>
      <c r="BH552" s="585"/>
      <c r="BI552" s="585"/>
      <c r="BJ552" s="585"/>
      <c r="BK552" s="585"/>
      <c r="BL552" s="585"/>
      <c r="BM552" s="585"/>
      <c r="BN552" s="585"/>
      <c r="BO552" s="585"/>
      <c r="BP552" s="585"/>
      <c r="BQ552" s="585"/>
      <c r="BR552" s="586"/>
      <c r="BS552" s="582">
        <v>1</v>
      </c>
      <c r="BT552" s="582"/>
      <c r="BU552" s="582"/>
      <c r="BV552" s="582"/>
      <c r="BW552" s="582"/>
      <c r="BX552" s="582"/>
      <c r="BY552" s="582"/>
      <c r="BZ552" s="582"/>
      <c r="CA552" s="582"/>
      <c r="CB552" s="582"/>
      <c r="CC552" s="582"/>
      <c r="CD552" s="582"/>
      <c r="CE552" s="582"/>
      <c r="CF552" s="582"/>
      <c r="CG552" s="582"/>
      <c r="CH552" s="582"/>
      <c r="CI552" s="664"/>
      <c r="CJ552" s="664"/>
      <c r="CK552" s="664"/>
      <c r="CL552" s="664"/>
      <c r="CM552" s="664"/>
      <c r="CN552" s="664"/>
      <c r="CO552" s="664"/>
      <c r="CP552" s="664"/>
      <c r="CQ552" s="664"/>
      <c r="CR552" s="664"/>
      <c r="CS552" s="664"/>
      <c r="CT552" s="664"/>
      <c r="CU552" s="664"/>
      <c r="CV552" s="664"/>
      <c r="CW552" s="664"/>
      <c r="CX552" s="664"/>
      <c r="CY552" s="664"/>
      <c r="CZ552" s="664"/>
    </row>
    <row r="553" spans="1:105" ht="16.5" hidden="1" customHeight="1" x14ac:dyDescent="0.25">
      <c r="A553" s="659" t="s">
        <v>444</v>
      </c>
      <c r="B553" s="659"/>
      <c r="C553" s="659"/>
      <c r="D553" s="659"/>
      <c r="E553" s="659"/>
      <c r="F553" s="659"/>
      <c r="G553" s="659"/>
      <c r="H553" s="584" t="s">
        <v>680</v>
      </c>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5"/>
      <c r="AL553" s="585"/>
      <c r="AM553" s="585"/>
      <c r="AN553" s="585"/>
      <c r="AO553" s="585"/>
      <c r="AP553" s="585"/>
      <c r="AQ553" s="585"/>
      <c r="AR553" s="585"/>
      <c r="AS553" s="585"/>
      <c r="AT553" s="585"/>
      <c r="AU553" s="585"/>
      <c r="AV553" s="585"/>
      <c r="AW553" s="585"/>
      <c r="AX553" s="585"/>
      <c r="AY553" s="585"/>
      <c r="AZ553" s="585"/>
      <c r="BA553" s="585"/>
      <c r="BB553" s="585"/>
      <c r="BC553" s="585"/>
      <c r="BD553" s="585"/>
      <c r="BE553" s="585"/>
      <c r="BF553" s="585"/>
      <c r="BG553" s="585"/>
      <c r="BH553" s="585"/>
      <c r="BI553" s="585"/>
      <c r="BJ553" s="585"/>
      <c r="BK553" s="585"/>
      <c r="BL553" s="585"/>
      <c r="BM553" s="585"/>
      <c r="BN553" s="585"/>
      <c r="BO553" s="585"/>
      <c r="BP553" s="585"/>
      <c r="BQ553" s="585"/>
      <c r="BR553" s="586"/>
      <c r="BS553" s="582"/>
      <c r="BT553" s="582"/>
      <c r="BU553" s="582"/>
      <c r="BV553" s="582"/>
      <c r="BW553" s="582"/>
      <c r="BX553" s="582"/>
      <c r="BY553" s="582"/>
      <c r="BZ553" s="582"/>
      <c r="CA553" s="582"/>
      <c r="CB553" s="582"/>
      <c r="CC553" s="582"/>
      <c r="CD553" s="582"/>
      <c r="CE553" s="582"/>
      <c r="CF553" s="582"/>
      <c r="CG553" s="582"/>
      <c r="CH553" s="582"/>
      <c r="CI553" s="664"/>
      <c r="CJ553" s="664"/>
      <c r="CK553" s="664"/>
      <c r="CL553" s="664"/>
      <c r="CM553" s="664"/>
      <c r="CN553" s="664"/>
      <c r="CO553" s="664"/>
      <c r="CP553" s="664"/>
      <c r="CQ553" s="664"/>
      <c r="CR553" s="664"/>
      <c r="CS553" s="664"/>
      <c r="CT553" s="664"/>
      <c r="CU553" s="664"/>
      <c r="CV553" s="664"/>
      <c r="CW553" s="664"/>
      <c r="CX553" s="664"/>
      <c r="CY553" s="664"/>
      <c r="CZ553" s="664"/>
    </row>
    <row r="554" spans="1:105" ht="16.5" customHeight="1" x14ac:dyDescent="0.25">
      <c r="A554" s="659" t="s">
        <v>444</v>
      </c>
      <c r="B554" s="659"/>
      <c r="C554" s="659"/>
      <c r="D554" s="659"/>
      <c r="E554" s="659"/>
      <c r="F554" s="659"/>
      <c r="G554" s="659"/>
      <c r="H554" s="584" t="s">
        <v>661</v>
      </c>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5"/>
      <c r="AL554" s="585"/>
      <c r="AM554" s="585"/>
      <c r="AN554" s="585"/>
      <c r="AO554" s="585"/>
      <c r="AP554" s="585"/>
      <c r="AQ554" s="585"/>
      <c r="AR554" s="585"/>
      <c r="AS554" s="585"/>
      <c r="AT554" s="585"/>
      <c r="AU554" s="585"/>
      <c r="AV554" s="585"/>
      <c r="AW554" s="585"/>
      <c r="AX554" s="585"/>
      <c r="AY554" s="585"/>
      <c r="AZ554" s="585"/>
      <c r="BA554" s="585"/>
      <c r="BB554" s="585"/>
      <c r="BC554" s="585"/>
      <c r="BD554" s="585"/>
      <c r="BE554" s="585"/>
      <c r="BF554" s="585"/>
      <c r="BG554" s="585"/>
      <c r="BH554" s="585"/>
      <c r="BI554" s="585"/>
      <c r="BJ554" s="585"/>
      <c r="BK554" s="585"/>
      <c r="BL554" s="585"/>
      <c r="BM554" s="585"/>
      <c r="BN554" s="585"/>
      <c r="BO554" s="585"/>
      <c r="BP554" s="585"/>
      <c r="BQ554" s="585"/>
      <c r="BR554" s="586"/>
      <c r="BS554" s="582">
        <v>1</v>
      </c>
      <c r="BT554" s="582"/>
      <c r="BU554" s="582"/>
      <c r="BV554" s="582"/>
      <c r="BW554" s="582"/>
      <c r="BX554" s="582"/>
      <c r="BY554" s="582"/>
      <c r="BZ554" s="582"/>
      <c r="CA554" s="582"/>
      <c r="CB554" s="582"/>
      <c r="CC554" s="582"/>
      <c r="CD554" s="582"/>
      <c r="CE554" s="582"/>
      <c r="CF554" s="582"/>
      <c r="CG554" s="582"/>
      <c r="CH554" s="582"/>
      <c r="CI554" s="664">
        <v>9992364</v>
      </c>
      <c r="CJ554" s="664"/>
      <c r="CK554" s="664"/>
      <c r="CL554" s="664"/>
      <c r="CM554" s="664"/>
      <c r="CN554" s="664"/>
      <c r="CO554" s="664"/>
      <c r="CP554" s="664"/>
      <c r="CQ554" s="664"/>
      <c r="CR554" s="664"/>
      <c r="CS554" s="664"/>
      <c r="CT554" s="664"/>
      <c r="CU554" s="664"/>
      <c r="CV554" s="664"/>
      <c r="CW554" s="664"/>
      <c r="CX554" s="664"/>
      <c r="CY554" s="664"/>
      <c r="CZ554" s="664"/>
    </row>
    <row r="555" spans="1:105" ht="16.5" hidden="1" customHeight="1" x14ac:dyDescent="0.25">
      <c r="A555" s="630" t="s">
        <v>446</v>
      </c>
      <c r="B555" s="631"/>
      <c r="C555" s="631"/>
      <c r="D555" s="631"/>
      <c r="E555" s="631"/>
      <c r="F555" s="631"/>
      <c r="G555" s="632"/>
      <c r="H555" s="584" t="s">
        <v>681</v>
      </c>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5"/>
      <c r="BI555" s="585"/>
      <c r="BJ555" s="585"/>
      <c r="BK555" s="585"/>
      <c r="BL555" s="585"/>
      <c r="BM555" s="585"/>
      <c r="BN555" s="585"/>
      <c r="BO555" s="585"/>
      <c r="BP555" s="585"/>
      <c r="BQ555" s="585"/>
      <c r="BR555" s="586"/>
      <c r="BS555" s="544">
        <v>2</v>
      </c>
      <c r="BT555" s="545"/>
      <c r="BU555" s="545"/>
      <c r="BV555" s="545"/>
      <c r="BW555" s="545"/>
      <c r="BX555" s="545"/>
      <c r="BY555" s="545"/>
      <c r="BZ555" s="545"/>
      <c r="CA555" s="545"/>
      <c r="CB555" s="545"/>
      <c r="CC555" s="545"/>
      <c r="CD555" s="545"/>
      <c r="CE555" s="545"/>
      <c r="CF555" s="545"/>
      <c r="CG555" s="545"/>
      <c r="CH555" s="546"/>
      <c r="CI555" s="627"/>
      <c r="CJ555" s="628"/>
      <c r="CK555" s="628"/>
      <c r="CL555" s="628"/>
      <c r="CM555" s="628"/>
      <c r="CN555" s="628"/>
      <c r="CO555" s="628"/>
      <c r="CP555" s="628"/>
      <c r="CQ555" s="628"/>
      <c r="CR555" s="628"/>
      <c r="CS555" s="628"/>
      <c r="CT555" s="628"/>
      <c r="CU555" s="628"/>
      <c r="CV555" s="628"/>
      <c r="CW555" s="628"/>
      <c r="CX555" s="628"/>
      <c r="CY555" s="628"/>
      <c r="CZ555" s="629"/>
    </row>
    <row r="556" spans="1:105" ht="15" customHeight="1" x14ac:dyDescent="0.25">
      <c r="A556" s="553" t="s">
        <v>292</v>
      </c>
      <c r="B556" s="554"/>
      <c r="C556" s="554"/>
      <c r="D556" s="554"/>
      <c r="E556" s="554"/>
      <c r="F556" s="554"/>
      <c r="G556" s="554"/>
      <c r="H556" s="554"/>
      <c r="I556" s="554"/>
      <c r="J556" s="554"/>
      <c r="K556" s="554"/>
      <c r="L556" s="554"/>
      <c r="M556" s="554"/>
      <c r="N556" s="554"/>
      <c r="O556" s="554"/>
      <c r="P556" s="554"/>
      <c r="Q556" s="554"/>
      <c r="R556" s="554"/>
      <c r="S556" s="554"/>
      <c r="T556" s="554"/>
      <c r="U556" s="554"/>
      <c r="V556" s="554"/>
      <c r="W556" s="554"/>
      <c r="X556" s="554"/>
      <c r="Y556" s="554"/>
      <c r="Z556" s="554"/>
      <c r="AA556" s="554"/>
      <c r="AB556" s="554"/>
      <c r="AC556" s="554"/>
      <c r="AD556" s="554"/>
      <c r="AE556" s="554"/>
      <c r="AF556" s="554"/>
      <c r="AG556" s="554"/>
      <c r="AH556" s="554"/>
      <c r="AI556" s="554"/>
      <c r="AJ556" s="554"/>
      <c r="AK556" s="554"/>
      <c r="AL556" s="554"/>
      <c r="AM556" s="554"/>
      <c r="AN556" s="554"/>
      <c r="AO556" s="554"/>
      <c r="AP556" s="554"/>
      <c r="AQ556" s="554"/>
      <c r="AR556" s="554"/>
      <c r="AS556" s="554"/>
      <c r="AT556" s="554"/>
      <c r="AU556" s="554"/>
      <c r="AV556" s="554"/>
      <c r="AW556" s="554"/>
      <c r="AX556" s="554"/>
      <c r="AY556" s="554"/>
      <c r="AZ556" s="554"/>
      <c r="BA556" s="554"/>
      <c r="BB556" s="554"/>
      <c r="BC556" s="554"/>
      <c r="BD556" s="554"/>
      <c r="BE556" s="554"/>
      <c r="BF556" s="554"/>
      <c r="BG556" s="554"/>
      <c r="BH556" s="554"/>
      <c r="BI556" s="554"/>
      <c r="BJ556" s="554"/>
      <c r="BK556" s="554"/>
      <c r="BL556" s="554"/>
      <c r="BM556" s="554"/>
      <c r="BN556" s="554"/>
      <c r="BO556" s="554"/>
      <c r="BP556" s="554"/>
      <c r="BQ556" s="554"/>
      <c r="BR556" s="555"/>
      <c r="BS556" s="582" t="s">
        <v>4</v>
      </c>
      <c r="BT556" s="582"/>
      <c r="BU556" s="582"/>
      <c r="BV556" s="582"/>
      <c r="BW556" s="582"/>
      <c r="BX556" s="582"/>
      <c r="BY556" s="582"/>
      <c r="BZ556" s="582"/>
      <c r="CA556" s="582"/>
      <c r="CB556" s="582"/>
      <c r="CC556" s="582"/>
      <c r="CD556" s="582"/>
      <c r="CE556" s="582"/>
      <c r="CF556" s="582"/>
      <c r="CG556" s="582"/>
      <c r="CH556" s="582"/>
      <c r="CI556" s="611">
        <f>CI552+CI553+CI554+CI555</f>
        <v>9992364</v>
      </c>
      <c r="CJ556" s="611"/>
      <c r="CK556" s="611"/>
      <c r="CL556" s="611"/>
      <c r="CM556" s="611"/>
      <c r="CN556" s="611"/>
      <c r="CO556" s="611"/>
      <c r="CP556" s="611"/>
      <c r="CQ556" s="611"/>
      <c r="CR556" s="611"/>
      <c r="CS556" s="611"/>
      <c r="CT556" s="611"/>
      <c r="CU556" s="611"/>
      <c r="CV556" s="611"/>
      <c r="CW556" s="611"/>
      <c r="CX556" s="611"/>
      <c r="CY556" s="611"/>
      <c r="CZ556" s="611"/>
    </row>
    <row r="557" spans="1:105" ht="15" hidden="1" customHeight="1" x14ac:dyDescent="0.25">
      <c r="A557" s="648" t="s">
        <v>573</v>
      </c>
      <c r="B557" s="649"/>
      <c r="C557" s="649"/>
      <c r="D557" s="649"/>
      <c r="E557" s="649"/>
      <c r="F557" s="649"/>
      <c r="G557" s="649"/>
      <c r="H557" s="649"/>
      <c r="I557" s="649"/>
      <c r="J557" s="649"/>
      <c r="K557" s="649"/>
      <c r="L557" s="649"/>
      <c r="M557" s="649"/>
      <c r="N557" s="649"/>
      <c r="O557" s="649"/>
      <c r="P557" s="649"/>
      <c r="Q557" s="649"/>
      <c r="R557" s="649"/>
      <c r="S557" s="649"/>
      <c r="T557" s="649"/>
      <c r="U557" s="649"/>
      <c r="V557" s="649"/>
      <c r="W557" s="649"/>
      <c r="X557" s="649"/>
      <c r="Y557" s="649"/>
      <c r="Z557" s="649"/>
      <c r="AA557" s="649"/>
      <c r="AB557" s="649"/>
      <c r="AC557" s="649"/>
      <c r="AD557" s="649"/>
      <c r="AE557" s="649"/>
      <c r="AF557" s="649"/>
      <c r="AG557" s="649"/>
      <c r="AH557" s="649"/>
      <c r="AI557" s="649"/>
      <c r="AJ557" s="649"/>
      <c r="AK557" s="649"/>
      <c r="AL557" s="649"/>
      <c r="AM557" s="649"/>
      <c r="AN557" s="649"/>
      <c r="AO557" s="649"/>
      <c r="AP557" s="649"/>
      <c r="AQ557" s="649"/>
      <c r="AR557" s="649"/>
      <c r="AS557" s="649"/>
      <c r="AT557" s="649"/>
      <c r="AU557" s="649"/>
      <c r="AV557" s="649"/>
      <c r="AW557" s="649"/>
      <c r="AX557" s="649"/>
      <c r="AY557" s="649"/>
      <c r="AZ557" s="649"/>
      <c r="BA557" s="649"/>
      <c r="BB557" s="649"/>
      <c r="BC557" s="649"/>
      <c r="BD557" s="649"/>
      <c r="BE557" s="649"/>
      <c r="BF557" s="649"/>
      <c r="BG557" s="649"/>
      <c r="BH557" s="649"/>
      <c r="BI557" s="649"/>
      <c r="BJ557" s="649"/>
      <c r="BK557" s="649"/>
      <c r="BL557" s="649"/>
      <c r="BM557" s="649"/>
      <c r="BN557" s="649"/>
      <c r="BO557" s="649"/>
      <c r="BP557" s="649"/>
      <c r="BQ557" s="649"/>
      <c r="BR557" s="649"/>
      <c r="BS557" s="649"/>
      <c r="BT557" s="649"/>
      <c r="BU557" s="649"/>
      <c r="BV557" s="649"/>
      <c r="BW557" s="649"/>
      <c r="BX557" s="649"/>
      <c r="BY557" s="649"/>
      <c r="BZ557" s="649"/>
      <c r="CA557" s="649"/>
      <c r="CB557" s="649"/>
      <c r="CC557" s="649"/>
      <c r="CD557" s="649"/>
      <c r="CE557" s="649"/>
      <c r="CF557" s="649"/>
      <c r="CG557" s="649"/>
      <c r="CH557" s="649"/>
      <c r="CI557" s="649"/>
      <c r="CJ557" s="649"/>
      <c r="CK557" s="649"/>
      <c r="CL557" s="649"/>
      <c r="CM557" s="649"/>
      <c r="CN557" s="649"/>
      <c r="CO557" s="649"/>
      <c r="CP557" s="649"/>
      <c r="CQ557" s="649"/>
      <c r="CR557" s="649"/>
      <c r="CS557" s="649"/>
      <c r="CT557" s="649"/>
      <c r="CU557" s="649"/>
      <c r="CV557" s="649"/>
      <c r="CW557" s="649"/>
      <c r="CX557" s="649"/>
      <c r="CY557" s="649"/>
      <c r="CZ557" s="649"/>
    </row>
    <row r="558" spans="1:105" ht="39" hidden="1" customHeight="1" x14ac:dyDescent="0.25">
      <c r="A558" s="659" t="s">
        <v>441</v>
      </c>
      <c r="B558" s="659"/>
      <c r="C558" s="659"/>
      <c r="D558" s="659"/>
      <c r="E558" s="659"/>
      <c r="F558" s="659"/>
      <c r="G558" s="659"/>
      <c r="H558" s="584" t="s">
        <v>682</v>
      </c>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5"/>
      <c r="AL558" s="585"/>
      <c r="AM558" s="585"/>
      <c r="AN558" s="585"/>
      <c r="AO558" s="585"/>
      <c r="AP558" s="585"/>
      <c r="AQ558" s="585"/>
      <c r="AR558" s="585"/>
      <c r="AS558" s="585"/>
      <c r="AT558" s="585"/>
      <c r="AU558" s="585"/>
      <c r="AV558" s="585"/>
      <c r="AW558" s="585"/>
      <c r="AX558" s="585"/>
      <c r="AY558" s="585"/>
      <c r="AZ558" s="585"/>
      <c r="BA558" s="585"/>
      <c r="BB558" s="585"/>
      <c r="BC558" s="585"/>
      <c r="BD558" s="585"/>
      <c r="BE558" s="585"/>
      <c r="BF558" s="585"/>
      <c r="BG558" s="585"/>
      <c r="BH558" s="585"/>
      <c r="BI558" s="585"/>
      <c r="BJ558" s="585"/>
      <c r="BK558" s="585"/>
      <c r="BL558" s="585"/>
      <c r="BM558" s="585"/>
      <c r="BN558" s="585"/>
      <c r="BO558" s="585"/>
      <c r="BP558" s="585"/>
      <c r="BQ558" s="585"/>
      <c r="BR558" s="586"/>
      <c r="BS558" s="582"/>
      <c r="BT558" s="582"/>
      <c r="BU558" s="582"/>
      <c r="BV558" s="582"/>
      <c r="BW558" s="582"/>
      <c r="BX558" s="582"/>
      <c r="BY558" s="582"/>
      <c r="BZ558" s="582"/>
      <c r="CA558" s="582"/>
      <c r="CB558" s="582"/>
      <c r="CC558" s="582"/>
      <c r="CD558" s="582"/>
      <c r="CE558" s="582"/>
      <c r="CF558" s="582"/>
      <c r="CG558" s="582"/>
      <c r="CH558" s="582"/>
      <c r="CI558" s="664"/>
      <c r="CJ558" s="664"/>
      <c r="CK558" s="664"/>
      <c r="CL558" s="664"/>
      <c r="CM558" s="664"/>
      <c r="CN558" s="664"/>
      <c r="CO558" s="664"/>
      <c r="CP558" s="664"/>
      <c r="CQ558" s="664"/>
      <c r="CR558" s="664"/>
      <c r="CS558" s="664"/>
      <c r="CT558" s="664"/>
      <c r="CU558" s="664"/>
      <c r="CV558" s="664"/>
      <c r="CW558" s="664"/>
      <c r="CX558" s="664"/>
      <c r="CY558" s="664"/>
      <c r="CZ558" s="664"/>
    </row>
    <row r="559" spans="1:105" ht="18" hidden="1" customHeight="1" x14ac:dyDescent="0.25">
      <c r="A559" s="659" t="s">
        <v>444</v>
      </c>
      <c r="B559" s="659"/>
      <c r="C559" s="659"/>
      <c r="D559" s="659"/>
      <c r="E559" s="659"/>
      <c r="F559" s="659"/>
      <c r="G559" s="659"/>
      <c r="H559" s="584" t="s">
        <v>683</v>
      </c>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5"/>
      <c r="AL559" s="585"/>
      <c r="AM559" s="585"/>
      <c r="AN559" s="585"/>
      <c r="AO559" s="585"/>
      <c r="AP559" s="585"/>
      <c r="AQ559" s="585"/>
      <c r="AR559" s="585"/>
      <c r="AS559" s="585"/>
      <c r="AT559" s="585"/>
      <c r="AU559" s="585"/>
      <c r="AV559" s="585"/>
      <c r="AW559" s="585"/>
      <c r="AX559" s="585"/>
      <c r="AY559" s="585"/>
      <c r="AZ559" s="585"/>
      <c r="BA559" s="585"/>
      <c r="BB559" s="585"/>
      <c r="BC559" s="585"/>
      <c r="BD559" s="585"/>
      <c r="BE559" s="585"/>
      <c r="BF559" s="585"/>
      <c r="BG559" s="585"/>
      <c r="BH559" s="585"/>
      <c r="BI559" s="585"/>
      <c r="BJ559" s="585"/>
      <c r="BK559" s="585"/>
      <c r="BL559" s="585"/>
      <c r="BM559" s="585"/>
      <c r="BN559" s="585"/>
      <c r="BO559" s="585"/>
      <c r="BP559" s="585"/>
      <c r="BQ559" s="585"/>
      <c r="BR559" s="586"/>
      <c r="BS559" s="582"/>
      <c r="BT559" s="582"/>
      <c r="BU559" s="582"/>
      <c r="BV559" s="582"/>
      <c r="BW559" s="582"/>
      <c r="BX559" s="582"/>
      <c r="BY559" s="582"/>
      <c r="BZ559" s="582"/>
      <c r="CA559" s="582"/>
      <c r="CB559" s="582"/>
      <c r="CC559" s="582"/>
      <c r="CD559" s="582"/>
      <c r="CE559" s="582"/>
      <c r="CF559" s="582"/>
      <c r="CG559" s="582"/>
      <c r="CH559" s="582"/>
      <c r="CI559" s="664"/>
      <c r="CJ559" s="664"/>
      <c r="CK559" s="664"/>
      <c r="CL559" s="664"/>
      <c r="CM559" s="664"/>
      <c r="CN559" s="664"/>
      <c r="CO559" s="664"/>
      <c r="CP559" s="664"/>
      <c r="CQ559" s="664"/>
      <c r="CR559" s="664"/>
      <c r="CS559" s="664"/>
      <c r="CT559" s="664"/>
      <c r="CU559" s="664"/>
      <c r="CV559" s="664"/>
      <c r="CW559" s="664"/>
      <c r="CX559" s="664"/>
      <c r="CY559" s="664"/>
      <c r="CZ559" s="664"/>
    </row>
    <row r="560" spans="1:105" ht="18" hidden="1" customHeight="1" x14ac:dyDescent="0.25">
      <c r="A560" s="659" t="s">
        <v>446</v>
      </c>
      <c r="B560" s="659"/>
      <c r="C560" s="659"/>
      <c r="D560" s="659"/>
      <c r="E560" s="659"/>
      <c r="F560" s="659"/>
      <c r="G560" s="659"/>
      <c r="H560" s="584" t="s">
        <v>684</v>
      </c>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5"/>
      <c r="AL560" s="585"/>
      <c r="AM560" s="585"/>
      <c r="AN560" s="585"/>
      <c r="AO560" s="585"/>
      <c r="AP560" s="585"/>
      <c r="AQ560" s="585"/>
      <c r="AR560" s="585"/>
      <c r="AS560" s="585"/>
      <c r="AT560" s="585"/>
      <c r="AU560" s="585"/>
      <c r="AV560" s="585"/>
      <c r="AW560" s="585"/>
      <c r="AX560" s="585"/>
      <c r="AY560" s="585"/>
      <c r="AZ560" s="585"/>
      <c r="BA560" s="585"/>
      <c r="BB560" s="585"/>
      <c r="BC560" s="585"/>
      <c r="BD560" s="585"/>
      <c r="BE560" s="585"/>
      <c r="BF560" s="585"/>
      <c r="BG560" s="585"/>
      <c r="BH560" s="585"/>
      <c r="BI560" s="585"/>
      <c r="BJ560" s="585"/>
      <c r="BK560" s="585"/>
      <c r="BL560" s="585"/>
      <c r="BM560" s="585"/>
      <c r="BN560" s="585"/>
      <c r="BO560" s="585"/>
      <c r="BP560" s="585"/>
      <c r="BQ560" s="585"/>
      <c r="BR560" s="586"/>
      <c r="BS560" s="582"/>
      <c r="BT560" s="582"/>
      <c r="BU560" s="582"/>
      <c r="BV560" s="582"/>
      <c r="BW560" s="582"/>
      <c r="BX560" s="582"/>
      <c r="BY560" s="582"/>
      <c r="BZ560" s="582"/>
      <c r="CA560" s="582"/>
      <c r="CB560" s="582"/>
      <c r="CC560" s="582"/>
      <c r="CD560" s="582"/>
      <c r="CE560" s="582"/>
      <c r="CF560" s="582"/>
      <c r="CG560" s="582"/>
      <c r="CH560" s="582"/>
      <c r="CI560" s="664"/>
      <c r="CJ560" s="664"/>
      <c r="CK560" s="664"/>
      <c r="CL560" s="664"/>
      <c r="CM560" s="664"/>
      <c r="CN560" s="664"/>
      <c r="CO560" s="664"/>
      <c r="CP560" s="664"/>
      <c r="CQ560" s="664"/>
      <c r="CR560" s="664"/>
      <c r="CS560" s="664"/>
      <c r="CT560" s="664"/>
      <c r="CU560" s="664"/>
      <c r="CV560" s="664"/>
      <c r="CW560" s="664"/>
      <c r="CX560" s="664"/>
      <c r="CY560" s="664"/>
      <c r="CZ560" s="664"/>
    </row>
    <row r="561" spans="1:105" ht="15" hidden="1" customHeight="1" x14ac:dyDescent="0.25">
      <c r="A561" s="553" t="s">
        <v>292</v>
      </c>
      <c r="B561" s="554"/>
      <c r="C561" s="554"/>
      <c r="D561" s="554"/>
      <c r="E561" s="554"/>
      <c r="F561" s="554"/>
      <c r="G561" s="554"/>
      <c r="H561" s="554"/>
      <c r="I561" s="554"/>
      <c r="J561" s="554"/>
      <c r="K561" s="554"/>
      <c r="L561" s="554"/>
      <c r="M561" s="554"/>
      <c r="N561" s="554"/>
      <c r="O561" s="554"/>
      <c r="P561" s="554"/>
      <c r="Q561" s="554"/>
      <c r="R561" s="554"/>
      <c r="S561" s="554"/>
      <c r="T561" s="554"/>
      <c r="U561" s="554"/>
      <c r="V561" s="554"/>
      <c r="W561" s="554"/>
      <c r="X561" s="554"/>
      <c r="Y561" s="554"/>
      <c r="Z561" s="554"/>
      <c r="AA561" s="554"/>
      <c r="AB561" s="554"/>
      <c r="AC561" s="554"/>
      <c r="AD561" s="554"/>
      <c r="AE561" s="554"/>
      <c r="AF561" s="554"/>
      <c r="AG561" s="554"/>
      <c r="AH561" s="554"/>
      <c r="AI561" s="554"/>
      <c r="AJ561" s="554"/>
      <c r="AK561" s="554"/>
      <c r="AL561" s="554"/>
      <c r="AM561" s="554"/>
      <c r="AN561" s="554"/>
      <c r="AO561" s="554"/>
      <c r="AP561" s="554"/>
      <c r="AQ561" s="554"/>
      <c r="AR561" s="554"/>
      <c r="AS561" s="554"/>
      <c r="AT561" s="554"/>
      <c r="AU561" s="554"/>
      <c r="AV561" s="554"/>
      <c r="AW561" s="554"/>
      <c r="AX561" s="554"/>
      <c r="AY561" s="554"/>
      <c r="AZ561" s="554"/>
      <c r="BA561" s="554"/>
      <c r="BB561" s="554"/>
      <c r="BC561" s="554"/>
      <c r="BD561" s="554"/>
      <c r="BE561" s="554"/>
      <c r="BF561" s="554"/>
      <c r="BG561" s="554"/>
      <c r="BH561" s="554"/>
      <c r="BI561" s="554"/>
      <c r="BJ561" s="554"/>
      <c r="BK561" s="554"/>
      <c r="BL561" s="554"/>
      <c r="BM561" s="554"/>
      <c r="BN561" s="554"/>
      <c r="BO561" s="554"/>
      <c r="BP561" s="554"/>
      <c r="BQ561" s="554"/>
      <c r="BR561" s="555"/>
      <c r="BS561" s="582" t="s">
        <v>4</v>
      </c>
      <c r="BT561" s="582"/>
      <c r="BU561" s="582"/>
      <c r="BV561" s="582"/>
      <c r="BW561" s="582"/>
      <c r="BX561" s="582"/>
      <c r="BY561" s="582"/>
      <c r="BZ561" s="582"/>
      <c r="CA561" s="582"/>
      <c r="CB561" s="582"/>
      <c r="CC561" s="582"/>
      <c r="CD561" s="582"/>
      <c r="CE561" s="582"/>
      <c r="CF561" s="582"/>
      <c r="CG561" s="582"/>
      <c r="CH561" s="582"/>
      <c r="CI561" s="611">
        <f>CI558+CI559+CI560</f>
        <v>0</v>
      </c>
      <c r="CJ561" s="611"/>
      <c r="CK561" s="611"/>
      <c r="CL561" s="611"/>
      <c r="CM561" s="611"/>
      <c r="CN561" s="611"/>
      <c r="CO561" s="611"/>
      <c r="CP561" s="611"/>
      <c r="CQ561" s="611"/>
      <c r="CR561" s="611"/>
      <c r="CS561" s="611"/>
      <c r="CT561" s="611"/>
      <c r="CU561" s="611"/>
      <c r="CV561" s="611"/>
      <c r="CW561" s="611"/>
      <c r="CX561" s="611"/>
      <c r="CY561" s="611"/>
      <c r="CZ561" s="611"/>
    </row>
    <row r="562" spans="1:105" ht="15" hidden="1" customHeight="1" x14ac:dyDescent="0.25">
      <c r="A562" s="648" t="s">
        <v>573</v>
      </c>
      <c r="B562" s="649"/>
      <c r="C562" s="649"/>
      <c r="D562" s="649"/>
      <c r="E562" s="649"/>
      <c r="F562" s="649"/>
      <c r="G562" s="649"/>
      <c r="H562" s="649"/>
      <c r="I562" s="649"/>
      <c r="J562" s="649"/>
      <c r="K562" s="649"/>
      <c r="L562" s="649"/>
      <c r="M562" s="649"/>
      <c r="N562" s="649"/>
      <c r="O562" s="649"/>
      <c r="P562" s="649"/>
      <c r="Q562" s="649"/>
      <c r="R562" s="649"/>
      <c r="S562" s="649"/>
      <c r="T562" s="649"/>
      <c r="U562" s="649"/>
      <c r="V562" s="649"/>
      <c r="W562" s="649"/>
      <c r="X562" s="649"/>
      <c r="Y562" s="649"/>
      <c r="Z562" s="649"/>
      <c r="AA562" s="649"/>
      <c r="AB562" s="649"/>
      <c r="AC562" s="649"/>
      <c r="AD562" s="649"/>
      <c r="AE562" s="649"/>
      <c r="AF562" s="649"/>
      <c r="AG562" s="649"/>
      <c r="AH562" s="649"/>
      <c r="AI562" s="649"/>
      <c r="AJ562" s="649"/>
      <c r="AK562" s="649"/>
      <c r="AL562" s="649"/>
      <c r="AM562" s="649"/>
      <c r="AN562" s="649"/>
      <c r="AO562" s="649"/>
      <c r="AP562" s="649"/>
      <c r="AQ562" s="649"/>
      <c r="AR562" s="649"/>
      <c r="AS562" s="649"/>
      <c r="AT562" s="649"/>
      <c r="AU562" s="649"/>
      <c r="AV562" s="649"/>
      <c r="AW562" s="649"/>
      <c r="AX562" s="649"/>
      <c r="AY562" s="649"/>
      <c r="AZ562" s="649"/>
      <c r="BA562" s="649"/>
      <c r="BB562" s="649"/>
      <c r="BC562" s="649"/>
      <c r="BD562" s="649"/>
      <c r="BE562" s="649"/>
      <c r="BF562" s="649"/>
      <c r="BG562" s="649"/>
      <c r="BH562" s="649"/>
      <c r="BI562" s="649"/>
      <c r="BJ562" s="649"/>
      <c r="BK562" s="649"/>
      <c r="BL562" s="649"/>
      <c r="BM562" s="649"/>
      <c r="BN562" s="649"/>
      <c r="BO562" s="649"/>
      <c r="BP562" s="649"/>
      <c r="BQ562" s="649"/>
      <c r="BR562" s="649"/>
      <c r="BS562" s="649"/>
      <c r="BT562" s="649"/>
      <c r="BU562" s="649"/>
      <c r="BV562" s="649"/>
      <c r="BW562" s="649"/>
      <c r="BX562" s="649"/>
      <c r="BY562" s="649"/>
      <c r="BZ562" s="649"/>
      <c r="CA562" s="649"/>
      <c r="CB562" s="649"/>
      <c r="CC562" s="649"/>
      <c r="CD562" s="649"/>
      <c r="CE562" s="649"/>
      <c r="CF562" s="649"/>
      <c r="CG562" s="649"/>
      <c r="CH562" s="649"/>
      <c r="CI562" s="649"/>
      <c r="CJ562" s="649"/>
      <c r="CK562" s="649"/>
      <c r="CL562" s="649"/>
      <c r="CM562" s="649"/>
      <c r="CN562" s="649"/>
      <c r="CO562" s="649"/>
      <c r="CP562" s="649"/>
      <c r="CQ562" s="649"/>
      <c r="CR562" s="649"/>
      <c r="CS562" s="649"/>
      <c r="CT562" s="649"/>
      <c r="CU562" s="649"/>
      <c r="CV562" s="649"/>
      <c r="CW562" s="649"/>
      <c r="CX562" s="649"/>
      <c r="CY562" s="649"/>
      <c r="CZ562" s="649"/>
    </row>
    <row r="563" spans="1:105" ht="30" hidden="1" customHeight="1" x14ac:dyDescent="0.25">
      <c r="A563" s="659" t="s">
        <v>441</v>
      </c>
      <c r="B563" s="659"/>
      <c r="C563" s="659"/>
      <c r="D563" s="659"/>
      <c r="E563" s="659"/>
      <c r="F563" s="659"/>
      <c r="G563" s="659"/>
      <c r="H563" s="584" t="s">
        <v>685</v>
      </c>
      <c r="I563" s="585"/>
      <c r="J563" s="585"/>
      <c r="K563" s="585"/>
      <c r="L563" s="585"/>
      <c r="M563" s="585"/>
      <c r="N563" s="585"/>
      <c r="O563" s="585"/>
      <c r="P563" s="585"/>
      <c r="Q563" s="585"/>
      <c r="R563" s="585"/>
      <c r="S563" s="585"/>
      <c r="T563" s="585"/>
      <c r="U563" s="585"/>
      <c r="V563" s="585"/>
      <c r="W563" s="585"/>
      <c r="X563" s="585"/>
      <c r="Y563" s="585"/>
      <c r="Z563" s="585"/>
      <c r="AA563" s="585"/>
      <c r="AB563" s="585"/>
      <c r="AC563" s="585"/>
      <c r="AD563" s="585"/>
      <c r="AE563" s="585"/>
      <c r="AF563" s="585"/>
      <c r="AG563" s="585"/>
      <c r="AH563" s="585"/>
      <c r="AI563" s="585"/>
      <c r="AJ563" s="585"/>
      <c r="AK563" s="585"/>
      <c r="AL563" s="585"/>
      <c r="AM563" s="585"/>
      <c r="AN563" s="585"/>
      <c r="AO563" s="585"/>
      <c r="AP563" s="585"/>
      <c r="AQ563" s="585"/>
      <c r="AR563" s="585"/>
      <c r="AS563" s="585"/>
      <c r="AT563" s="585"/>
      <c r="AU563" s="585"/>
      <c r="AV563" s="585"/>
      <c r="AW563" s="585"/>
      <c r="AX563" s="585"/>
      <c r="AY563" s="585"/>
      <c r="AZ563" s="585"/>
      <c r="BA563" s="585"/>
      <c r="BB563" s="585"/>
      <c r="BC563" s="585"/>
      <c r="BD563" s="585"/>
      <c r="BE563" s="585"/>
      <c r="BF563" s="585"/>
      <c r="BG563" s="585"/>
      <c r="BH563" s="585"/>
      <c r="BI563" s="585"/>
      <c r="BJ563" s="585"/>
      <c r="BK563" s="585"/>
      <c r="BL563" s="585"/>
      <c r="BM563" s="585"/>
      <c r="BN563" s="585"/>
      <c r="BO563" s="585"/>
      <c r="BP563" s="585"/>
      <c r="BQ563" s="585"/>
      <c r="BR563" s="586"/>
      <c r="BS563" s="582">
        <v>1</v>
      </c>
      <c r="BT563" s="582"/>
      <c r="BU563" s="582"/>
      <c r="BV563" s="582"/>
      <c r="BW563" s="582"/>
      <c r="BX563" s="582"/>
      <c r="BY563" s="582"/>
      <c r="BZ563" s="582"/>
      <c r="CA563" s="582"/>
      <c r="CB563" s="582"/>
      <c r="CC563" s="582"/>
      <c r="CD563" s="582"/>
      <c r="CE563" s="582"/>
      <c r="CF563" s="582"/>
      <c r="CG563" s="582"/>
      <c r="CH563" s="582"/>
      <c r="CI563" s="664"/>
      <c r="CJ563" s="664"/>
      <c r="CK563" s="664"/>
      <c r="CL563" s="664"/>
      <c r="CM563" s="664"/>
      <c r="CN563" s="664"/>
      <c r="CO563" s="664"/>
      <c r="CP563" s="664"/>
      <c r="CQ563" s="664"/>
      <c r="CR563" s="664"/>
      <c r="CS563" s="664"/>
      <c r="CT563" s="664"/>
      <c r="CU563" s="664"/>
      <c r="CV563" s="664"/>
      <c r="CW563" s="664"/>
      <c r="CX563" s="664"/>
      <c r="CY563" s="664"/>
      <c r="CZ563" s="664"/>
    </row>
    <row r="564" spans="1:105" ht="18" hidden="1" customHeight="1" x14ac:dyDescent="0.25">
      <c r="A564" s="659" t="s">
        <v>444</v>
      </c>
      <c r="B564" s="659"/>
      <c r="C564" s="659"/>
      <c r="D564" s="659"/>
      <c r="E564" s="659"/>
      <c r="F564" s="659"/>
      <c r="G564" s="659"/>
      <c r="H564" s="584" t="s">
        <v>686</v>
      </c>
      <c r="I564" s="585"/>
      <c r="J564" s="585"/>
      <c r="K564" s="585"/>
      <c r="L564" s="585"/>
      <c r="M564" s="585"/>
      <c r="N564" s="585"/>
      <c r="O564" s="585"/>
      <c r="P564" s="585"/>
      <c r="Q564" s="585"/>
      <c r="R564" s="585"/>
      <c r="S564" s="585"/>
      <c r="T564" s="585"/>
      <c r="U564" s="585"/>
      <c r="V564" s="585"/>
      <c r="W564" s="585"/>
      <c r="X564" s="585"/>
      <c r="Y564" s="585"/>
      <c r="Z564" s="585"/>
      <c r="AA564" s="585"/>
      <c r="AB564" s="585"/>
      <c r="AC564" s="585"/>
      <c r="AD564" s="585"/>
      <c r="AE564" s="585"/>
      <c r="AF564" s="585"/>
      <c r="AG564" s="585"/>
      <c r="AH564" s="585"/>
      <c r="AI564" s="585"/>
      <c r="AJ564" s="585"/>
      <c r="AK564" s="585"/>
      <c r="AL564" s="585"/>
      <c r="AM564" s="585"/>
      <c r="AN564" s="585"/>
      <c r="AO564" s="585"/>
      <c r="AP564" s="585"/>
      <c r="AQ564" s="585"/>
      <c r="AR564" s="585"/>
      <c r="AS564" s="585"/>
      <c r="AT564" s="585"/>
      <c r="AU564" s="585"/>
      <c r="AV564" s="585"/>
      <c r="AW564" s="585"/>
      <c r="AX564" s="585"/>
      <c r="AY564" s="585"/>
      <c r="AZ564" s="585"/>
      <c r="BA564" s="585"/>
      <c r="BB564" s="585"/>
      <c r="BC564" s="585"/>
      <c r="BD564" s="585"/>
      <c r="BE564" s="585"/>
      <c r="BF564" s="585"/>
      <c r="BG564" s="585"/>
      <c r="BH564" s="585"/>
      <c r="BI564" s="585"/>
      <c r="BJ564" s="585"/>
      <c r="BK564" s="585"/>
      <c r="BL564" s="585"/>
      <c r="BM564" s="585"/>
      <c r="BN564" s="585"/>
      <c r="BO564" s="585"/>
      <c r="BP564" s="585"/>
      <c r="BQ564" s="585"/>
      <c r="BR564" s="586"/>
      <c r="BS564" s="582">
        <v>5</v>
      </c>
      <c r="BT564" s="582"/>
      <c r="BU564" s="582"/>
      <c r="BV564" s="582"/>
      <c r="BW564" s="582"/>
      <c r="BX564" s="582"/>
      <c r="BY564" s="582"/>
      <c r="BZ564" s="582"/>
      <c r="CA564" s="582"/>
      <c r="CB564" s="582"/>
      <c r="CC564" s="582"/>
      <c r="CD564" s="582"/>
      <c r="CE564" s="582"/>
      <c r="CF564" s="582"/>
      <c r="CG564" s="582"/>
      <c r="CH564" s="582"/>
      <c r="CI564" s="664"/>
      <c r="CJ564" s="664"/>
      <c r="CK564" s="664"/>
      <c r="CL564" s="664"/>
      <c r="CM564" s="664"/>
      <c r="CN564" s="664"/>
      <c r="CO564" s="664"/>
      <c r="CP564" s="664"/>
      <c r="CQ564" s="664"/>
      <c r="CR564" s="664"/>
      <c r="CS564" s="664"/>
      <c r="CT564" s="664"/>
      <c r="CU564" s="664"/>
      <c r="CV564" s="664"/>
      <c r="CW564" s="664"/>
      <c r="CX564" s="664"/>
      <c r="CY564" s="664"/>
      <c r="CZ564" s="664"/>
    </row>
    <row r="565" spans="1:105" ht="18" hidden="1" customHeight="1" x14ac:dyDescent="0.25">
      <c r="A565" s="630" t="s">
        <v>446</v>
      </c>
      <c r="B565" s="631"/>
      <c r="C565" s="631"/>
      <c r="D565" s="631"/>
      <c r="E565" s="631"/>
      <c r="F565" s="631"/>
      <c r="G565" s="632"/>
      <c r="H565" s="584" t="s">
        <v>687</v>
      </c>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5"/>
      <c r="AL565" s="585"/>
      <c r="AM565" s="585"/>
      <c r="AN565" s="585"/>
      <c r="AO565" s="585"/>
      <c r="AP565" s="585"/>
      <c r="AQ565" s="585"/>
      <c r="AR565" s="585"/>
      <c r="AS565" s="585"/>
      <c r="AT565" s="585"/>
      <c r="AU565" s="585"/>
      <c r="AV565" s="585"/>
      <c r="AW565" s="585"/>
      <c r="AX565" s="585"/>
      <c r="AY565" s="585"/>
      <c r="AZ565" s="585"/>
      <c r="BA565" s="585"/>
      <c r="BB565" s="585"/>
      <c r="BC565" s="685"/>
      <c r="BD565" s="685"/>
      <c r="BE565" s="685"/>
      <c r="BF565" s="685"/>
      <c r="BG565" s="685"/>
      <c r="BH565" s="685"/>
      <c r="BI565" s="685"/>
      <c r="BJ565" s="685"/>
      <c r="BK565" s="685"/>
      <c r="BL565" s="685"/>
      <c r="BM565" s="685"/>
      <c r="BN565" s="685"/>
      <c r="BO565" s="685"/>
      <c r="BP565" s="685"/>
      <c r="BQ565" s="685"/>
      <c r="BR565" s="686"/>
      <c r="BS565" s="582">
        <v>1</v>
      </c>
      <c r="BT565" s="582"/>
      <c r="BU565" s="582"/>
      <c r="BV565" s="582"/>
      <c r="BW565" s="582"/>
      <c r="BX565" s="582"/>
      <c r="BY565" s="582"/>
      <c r="BZ565" s="582"/>
      <c r="CA565" s="582"/>
      <c r="CB565" s="582"/>
      <c r="CC565" s="582"/>
      <c r="CD565" s="582"/>
      <c r="CE565" s="582"/>
      <c r="CF565" s="582"/>
      <c r="CG565" s="582"/>
      <c r="CH565" s="582"/>
      <c r="CI565" s="627"/>
      <c r="CJ565" s="628"/>
      <c r="CK565" s="628"/>
      <c r="CL565" s="628"/>
      <c r="CM565" s="628"/>
      <c r="CN565" s="628"/>
      <c r="CO565" s="628"/>
      <c r="CP565" s="628"/>
      <c r="CQ565" s="628"/>
      <c r="CR565" s="628"/>
      <c r="CS565" s="628"/>
      <c r="CT565" s="628"/>
      <c r="CU565" s="628"/>
      <c r="CV565" s="628"/>
      <c r="CW565" s="628"/>
      <c r="CX565" s="628"/>
      <c r="CY565" s="628"/>
      <c r="CZ565" s="629"/>
    </row>
    <row r="566" spans="1:105" ht="18" hidden="1" customHeight="1" x14ac:dyDescent="0.25">
      <c r="A566" s="630" t="s">
        <v>551</v>
      </c>
      <c r="B566" s="631"/>
      <c r="C566" s="631"/>
      <c r="D566" s="631"/>
      <c r="E566" s="631"/>
      <c r="F566" s="631"/>
      <c r="G566" s="632"/>
      <c r="H566" s="584" t="s">
        <v>908</v>
      </c>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5"/>
      <c r="AL566" s="585"/>
      <c r="AM566" s="585"/>
      <c r="AN566" s="585"/>
      <c r="AO566" s="585"/>
      <c r="AP566" s="585"/>
      <c r="AQ566" s="585"/>
      <c r="AR566" s="585"/>
      <c r="AS566" s="585"/>
      <c r="AT566" s="585"/>
      <c r="AU566" s="585"/>
      <c r="AV566" s="585"/>
      <c r="AW566" s="585"/>
      <c r="AX566" s="585"/>
      <c r="AY566" s="585"/>
      <c r="AZ566" s="585"/>
      <c r="BA566" s="585"/>
      <c r="BB566" s="585"/>
      <c r="BC566" s="585"/>
      <c r="BD566" s="585"/>
      <c r="BE566" s="585"/>
      <c r="BF566" s="585"/>
      <c r="BG566" s="585"/>
      <c r="BH566" s="585"/>
      <c r="BI566" s="585"/>
      <c r="BJ566" s="585"/>
      <c r="BK566" s="585"/>
      <c r="BL566" s="585"/>
      <c r="BM566" s="585"/>
      <c r="BN566" s="585"/>
      <c r="BO566" s="585"/>
      <c r="BP566" s="585"/>
      <c r="BQ566" s="585"/>
      <c r="BR566" s="586"/>
      <c r="BS566" s="544">
        <v>1</v>
      </c>
      <c r="BT566" s="545"/>
      <c r="BU566" s="545"/>
      <c r="BV566" s="545"/>
      <c r="BW566" s="545"/>
      <c r="BX566" s="545"/>
      <c r="BY566" s="545"/>
      <c r="BZ566" s="545"/>
      <c r="CA566" s="545"/>
      <c r="CB566" s="545"/>
      <c r="CC566" s="545"/>
      <c r="CD566" s="545"/>
      <c r="CE566" s="545"/>
      <c r="CF566" s="545"/>
      <c r="CG566" s="545"/>
      <c r="CH566" s="546"/>
      <c r="CI566" s="627"/>
      <c r="CJ566" s="628"/>
      <c r="CK566" s="628"/>
      <c r="CL566" s="628"/>
      <c r="CM566" s="628"/>
      <c r="CN566" s="628"/>
      <c r="CO566" s="628"/>
      <c r="CP566" s="628"/>
      <c r="CQ566" s="628"/>
      <c r="CR566" s="628"/>
      <c r="CS566" s="628"/>
      <c r="CT566" s="628"/>
      <c r="CU566" s="628"/>
      <c r="CV566" s="628"/>
      <c r="CW566" s="628"/>
      <c r="CX566" s="628"/>
      <c r="CY566" s="628"/>
      <c r="CZ566" s="629"/>
    </row>
    <row r="567" spans="1:105" ht="18" hidden="1" customHeight="1" x14ac:dyDescent="0.25">
      <c r="A567" s="630" t="s">
        <v>599</v>
      </c>
      <c r="B567" s="631"/>
      <c r="C567" s="631"/>
      <c r="D567" s="631"/>
      <c r="E567" s="631"/>
      <c r="F567" s="631"/>
      <c r="G567" s="632"/>
      <c r="H567" s="584" t="s">
        <v>861</v>
      </c>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5"/>
      <c r="AL567" s="585"/>
      <c r="AM567" s="585"/>
      <c r="AN567" s="585"/>
      <c r="AO567" s="585"/>
      <c r="AP567" s="585"/>
      <c r="AQ567" s="585"/>
      <c r="AR567" s="585"/>
      <c r="AS567" s="585"/>
      <c r="AT567" s="585"/>
      <c r="AU567" s="585"/>
      <c r="AV567" s="585"/>
      <c r="AW567" s="585"/>
      <c r="AX567" s="585"/>
      <c r="AY567" s="585"/>
      <c r="AZ567" s="585"/>
      <c r="BA567" s="585"/>
      <c r="BB567" s="585"/>
      <c r="BC567" s="585"/>
      <c r="BD567" s="585"/>
      <c r="BE567" s="585"/>
      <c r="BF567" s="585"/>
      <c r="BG567" s="585"/>
      <c r="BH567" s="585"/>
      <c r="BI567" s="585"/>
      <c r="BJ567" s="585"/>
      <c r="BK567" s="585"/>
      <c r="BL567" s="585"/>
      <c r="BM567" s="585"/>
      <c r="BN567" s="585"/>
      <c r="BO567" s="585"/>
      <c r="BP567" s="585"/>
      <c r="BQ567" s="585"/>
      <c r="BR567" s="586"/>
      <c r="BS567" s="544">
        <v>1</v>
      </c>
      <c r="BT567" s="545"/>
      <c r="BU567" s="545"/>
      <c r="BV567" s="545"/>
      <c r="BW567" s="545"/>
      <c r="BX567" s="545"/>
      <c r="BY567" s="545"/>
      <c r="BZ567" s="545"/>
      <c r="CA567" s="545"/>
      <c r="CB567" s="545"/>
      <c r="CC567" s="545"/>
      <c r="CD567" s="545"/>
      <c r="CE567" s="545"/>
      <c r="CF567" s="545"/>
      <c r="CG567" s="545"/>
      <c r="CH567" s="546"/>
      <c r="CI567" s="627"/>
      <c r="CJ567" s="628"/>
      <c r="CK567" s="628"/>
      <c r="CL567" s="628"/>
      <c r="CM567" s="628"/>
      <c r="CN567" s="628"/>
      <c r="CO567" s="628"/>
      <c r="CP567" s="628"/>
      <c r="CQ567" s="628"/>
      <c r="CR567" s="628"/>
      <c r="CS567" s="628"/>
      <c r="CT567" s="628"/>
      <c r="CU567" s="628"/>
      <c r="CV567" s="628"/>
      <c r="CW567" s="628"/>
      <c r="CX567" s="628"/>
      <c r="CY567" s="628"/>
      <c r="CZ567" s="629"/>
    </row>
    <row r="568" spans="1:105" ht="27" hidden="1" customHeight="1" x14ac:dyDescent="0.25">
      <c r="A568" s="630" t="s">
        <v>642</v>
      </c>
      <c r="B568" s="631"/>
      <c r="C568" s="631"/>
      <c r="D568" s="631"/>
      <c r="E568" s="631"/>
      <c r="F568" s="631"/>
      <c r="G568" s="632"/>
      <c r="H568" s="584" t="s">
        <v>847</v>
      </c>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5"/>
      <c r="AL568" s="585"/>
      <c r="AM568" s="585"/>
      <c r="AN568" s="585"/>
      <c r="AO568" s="585"/>
      <c r="AP568" s="585"/>
      <c r="AQ568" s="585"/>
      <c r="AR568" s="585"/>
      <c r="AS568" s="585"/>
      <c r="AT568" s="585"/>
      <c r="AU568" s="585"/>
      <c r="AV568" s="585"/>
      <c r="AW568" s="585"/>
      <c r="AX568" s="585"/>
      <c r="AY568" s="585"/>
      <c r="AZ568" s="585"/>
      <c r="BA568" s="585"/>
      <c r="BB568" s="585"/>
      <c r="BC568" s="585"/>
      <c r="BD568" s="585"/>
      <c r="BE568" s="585"/>
      <c r="BF568" s="585"/>
      <c r="BG568" s="585"/>
      <c r="BH568" s="585"/>
      <c r="BI568" s="585"/>
      <c r="BJ568" s="585"/>
      <c r="BK568" s="585"/>
      <c r="BL568" s="585"/>
      <c r="BM568" s="585"/>
      <c r="BN568" s="585"/>
      <c r="BO568" s="585"/>
      <c r="BP568" s="585"/>
      <c r="BQ568" s="585"/>
      <c r="BR568" s="586"/>
      <c r="BS568" s="544">
        <v>1</v>
      </c>
      <c r="BT568" s="545"/>
      <c r="BU568" s="545"/>
      <c r="BV568" s="545"/>
      <c r="BW568" s="545"/>
      <c r="BX568" s="545"/>
      <c r="BY568" s="545"/>
      <c r="BZ568" s="545"/>
      <c r="CA568" s="545"/>
      <c r="CB568" s="545"/>
      <c r="CC568" s="545"/>
      <c r="CD568" s="545"/>
      <c r="CE568" s="545"/>
      <c r="CF568" s="545"/>
      <c r="CG568" s="545"/>
      <c r="CH568" s="546"/>
      <c r="CI568" s="627"/>
      <c r="CJ568" s="628"/>
      <c r="CK568" s="628"/>
      <c r="CL568" s="628"/>
      <c r="CM568" s="628"/>
      <c r="CN568" s="628"/>
      <c r="CO568" s="628"/>
      <c r="CP568" s="628"/>
      <c r="CQ568" s="628"/>
      <c r="CR568" s="628"/>
      <c r="CS568" s="628"/>
      <c r="CT568" s="628"/>
      <c r="CU568" s="628"/>
      <c r="CV568" s="628"/>
      <c r="CW568" s="628"/>
      <c r="CX568" s="628"/>
      <c r="CY568" s="628"/>
      <c r="CZ568" s="629"/>
    </row>
    <row r="569" spans="1:105" ht="17.399999999999999" hidden="1" customHeight="1" x14ac:dyDescent="0.25">
      <c r="A569" s="630" t="s">
        <v>648</v>
      </c>
      <c r="B569" s="631"/>
      <c r="C569" s="631"/>
      <c r="D569" s="631"/>
      <c r="E569" s="631"/>
      <c r="F569" s="631"/>
      <c r="G569" s="632"/>
      <c r="H569" s="584" t="s">
        <v>688</v>
      </c>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5"/>
      <c r="AL569" s="585"/>
      <c r="AM569" s="585"/>
      <c r="AN569" s="585"/>
      <c r="AO569" s="585"/>
      <c r="AP569" s="585"/>
      <c r="AQ569" s="585"/>
      <c r="AR569" s="585"/>
      <c r="AS569" s="585"/>
      <c r="AT569" s="585"/>
      <c r="AU569" s="585"/>
      <c r="AV569" s="585"/>
      <c r="AW569" s="585"/>
      <c r="AX569" s="585"/>
      <c r="AY569" s="585"/>
      <c r="AZ569" s="585"/>
      <c r="BA569" s="585"/>
      <c r="BB569" s="585"/>
      <c r="BC569" s="585"/>
      <c r="BD569" s="585"/>
      <c r="BE569" s="585"/>
      <c r="BF569" s="585"/>
      <c r="BG569" s="585"/>
      <c r="BH569" s="585"/>
      <c r="BI569" s="585"/>
      <c r="BJ569" s="585"/>
      <c r="BK569" s="585"/>
      <c r="BL569" s="585"/>
      <c r="BM569" s="585"/>
      <c r="BN569" s="585"/>
      <c r="BO569" s="585"/>
      <c r="BP569" s="585"/>
      <c r="BQ569" s="585"/>
      <c r="BR569" s="586"/>
      <c r="BS569" s="582">
        <v>2</v>
      </c>
      <c r="BT569" s="582"/>
      <c r="BU569" s="582"/>
      <c r="BV569" s="582"/>
      <c r="BW569" s="582"/>
      <c r="BX569" s="582"/>
      <c r="BY569" s="582"/>
      <c r="BZ569" s="582"/>
      <c r="CA569" s="582"/>
      <c r="CB569" s="582"/>
      <c r="CC569" s="582"/>
      <c r="CD569" s="582"/>
      <c r="CE569" s="582"/>
      <c r="CF569" s="582"/>
      <c r="CG569" s="582"/>
      <c r="CH569" s="582"/>
      <c r="CI569" s="664"/>
      <c r="CJ569" s="664"/>
      <c r="CK569" s="664"/>
      <c r="CL569" s="664"/>
      <c r="CM569" s="664"/>
      <c r="CN569" s="664"/>
      <c r="CO569" s="664"/>
      <c r="CP569" s="664"/>
      <c r="CQ569" s="664"/>
      <c r="CR569" s="664"/>
      <c r="CS569" s="664"/>
      <c r="CT569" s="664"/>
      <c r="CU569" s="664"/>
      <c r="CV569" s="664"/>
      <c r="CW569" s="664"/>
      <c r="CX569" s="664"/>
      <c r="CY569" s="664"/>
      <c r="CZ569" s="664"/>
    </row>
    <row r="570" spans="1:105" ht="17.399999999999999" hidden="1" customHeight="1" x14ac:dyDescent="0.25">
      <c r="A570" s="630" t="s">
        <v>650</v>
      </c>
      <c r="B570" s="631"/>
      <c r="C570" s="631"/>
      <c r="D570" s="631"/>
      <c r="E570" s="631"/>
      <c r="F570" s="631"/>
      <c r="G570" s="632"/>
      <c r="H570" s="584" t="s">
        <v>848</v>
      </c>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5"/>
      <c r="AL570" s="585"/>
      <c r="AM570" s="585"/>
      <c r="AN570" s="585"/>
      <c r="AO570" s="585"/>
      <c r="AP570" s="585"/>
      <c r="AQ570" s="585"/>
      <c r="AR570" s="585"/>
      <c r="AS570" s="585"/>
      <c r="AT570" s="585"/>
      <c r="AU570" s="585"/>
      <c r="AV570" s="585"/>
      <c r="AW570" s="585"/>
      <c r="AX570" s="585"/>
      <c r="AY570" s="585"/>
      <c r="AZ570" s="585"/>
      <c r="BA570" s="585"/>
      <c r="BB570" s="585"/>
      <c r="BC570" s="585"/>
      <c r="BD570" s="585"/>
      <c r="BE570" s="585"/>
      <c r="BF570" s="585"/>
      <c r="BG570" s="585"/>
      <c r="BH570" s="585"/>
      <c r="BI570" s="585"/>
      <c r="BJ570" s="585"/>
      <c r="BK570" s="585"/>
      <c r="BL570" s="585"/>
      <c r="BM570" s="585"/>
      <c r="BN570" s="585"/>
      <c r="BO570" s="585"/>
      <c r="BP570" s="585"/>
      <c r="BQ570" s="585"/>
      <c r="BR570" s="586"/>
      <c r="BS570" s="544">
        <v>1</v>
      </c>
      <c r="BT570" s="545"/>
      <c r="BU570" s="545"/>
      <c r="BV570" s="545"/>
      <c r="BW570" s="545"/>
      <c r="BX570" s="545"/>
      <c r="BY570" s="545"/>
      <c r="BZ570" s="545"/>
      <c r="CA570" s="545"/>
      <c r="CB570" s="545"/>
      <c r="CC570" s="545"/>
      <c r="CD570" s="545"/>
      <c r="CE570" s="545"/>
      <c r="CF570" s="545"/>
      <c r="CG570" s="545"/>
      <c r="CH570" s="546"/>
      <c r="CI570" s="627"/>
      <c r="CJ570" s="628"/>
      <c r="CK570" s="628"/>
      <c r="CL570" s="628"/>
      <c r="CM570" s="628"/>
      <c r="CN570" s="628"/>
      <c r="CO570" s="628"/>
      <c r="CP570" s="628"/>
      <c r="CQ570" s="628"/>
      <c r="CR570" s="628"/>
      <c r="CS570" s="628"/>
      <c r="CT570" s="628"/>
      <c r="CU570" s="628"/>
      <c r="CV570" s="628"/>
      <c r="CW570" s="628"/>
      <c r="CX570" s="628"/>
      <c r="CY570" s="628"/>
      <c r="CZ570" s="629"/>
    </row>
    <row r="571" spans="1:105" ht="15" hidden="1" customHeight="1" x14ac:dyDescent="0.25">
      <c r="A571" s="553" t="s">
        <v>292</v>
      </c>
      <c r="B571" s="554"/>
      <c r="C571" s="554"/>
      <c r="D571" s="554"/>
      <c r="E571" s="554"/>
      <c r="F571" s="554"/>
      <c r="G571" s="554"/>
      <c r="H571" s="554"/>
      <c r="I571" s="554"/>
      <c r="J571" s="554"/>
      <c r="K571" s="554"/>
      <c r="L571" s="554"/>
      <c r="M571" s="554"/>
      <c r="N571" s="554"/>
      <c r="O571" s="554"/>
      <c r="P571" s="554"/>
      <c r="Q571" s="554"/>
      <c r="R571" s="554"/>
      <c r="S571" s="554"/>
      <c r="T571" s="554"/>
      <c r="U571" s="554"/>
      <c r="V571" s="554"/>
      <c r="W571" s="554"/>
      <c r="X571" s="554"/>
      <c r="Y571" s="554"/>
      <c r="Z571" s="554"/>
      <c r="AA571" s="554"/>
      <c r="AB571" s="554"/>
      <c r="AC571" s="554"/>
      <c r="AD571" s="554"/>
      <c r="AE571" s="554"/>
      <c r="AF571" s="554"/>
      <c r="AG571" s="554"/>
      <c r="AH571" s="554"/>
      <c r="AI571" s="554"/>
      <c r="AJ571" s="554"/>
      <c r="AK571" s="554"/>
      <c r="AL571" s="554"/>
      <c r="AM571" s="554"/>
      <c r="AN571" s="554"/>
      <c r="AO571" s="554"/>
      <c r="AP571" s="554"/>
      <c r="AQ571" s="554"/>
      <c r="AR571" s="554"/>
      <c r="AS571" s="554"/>
      <c r="AT571" s="554"/>
      <c r="AU571" s="554"/>
      <c r="AV571" s="554"/>
      <c r="AW571" s="554"/>
      <c r="AX571" s="554"/>
      <c r="AY571" s="554"/>
      <c r="AZ571" s="554"/>
      <c r="BA571" s="554"/>
      <c r="BB571" s="554"/>
      <c r="BC571" s="554"/>
      <c r="BD571" s="554"/>
      <c r="BE571" s="554"/>
      <c r="BF571" s="554"/>
      <c r="BG571" s="554"/>
      <c r="BH571" s="554"/>
      <c r="BI571" s="554"/>
      <c r="BJ571" s="554"/>
      <c r="BK571" s="554"/>
      <c r="BL571" s="554"/>
      <c r="BM571" s="554"/>
      <c r="BN571" s="554"/>
      <c r="BO571" s="554"/>
      <c r="BP571" s="554"/>
      <c r="BQ571" s="554"/>
      <c r="BR571" s="555"/>
      <c r="BS571" s="582" t="s">
        <v>4</v>
      </c>
      <c r="BT571" s="582"/>
      <c r="BU571" s="582"/>
      <c r="BV571" s="582"/>
      <c r="BW571" s="582"/>
      <c r="BX571" s="582"/>
      <c r="BY571" s="582"/>
      <c r="BZ571" s="582"/>
      <c r="CA571" s="582"/>
      <c r="CB571" s="582"/>
      <c r="CC571" s="582"/>
      <c r="CD571" s="582"/>
      <c r="CE571" s="582"/>
      <c r="CF571" s="582"/>
      <c r="CG571" s="582"/>
      <c r="CH571" s="582"/>
      <c r="CI571" s="611">
        <f>SUM(CI563:CZ570)</f>
        <v>0</v>
      </c>
      <c r="CJ571" s="611"/>
      <c r="CK571" s="611"/>
      <c r="CL571" s="611"/>
      <c r="CM571" s="611"/>
      <c r="CN571" s="611"/>
      <c r="CO571" s="611"/>
      <c r="CP571" s="611"/>
      <c r="CQ571" s="611"/>
      <c r="CR571" s="611"/>
      <c r="CS571" s="611"/>
      <c r="CT571" s="611"/>
      <c r="CU571" s="611"/>
      <c r="CV571" s="611"/>
      <c r="CW571" s="611"/>
      <c r="CX571" s="611"/>
      <c r="CY571" s="611"/>
      <c r="CZ571" s="611"/>
    </row>
    <row r="572" spans="1:105" ht="22.95" customHeight="1" x14ac:dyDescent="0.25">
      <c r="A572" s="553" t="s">
        <v>37</v>
      </c>
      <c r="B572" s="554"/>
      <c r="C572" s="554"/>
      <c r="D572" s="554"/>
      <c r="E572" s="554"/>
      <c r="F572" s="554"/>
      <c r="G572" s="554"/>
      <c r="H572" s="554"/>
      <c r="I572" s="554"/>
      <c r="J572" s="554"/>
      <c r="K572" s="554"/>
      <c r="L572" s="554"/>
      <c r="M572" s="554"/>
      <c r="N572" s="554"/>
      <c r="O572" s="554"/>
      <c r="P572" s="554"/>
      <c r="Q572" s="554"/>
      <c r="R572" s="554"/>
      <c r="S572" s="554"/>
      <c r="T572" s="554"/>
      <c r="U572" s="554"/>
      <c r="V572" s="554"/>
      <c r="W572" s="554"/>
      <c r="X572" s="554"/>
      <c r="Y572" s="554"/>
      <c r="Z572" s="554"/>
      <c r="AA572" s="554"/>
      <c r="AB572" s="554"/>
      <c r="AC572" s="554"/>
      <c r="AD572" s="554"/>
      <c r="AE572" s="554"/>
      <c r="AF572" s="554"/>
      <c r="AG572" s="554"/>
      <c r="AH572" s="554"/>
      <c r="AI572" s="554"/>
      <c r="AJ572" s="554"/>
      <c r="AK572" s="554"/>
      <c r="AL572" s="554"/>
      <c r="AM572" s="554"/>
      <c r="AN572" s="554"/>
      <c r="AO572" s="554"/>
      <c r="AP572" s="554"/>
      <c r="AQ572" s="554"/>
      <c r="AR572" s="554"/>
      <c r="AS572" s="554"/>
      <c r="AT572" s="554"/>
      <c r="AU572" s="554"/>
      <c r="AV572" s="554"/>
      <c r="AW572" s="554"/>
      <c r="AX572" s="554"/>
      <c r="AY572" s="554"/>
      <c r="AZ572" s="554"/>
      <c r="BA572" s="554"/>
      <c r="BB572" s="554"/>
      <c r="BC572" s="554"/>
      <c r="BD572" s="554"/>
      <c r="BE572" s="554"/>
      <c r="BF572" s="554"/>
      <c r="BG572" s="554"/>
      <c r="BH572" s="554"/>
      <c r="BI572" s="554"/>
      <c r="BJ572" s="554"/>
      <c r="BK572" s="554"/>
      <c r="BL572" s="554"/>
      <c r="BM572" s="554"/>
      <c r="BN572" s="554"/>
      <c r="BO572" s="554"/>
      <c r="BP572" s="554"/>
      <c r="BQ572" s="554"/>
      <c r="BR572" s="555"/>
      <c r="BS572" s="582" t="s">
        <v>4</v>
      </c>
      <c r="BT572" s="582"/>
      <c r="BU572" s="582"/>
      <c r="BV572" s="582"/>
      <c r="BW572" s="582"/>
      <c r="BX572" s="582"/>
      <c r="BY572" s="582"/>
      <c r="BZ572" s="582"/>
      <c r="CA572" s="582"/>
      <c r="CB572" s="582"/>
      <c r="CC572" s="582"/>
      <c r="CD572" s="582"/>
      <c r="CE572" s="582"/>
      <c r="CF572" s="582"/>
      <c r="CG572" s="582"/>
      <c r="CH572" s="582"/>
      <c r="CI572" s="611">
        <f>CI550+CI556+CI561+CI571</f>
        <v>14994267</v>
      </c>
      <c r="CJ572" s="560"/>
      <c r="CK572" s="560"/>
      <c r="CL572" s="560"/>
      <c r="CM572" s="560"/>
      <c r="CN572" s="560"/>
      <c r="CO572" s="560"/>
      <c r="CP572" s="560"/>
      <c r="CQ572" s="560"/>
      <c r="CR572" s="560"/>
      <c r="CS572" s="560"/>
      <c r="CT572" s="560"/>
      <c r="CU572" s="560"/>
      <c r="CV572" s="560"/>
      <c r="CW572" s="560"/>
      <c r="CX572" s="560"/>
      <c r="CY572" s="560"/>
      <c r="CZ572" s="560"/>
      <c r="DA572" s="243"/>
    </row>
    <row r="573" spans="1:105"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c r="BB573" s="222"/>
      <c r="BC573" s="222"/>
      <c r="BD573" s="222"/>
      <c r="BE573" s="222"/>
      <c r="BF573" s="222"/>
      <c r="BG573" s="222"/>
      <c r="BH573" s="222"/>
      <c r="BI573" s="222"/>
      <c r="BJ573" s="222"/>
      <c r="BK573" s="222"/>
      <c r="BL573" s="222"/>
      <c r="BM573" s="222"/>
      <c r="BN573" s="222"/>
      <c r="BO573" s="222"/>
      <c r="BP573" s="222"/>
      <c r="BQ573" s="222"/>
      <c r="BR573" s="222"/>
      <c r="BS573" s="223"/>
      <c r="BT573" s="223"/>
      <c r="BU573" s="223"/>
      <c r="BV573" s="223"/>
      <c r="BW573" s="223"/>
      <c r="BX573" s="223"/>
      <c r="BY573" s="223"/>
      <c r="BZ573" s="223"/>
      <c r="CA573" s="223"/>
      <c r="CB573" s="223"/>
      <c r="CC573" s="223"/>
      <c r="CD573" s="223"/>
      <c r="CE573" s="223"/>
      <c r="CF573" s="223"/>
      <c r="CG573" s="223"/>
      <c r="CH573" s="223"/>
      <c r="CI573" s="229"/>
      <c r="CJ573" s="45"/>
      <c r="CK573" s="45"/>
      <c r="CL573" s="45"/>
      <c r="CM573" s="45"/>
      <c r="CN573" s="45"/>
      <c r="CO573" s="45"/>
      <c r="CP573" s="45"/>
      <c r="CQ573" s="45"/>
      <c r="CR573" s="45"/>
      <c r="CS573" s="45"/>
      <c r="CT573" s="45"/>
      <c r="CU573" s="45"/>
      <c r="CV573" s="45"/>
      <c r="CW573" s="45"/>
      <c r="CX573" s="45"/>
      <c r="CY573" s="45"/>
      <c r="CZ573" s="45"/>
      <c r="DA573" s="243"/>
    </row>
    <row r="574" spans="1:105" x14ac:dyDescent="0.25">
      <c r="A574" s="524" t="s">
        <v>361</v>
      </c>
      <c r="B574" s="524"/>
      <c r="C574" s="524"/>
      <c r="D574" s="524"/>
      <c r="E574" s="524"/>
      <c r="F574" s="524"/>
      <c r="G574" s="524"/>
      <c r="H574" s="524"/>
      <c r="I574" s="524"/>
      <c r="J574" s="524"/>
      <c r="K574" s="524"/>
      <c r="L574" s="524"/>
      <c r="M574" s="524"/>
      <c r="N574" s="524"/>
      <c r="O574" s="524"/>
      <c r="P574" s="524"/>
      <c r="Q574" s="524"/>
      <c r="R574" s="524"/>
      <c r="S574" s="524"/>
      <c r="T574" s="524"/>
      <c r="U574" s="524"/>
      <c r="V574" s="524"/>
      <c r="W574" s="524"/>
      <c r="X574" s="524"/>
      <c r="Y574" s="524"/>
      <c r="Z574" s="524"/>
      <c r="AA574" s="524"/>
      <c r="AB574" s="524"/>
      <c r="AC574" s="524"/>
      <c r="AD574" s="524"/>
      <c r="AE574" s="524"/>
      <c r="AF574" s="524"/>
      <c r="AG574" s="524"/>
      <c r="AH574" s="524"/>
      <c r="AI574" s="524"/>
      <c r="AJ574" s="524"/>
      <c r="AK574" s="524"/>
      <c r="AL574" s="524"/>
      <c r="AM574" s="524"/>
      <c r="AN574" s="524"/>
      <c r="AO574" s="524"/>
      <c r="AP574" s="524"/>
      <c r="AQ574" s="524"/>
      <c r="AR574" s="524"/>
      <c r="AS574" s="524"/>
      <c r="AT574" s="524"/>
      <c r="AU574" s="524"/>
      <c r="AV574" s="524"/>
      <c r="AW574" s="524"/>
      <c r="AX574" s="524"/>
      <c r="AY574" s="524"/>
      <c r="AZ574" s="524"/>
      <c r="BA574" s="524"/>
      <c r="BB574" s="524"/>
      <c r="BC574" s="524"/>
      <c r="BD574" s="524"/>
      <c r="BE574" s="524"/>
      <c r="BF574" s="524"/>
      <c r="BG574" s="524"/>
      <c r="BH574" s="524"/>
      <c r="BI574" s="524"/>
      <c r="BJ574" s="524"/>
      <c r="BK574" s="524"/>
      <c r="BL574" s="524"/>
      <c r="BM574" s="524"/>
      <c r="BN574" s="524"/>
      <c r="BO574" s="524"/>
      <c r="BP574" s="524"/>
      <c r="BQ574" s="524"/>
      <c r="BR574" s="524"/>
      <c r="BS574" s="524"/>
      <c r="BT574" s="524"/>
      <c r="BU574" s="524"/>
      <c r="BV574" s="524"/>
      <c r="BW574" s="524"/>
      <c r="BX574" s="524"/>
      <c r="BY574" s="524"/>
      <c r="BZ574" s="524"/>
      <c r="CA574" s="524"/>
      <c r="CB574" s="524"/>
      <c r="CC574" s="524"/>
      <c r="CD574" s="524"/>
      <c r="CE574" s="524"/>
      <c r="CF574" s="524"/>
      <c r="CG574" s="524"/>
      <c r="CH574" s="524"/>
      <c r="CI574" s="524"/>
      <c r="CJ574" s="524"/>
      <c r="CK574" s="524"/>
      <c r="CL574" s="524"/>
      <c r="CM574" s="524"/>
      <c r="CN574" s="524"/>
      <c r="CO574" s="524"/>
      <c r="CP574" s="524"/>
      <c r="CQ574" s="524"/>
      <c r="CR574" s="524"/>
      <c r="CS574" s="524"/>
      <c r="CT574" s="524"/>
      <c r="CU574" s="524"/>
      <c r="CV574" s="524"/>
      <c r="CW574" s="524"/>
      <c r="CX574" s="524"/>
      <c r="CY574" s="524"/>
      <c r="CZ574" s="524"/>
      <c r="DA574" s="243"/>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43"/>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595" t="s">
        <v>587</v>
      </c>
      <c r="X576" s="595"/>
      <c r="Y576" s="595"/>
      <c r="Z576" s="595"/>
      <c r="AA576" s="595"/>
      <c r="AB576" s="595"/>
      <c r="AC576" s="595"/>
      <c r="AD576" s="595"/>
      <c r="AE576" s="595"/>
      <c r="AF576" s="595"/>
      <c r="AG576" s="595"/>
      <c r="AH576" s="595"/>
      <c r="AI576" s="595"/>
      <c r="AJ576" s="595"/>
      <c r="AK576" s="595"/>
      <c r="AL576" s="595"/>
      <c r="AM576" s="595"/>
      <c r="AN576" s="595"/>
      <c r="AO576" s="595"/>
      <c r="AP576" s="595"/>
      <c r="AQ576" s="595"/>
      <c r="AR576" s="595"/>
      <c r="AS576" s="595"/>
      <c r="AT576" s="595"/>
      <c r="AU576" s="595"/>
      <c r="AV576" s="595"/>
      <c r="AW576" s="595"/>
      <c r="AX576" s="595"/>
      <c r="AY576" s="595"/>
      <c r="AZ576" s="595"/>
      <c r="BA576" s="595"/>
      <c r="BB576" s="595"/>
      <c r="BC576" s="595"/>
      <c r="BD576" s="595"/>
      <c r="BE576" s="595"/>
      <c r="BF576" s="595"/>
      <c r="BG576" s="595"/>
      <c r="BH576" s="595"/>
      <c r="BI576" s="595"/>
      <c r="BJ576" s="595"/>
      <c r="BK576" s="595"/>
      <c r="BL576" s="595"/>
      <c r="BM576" s="595"/>
      <c r="BN576" s="595"/>
      <c r="BO576" s="595"/>
      <c r="BP576" s="595"/>
      <c r="BQ576" s="595"/>
      <c r="BR576" s="595"/>
      <c r="BS576" s="595"/>
      <c r="BT576" s="595"/>
      <c r="BU576" s="595"/>
      <c r="BV576" s="595"/>
      <c r="BW576" s="595"/>
      <c r="BX576" s="595"/>
      <c r="BY576" s="595"/>
      <c r="BZ576" s="595"/>
      <c r="CA576" s="595"/>
      <c r="CB576" s="595"/>
      <c r="CC576" s="595"/>
      <c r="CD576" s="595"/>
      <c r="CE576" s="595"/>
      <c r="CF576" s="595"/>
      <c r="CG576" s="595"/>
      <c r="CH576" s="595"/>
      <c r="CI576" s="595"/>
      <c r="CJ576" s="595"/>
      <c r="CK576" s="595"/>
      <c r="CL576" s="595"/>
      <c r="CM576" s="595"/>
      <c r="CN576" s="595"/>
      <c r="CO576" s="595"/>
      <c r="CP576" s="595"/>
      <c r="CQ576" s="595"/>
      <c r="CR576" s="595"/>
      <c r="CS576" s="595"/>
      <c r="CT576" s="595"/>
      <c r="CU576" s="595"/>
      <c r="CV576" s="595"/>
      <c r="CW576" s="595"/>
      <c r="CX576" s="595"/>
      <c r="CY576" s="595"/>
      <c r="CZ576" s="595"/>
      <c r="DA576" s="243"/>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43"/>
    </row>
    <row r="578" spans="1:105" x14ac:dyDescent="0.25">
      <c r="A578" s="475" t="s">
        <v>49</v>
      </c>
      <c r="B578" s="476"/>
      <c r="C578" s="476"/>
      <c r="D578" s="476"/>
      <c r="E578" s="476"/>
      <c r="F578" s="476"/>
      <c r="G578" s="477"/>
      <c r="H578" s="475" t="s">
        <v>0</v>
      </c>
      <c r="I578" s="476"/>
      <c r="J578" s="476"/>
      <c r="K578" s="476"/>
      <c r="L578" s="476"/>
      <c r="M578" s="476"/>
      <c r="N578" s="476"/>
      <c r="O578" s="476"/>
      <c r="P578" s="476"/>
      <c r="Q578" s="476"/>
      <c r="R578" s="476"/>
      <c r="S578" s="476"/>
      <c r="T578" s="476"/>
      <c r="U578" s="476"/>
      <c r="V578" s="476"/>
      <c r="W578" s="476"/>
      <c r="X578" s="476"/>
      <c r="Y578" s="476"/>
      <c r="Z578" s="476"/>
      <c r="AA578" s="476"/>
      <c r="AB578" s="476"/>
      <c r="AC578" s="476"/>
      <c r="AD578" s="476"/>
      <c r="AE578" s="476"/>
      <c r="AF578" s="476"/>
      <c r="AG578" s="476"/>
      <c r="AH578" s="476"/>
      <c r="AI578" s="476"/>
      <c r="AJ578" s="476"/>
      <c r="AK578" s="476"/>
      <c r="AL578" s="476"/>
      <c r="AM578" s="476"/>
      <c r="AN578" s="476"/>
      <c r="AO578" s="476"/>
      <c r="AP578" s="476"/>
      <c r="AQ578" s="476"/>
      <c r="AR578" s="476"/>
      <c r="AS578" s="476"/>
      <c r="AT578" s="476"/>
      <c r="AU578" s="476"/>
      <c r="AV578" s="476"/>
      <c r="AW578" s="476"/>
      <c r="AX578" s="476"/>
      <c r="AY578" s="476"/>
      <c r="AZ578" s="476"/>
      <c r="BA578" s="476"/>
      <c r="BB578" s="477"/>
      <c r="BC578" s="597" t="s">
        <v>91</v>
      </c>
      <c r="BD578" s="598"/>
      <c r="BE578" s="598"/>
      <c r="BF578" s="598"/>
      <c r="BG578" s="598"/>
      <c r="BH578" s="598"/>
      <c r="BI578" s="598"/>
      <c r="BJ578" s="598"/>
      <c r="BK578" s="598"/>
      <c r="BL578" s="598"/>
      <c r="BM578" s="598"/>
      <c r="BN578" s="598"/>
      <c r="BO578" s="598"/>
      <c r="BP578" s="598"/>
      <c r="BQ578" s="598"/>
      <c r="BR578" s="599"/>
      <c r="BS578" s="597" t="s">
        <v>96</v>
      </c>
      <c r="BT578" s="598"/>
      <c r="BU578" s="598"/>
      <c r="BV578" s="598"/>
      <c r="BW578" s="598"/>
      <c r="BX578" s="598"/>
      <c r="BY578" s="598"/>
      <c r="BZ578" s="598"/>
      <c r="CA578" s="598"/>
      <c r="CB578" s="598"/>
      <c r="CC578" s="598"/>
      <c r="CD578" s="598"/>
      <c r="CE578" s="598"/>
      <c r="CF578" s="598"/>
      <c r="CG578" s="598"/>
      <c r="CH578" s="599"/>
      <c r="CI578" s="597" t="s">
        <v>97</v>
      </c>
      <c r="CJ578" s="598"/>
      <c r="CK578" s="598"/>
      <c r="CL578" s="598"/>
      <c r="CM578" s="598"/>
      <c r="CN578" s="598"/>
      <c r="CO578" s="598"/>
      <c r="CP578" s="598"/>
      <c r="CQ578" s="598"/>
      <c r="CR578" s="598"/>
      <c r="CS578" s="598"/>
      <c r="CT578" s="598"/>
      <c r="CU578" s="598"/>
      <c r="CV578" s="598"/>
      <c r="CW578" s="598"/>
      <c r="CX578" s="598"/>
      <c r="CY578" s="598"/>
      <c r="CZ578" s="599"/>
      <c r="DA578" s="243"/>
    </row>
    <row r="579" spans="1:105" x14ac:dyDescent="0.25">
      <c r="A579" s="591">
        <v>1</v>
      </c>
      <c r="B579" s="591"/>
      <c r="C579" s="591"/>
      <c r="D579" s="591"/>
      <c r="E579" s="591"/>
      <c r="F579" s="591"/>
      <c r="G579" s="591"/>
      <c r="H579" s="591">
        <v>2</v>
      </c>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v>3</v>
      </c>
      <c r="BD579" s="591"/>
      <c r="BE579" s="591"/>
      <c r="BF579" s="591"/>
      <c r="BG579" s="591"/>
      <c r="BH579" s="591"/>
      <c r="BI579" s="591"/>
      <c r="BJ579" s="591"/>
      <c r="BK579" s="591"/>
      <c r="BL579" s="591"/>
      <c r="BM579" s="591"/>
      <c r="BN579" s="591"/>
      <c r="BO579" s="591"/>
      <c r="BP579" s="591"/>
      <c r="BQ579" s="591"/>
      <c r="BR579" s="591"/>
      <c r="BS579" s="591">
        <v>4</v>
      </c>
      <c r="BT579" s="591"/>
      <c r="BU579" s="591"/>
      <c r="BV579" s="591"/>
      <c r="BW579" s="591"/>
      <c r="BX579" s="591"/>
      <c r="BY579" s="591"/>
      <c r="BZ579" s="591"/>
      <c r="CA579" s="591"/>
      <c r="CB579" s="591"/>
      <c r="CC579" s="591"/>
      <c r="CD579" s="591"/>
      <c r="CE579" s="591"/>
      <c r="CF579" s="591"/>
      <c r="CG579" s="591"/>
      <c r="CH579" s="591"/>
      <c r="CI579" s="591">
        <v>5</v>
      </c>
      <c r="CJ579" s="591"/>
      <c r="CK579" s="591"/>
      <c r="CL579" s="591"/>
      <c r="CM579" s="591"/>
      <c r="CN579" s="591"/>
      <c r="CO579" s="591"/>
      <c r="CP579" s="591"/>
      <c r="CQ579" s="591"/>
      <c r="CR579" s="591"/>
      <c r="CS579" s="591"/>
      <c r="CT579" s="591"/>
      <c r="CU579" s="591"/>
      <c r="CV579" s="591"/>
      <c r="CW579" s="591"/>
      <c r="CX579" s="591"/>
      <c r="CY579" s="591"/>
      <c r="CZ579" s="591"/>
      <c r="DA579" s="243"/>
    </row>
    <row r="580" spans="1:105" x14ac:dyDescent="0.25">
      <c r="A580" s="648" t="s">
        <v>584</v>
      </c>
      <c r="B580" s="649"/>
      <c r="C580" s="649"/>
      <c r="D580" s="649"/>
      <c r="E580" s="649"/>
      <c r="F580" s="649"/>
      <c r="G580" s="649"/>
      <c r="H580" s="649"/>
      <c r="I580" s="649"/>
      <c r="J580" s="649"/>
      <c r="K580" s="649"/>
      <c r="L580" s="649"/>
      <c r="M580" s="649"/>
      <c r="N580" s="649"/>
      <c r="O580" s="649"/>
      <c r="P580" s="649"/>
      <c r="Q580" s="649"/>
      <c r="R580" s="649"/>
      <c r="S580" s="649"/>
      <c r="T580" s="649"/>
      <c r="U580" s="649"/>
      <c r="V580" s="649"/>
      <c r="W580" s="649"/>
      <c r="X580" s="649"/>
      <c r="Y580" s="649"/>
      <c r="Z580" s="649"/>
      <c r="AA580" s="649"/>
      <c r="AB580" s="649"/>
      <c r="AC580" s="649"/>
      <c r="AD580" s="649"/>
      <c r="AE580" s="649"/>
      <c r="AF580" s="649"/>
      <c r="AG580" s="649"/>
      <c r="AH580" s="649"/>
      <c r="AI580" s="649"/>
      <c r="AJ580" s="649"/>
      <c r="AK580" s="649"/>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649"/>
      <c r="BG580" s="649"/>
      <c r="BH580" s="649"/>
      <c r="BI580" s="649"/>
      <c r="BJ580" s="649"/>
      <c r="BK580" s="649"/>
      <c r="BL580" s="649"/>
      <c r="BM580" s="649"/>
      <c r="BN580" s="649"/>
      <c r="BO580" s="649"/>
      <c r="BP580" s="649"/>
      <c r="BQ580" s="649"/>
      <c r="BR580" s="649"/>
      <c r="BS580" s="649"/>
      <c r="BT580" s="649"/>
      <c r="BU580" s="649"/>
      <c r="BV580" s="649"/>
      <c r="BW580" s="649"/>
      <c r="BX580" s="649"/>
      <c r="BY580" s="649"/>
      <c r="BZ580" s="649"/>
      <c r="CA580" s="649"/>
      <c r="CB580" s="649"/>
      <c r="CC580" s="649"/>
      <c r="CD580" s="649"/>
      <c r="CE580" s="649"/>
      <c r="CF580" s="649"/>
      <c r="CG580" s="649"/>
      <c r="CH580" s="649"/>
      <c r="CI580" s="649"/>
      <c r="CJ580" s="649"/>
      <c r="CK580" s="649"/>
      <c r="CL580" s="649"/>
      <c r="CM580" s="649"/>
      <c r="CN580" s="649"/>
      <c r="CO580" s="649"/>
      <c r="CP580" s="649"/>
      <c r="CQ580" s="649"/>
      <c r="CR580" s="649"/>
      <c r="CS580" s="649"/>
      <c r="CT580" s="649"/>
      <c r="CU580" s="649"/>
      <c r="CV580" s="649"/>
      <c r="CW580" s="649"/>
      <c r="CX580" s="649"/>
      <c r="CY580" s="649"/>
      <c r="CZ580" s="649"/>
      <c r="DA580" s="243"/>
    </row>
    <row r="581" spans="1:105" hidden="1" x14ac:dyDescent="0.25">
      <c r="A581" s="630" t="s">
        <v>441</v>
      </c>
      <c r="B581" s="631"/>
      <c r="C581" s="631"/>
      <c r="D581" s="631"/>
      <c r="E581" s="631"/>
      <c r="F581" s="631"/>
      <c r="G581" s="632"/>
      <c r="H581" s="584" t="s">
        <v>968</v>
      </c>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c r="AV581" s="585"/>
      <c r="AW581" s="585"/>
      <c r="AX581" s="585"/>
      <c r="AY581" s="585"/>
      <c r="AZ581" s="585"/>
      <c r="BA581" s="585"/>
      <c r="BB581" s="586"/>
      <c r="BC581" s="544">
        <v>1</v>
      </c>
      <c r="BD581" s="545"/>
      <c r="BE581" s="545"/>
      <c r="BF581" s="545"/>
      <c r="BG581" s="545"/>
      <c r="BH581" s="545"/>
      <c r="BI581" s="545"/>
      <c r="BJ581" s="545"/>
      <c r="BK581" s="545"/>
      <c r="BL581" s="545"/>
      <c r="BM581" s="545"/>
      <c r="BN581" s="545"/>
      <c r="BO581" s="545"/>
      <c r="BP581" s="545"/>
      <c r="BQ581" s="545"/>
      <c r="BR581" s="546"/>
      <c r="BS581" s="627"/>
      <c r="BT581" s="628"/>
      <c r="BU581" s="628"/>
      <c r="BV581" s="628"/>
      <c r="BW581" s="628"/>
      <c r="BX581" s="628"/>
      <c r="BY581" s="628"/>
      <c r="BZ581" s="628"/>
      <c r="CA581" s="628"/>
      <c r="CB581" s="628"/>
      <c r="CC581" s="628"/>
      <c r="CD581" s="628"/>
      <c r="CE581" s="628"/>
      <c r="CF581" s="628"/>
      <c r="CG581" s="628"/>
      <c r="CH581" s="629"/>
      <c r="CI581" s="627">
        <f>BC581*BS581</f>
        <v>0</v>
      </c>
      <c r="CJ581" s="628"/>
      <c r="CK581" s="628"/>
      <c r="CL581" s="628"/>
      <c r="CM581" s="628"/>
      <c r="CN581" s="628"/>
      <c r="CO581" s="628"/>
      <c r="CP581" s="628"/>
      <c r="CQ581" s="628"/>
      <c r="CR581" s="628"/>
      <c r="CS581" s="628"/>
      <c r="CT581" s="628"/>
      <c r="CU581" s="628"/>
      <c r="CV581" s="628"/>
      <c r="CW581" s="628"/>
      <c r="CX581" s="628"/>
      <c r="CY581" s="628"/>
      <c r="CZ581" s="629"/>
      <c r="DA581" s="243"/>
    </row>
    <row r="582" spans="1:105" hidden="1" x14ac:dyDescent="0.25">
      <c r="A582" s="630" t="s">
        <v>444</v>
      </c>
      <c r="B582" s="631"/>
      <c r="C582" s="631"/>
      <c r="D582" s="631"/>
      <c r="E582" s="631"/>
      <c r="F582" s="631"/>
      <c r="G582" s="632"/>
      <c r="H582" s="584" t="s">
        <v>969</v>
      </c>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5"/>
      <c r="AL582" s="585"/>
      <c r="AM582" s="585"/>
      <c r="AN582" s="585"/>
      <c r="AO582" s="585"/>
      <c r="AP582" s="585"/>
      <c r="AQ582" s="585"/>
      <c r="AR582" s="585"/>
      <c r="AS582" s="585"/>
      <c r="AT582" s="585"/>
      <c r="AU582" s="585"/>
      <c r="AV582" s="585"/>
      <c r="AW582" s="585"/>
      <c r="AX582" s="585"/>
      <c r="AY582" s="585"/>
      <c r="AZ582" s="585"/>
      <c r="BA582" s="585"/>
      <c r="BB582" s="586"/>
      <c r="BC582" s="544">
        <v>1</v>
      </c>
      <c r="BD582" s="545"/>
      <c r="BE582" s="545"/>
      <c r="BF582" s="545"/>
      <c r="BG582" s="545"/>
      <c r="BH582" s="545"/>
      <c r="BI582" s="545"/>
      <c r="BJ582" s="545"/>
      <c r="BK582" s="545"/>
      <c r="BL582" s="545"/>
      <c r="BM582" s="545"/>
      <c r="BN582" s="545"/>
      <c r="BO582" s="545"/>
      <c r="BP582" s="545"/>
      <c r="BQ582" s="545"/>
      <c r="BR582" s="546"/>
      <c r="BS582" s="627"/>
      <c r="BT582" s="628"/>
      <c r="BU582" s="628"/>
      <c r="BV582" s="628"/>
      <c r="BW582" s="628"/>
      <c r="BX582" s="628"/>
      <c r="BY582" s="628"/>
      <c r="BZ582" s="628"/>
      <c r="CA582" s="628"/>
      <c r="CB582" s="628"/>
      <c r="CC582" s="628"/>
      <c r="CD582" s="628"/>
      <c r="CE582" s="628"/>
      <c r="CF582" s="628"/>
      <c r="CG582" s="628"/>
      <c r="CH582" s="629"/>
      <c r="CI582" s="627">
        <f t="shared" ref="CI582:CI591" si="8">BC582*BS582</f>
        <v>0</v>
      </c>
      <c r="CJ582" s="628"/>
      <c r="CK582" s="628"/>
      <c r="CL582" s="628"/>
      <c r="CM582" s="628"/>
      <c r="CN582" s="628"/>
      <c r="CO582" s="628"/>
      <c r="CP582" s="628"/>
      <c r="CQ582" s="628"/>
      <c r="CR582" s="628"/>
      <c r="CS582" s="628"/>
      <c r="CT582" s="628"/>
      <c r="CU582" s="628"/>
      <c r="CV582" s="628"/>
      <c r="CW582" s="628"/>
      <c r="CX582" s="628"/>
      <c r="CY582" s="628"/>
      <c r="CZ582" s="629"/>
      <c r="DA582" s="243"/>
    </row>
    <row r="583" spans="1:105" hidden="1" x14ac:dyDescent="0.25">
      <c r="A583" s="630" t="s">
        <v>446</v>
      </c>
      <c r="B583" s="631"/>
      <c r="C583" s="631"/>
      <c r="D583" s="631"/>
      <c r="E583" s="631"/>
      <c r="F583" s="631"/>
      <c r="G583" s="632"/>
      <c r="H583" s="584" t="s">
        <v>970</v>
      </c>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5"/>
      <c r="AL583" s="585"/>
      <c r="AM583" s="585"/>
      <c r="AN583" s="585"/>
      <c r="AO583" s="585"/>
      <c r="AP583" s="585"/>
      <c r="AQ583" s="585"/>
      <c r="AR583" s="585"/>
      <c r="AS583" s="585"/>
      <c r="AT583" s="585"/>
      <c r="AU583" s="585"/>
      <c r="AV583" s="585"/>
      <c r="AW583" s="585"/>
      <c r="AX583" s="585"/>
      <c r="AY583" s="585"/>
      <c r="AZ583" s="585"/>
      <c r="BA583" s="585"/>
      <c r="BB583" s="586"/>
      <c r="BC583" s="544">
        <v>1</v>
      </c>
      <c r="BD583" s="545"/>
      <c r="BE583" s="545"/>
      <c r="BF583" s="545"/>
      <c r="BG583" s="545"/>
      <c r="BH583" s="545"/>
      <c r="BI583" s="545"/>
      <c r="BJ583" s="545"/>
      <c r="BK583" s="545"/>
      <c r="BL583" s="545"/>
      <c r="BM583" s="545"/>
      <c r="BN583" s="545"/>
      <c r="BO583" s="545"/>
      <c r="BP583" s="545"/>
      <c r="BQ583" s="545"/>
      <c r="BR583" s="546"/>
      <c r="BS583" s="627"/>
      <c r="BT583" s="628"/>
      <c r="BU583" s="628"/>
      <c r="BV583" s="628"/>
      <c r="BW583" s="628"/>
      <c r="BX583" s="628"/>
      <c r="BY583" s="628"/>
      <c r="BZ583" s="628"/>
      <c r="CA583" s="628"/>
      <c r="CB583" s="628"/>
      <c r="CC583" s="628"/>
      <c r="CD583" s="628"/>
      <c r="CE583" s="628"/>
      <c r="CF583" s="628"/>
      <c r="CG583" s="628"/>
      <c r="CH583" s="629"/>
      <c r="CI583" s="627">
        <f t="shared" si="8"/>
        <v>0</v>
      </c>
      <c r="CJ583" s="628"/>
      <c r="CK583" s="628"/>
      <c r="CL583" s="628"/>
      <c r="CM583" s="628"/>
      <c r="CN583" s="628"/>
      <c r="CO583" s="628"/>
      <c r="CP583" s="628"/>
      <c r="CQ583" s="628"/>
      <c r="CR583" s="628"/>
      <c r="CS583" s="628"/>
      <c r="CT583" s="628"/>
      <c r="CU583" s="628"/>
      <c r="CV583" s="628"/>
      <c r="CW583" s="628"/>
      <c r="CX583" s="628"/>
      <c r="CY583" s="628"/>
      <c r="CZ583" s="629"/>
      <c r="DA583" s="243"/>
    </row>
    <row r="584" spans="1:105" hidden="1" x14ac:dyDescent="0.25">
      <c r="A584" s="630" t="s">
        <v>551</v>
      </c>
      <c r="B584" s="631"/>
      <c r="C584" s="631"/>
      <c r="D584" s="631"/>
      <c r="E584" s="631"/>
      <c r="F584" s="631"/>
      <c r="G584" s="632"/>
      <c r="H584" s="584" t="s">
        <v>971</v>
      </c>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5"/>
      <c r="AL584" s="585"/>
      <c r="AM584" s="585"/>
      <c r="AN584" s="585"/>
      <c r="AO584" s="585"/>
      <c r="AP584" s="585"/>
      <c r="AQ584" s="585"/>
      <c r="AR584" s="585"/>
      <c r="AS584" s="585"/>
      <c r="AT584" s="585"/>
      <c r="AU584" s="585"/>
      <c r="AV584" s="585"/>
      <c r="AW584" s="585"/>
      <c r="AX584" s="585"/>
      <c r="AY584" s="585"/>
      <c r="AZ584" s="585"/>
      <c r="BA584" s="585"/>
      <c r="BB584" s="586"/>
      <c r="BC584" s="544">
        <v>1</v>
      </c>
      <c r="BD584" s="545"/>
      <c r="BE584" s="545"/>
      <c r="BF584" s="545"/>
      <c r="BG584" s="545"/>
      <c r="BH584" s="545"/>
      <c r="BI584" s="545"/>
      <c r="BJ584" s="545"/>
      <c r="BK584" s="545"/>
      <c r="BL584" s="545"/>
      <c r="BM584" s="545"/>
      <c r="BN584" s="545"/>
      <c r="BO584" s="545"/>
      <c r="BP584" s="545"/>
      <c r="BQ584" s="545"/>
      <c r="BR584" s="546"/>
      <c r="BS584" s="627"/>
      <c r="BT584" s="628"/>
      <c r="BU584" s="628"/>
      <c r="BV584" s="628"/>
      <c r="BW584" s="628"/>
      <c r="BX584" s="628"/>
      <c r="BY584" s="628"/>
      <c r="BZ584" s="628"/>
      <c r="CA584" s="628"/>
      <c r="CB584" s="628"/>
      <c r="CC584" s="628"/>
      <c r="CD584" s="628"/>
      <c r="CE584" s="628"/>
      <c r="CF584" s="628"/>
      <c r="CG584" s="628"/>
      <c r="CH584" s="629"/>
      <c r="CI584" s="627">
        <f t="shared" si="8"/>
        <v>0</v>
      </c>
      <c r="CJ584" s="628"/>
      <c r="CK584" s="628"/>
      <c r="CL584" s="628"/>
      <c r="CM584" s="628"/>
      <c r="CN584" s="628"/>
      <c r="CO584" s="628"/>
      <c r="CP584" s="628"/>
      <c r="CQ584" s="628"/>
      <c r="CR584" s="628"/>
      <c r="CS584" s="628"/>
      <c r="CT584" s="628"/>
      <c r="CU584" s="628"/>
      <c r="CV584" s="628"/>
      <c r="CW584" s="628"/>
      <c r="CX584" s="628"/>
      <c r="CY584" s="628"/>
      <c r="CZ584" s="629"/>
      <c r="DA584" s="243"/>
    </row>
    <row r="585" spans="1:105" hidden="1" x14ac:dyDescent="0.25">
      <c r="A585" s="630" t="s">
        <v>599</v>
      </c>
      <c r="B585" s="631"/>
      <c r="C585" s="631"/>
      <c r="D585" s="631"/>
      <c r="E585" s="631"/>
      <c r="F585" s="631"/>
      <c r="G585" s="632"/>
      <c r="H585" s="584" t="s">
        <v>931</v>
      </c>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5"/>
      <c r="AL585" s="585"/>
      <c r="AM585" s="585"/>
      <c r="AN585" s="585"/>
      <c r="AO585" s="585"/>
      <c r="AP585" s="585"/>
      <c r="AQ585" s="585"/>
      <c r="AR585" s="585"/>
      <c r="AS585" s="585"/>
      <c r="AT585" s="585"/>
      <c r="AU585" s="585"/>
      <c r="AV585" s="585"/>
      <c r="AW585" s="585"/>
      <c r="AX585" s="585"/>
      <c r="AY585" s="585"/>
      <c r="AZ585" s="585"/>
      <c r="BA585" s="585"/>
      <c r="BB585" s="586"/>
      <c r="BC585" s="544">
        <v>4</v>
      </c>
      <c r="BD585" s="545"/>
      <c r="BE585" s="545"/>
      <c r="BF585" s="545"/>
      <c r="BG585" s="545"/>
      <c r="BH585" s="545"/>
      <c r="BI585" s="545"/>
      <c r="BJ585" s="545"/>
      <c r="BK585" s="545"/>
      <c r="BL585" s="545"/>
      <c r="BM585" s="545"/>
      <c r="BN585" s="545"/>
      <c r="BO585" s="545"/>
      <c r="BP585" s="545"/>
      <c r="BQ585" s="545"/>
      <c r="BR585" s="546"/>
      <c r="BS585" s="627"/>
      <c r="BT585" s="628"/>
      <c r="BU585" s="628"/>
      <c r="BV585" s="628"/>
      <c r="BW585" s="628"/>
      <c r="BX585" s="628"/>
      <c r="BY585" s="628"/>
      <c r="BZ585" s="628"/>
      <c r="CA585" s="628"/>
      <c r="CB585" s="628"/>
      <c r="CC585" s="628"/>
      <c r="CD585" s="628"/>
      <c r="CE585" s="628"/>
      <c r="CF585" s="628"/>
      <c r="CG585" s="628"/>
      <c r="CH585" s="629"/>
      <c r="CI585" s="627">
        <f t="shared" si="8"/>
        <v>0</v>
      </c>
      <c r="CJ585" s="628"/>
      <c r="CK585" s="628"/>
      <c r="CL585" s="628"/>
      <c r="CM585" s="628"/>
      <c r="CN585" s="628"/>
      <c r="CO585" s="628"/>
      <c r="CP585" s="628"/>
      <c r="CQ585" s="628"/>
      <c r="CR585" s="628"/>
      <c r="CS585" s="628"/>
      <c r="CT585" s="628"/>
      <c r="CU585" s="628"/>
      <c r="CV585" s="628"/>
      <c r="CW585" s="628"/>
      <c r="CX585" s="628"/>
      <c r="CY585" s="628"/>
      <c r="CZ585" s="629"/>
      <c r="DA585" s="243"/>
    </row>
    <row r="586" spans="1:105" hidden="1" x14ac:dyDescent="0.25">
      <c r="A586" s="630" t="s">
        <v>642</v>
      </c>
      <c r="B586" s="631"/>
      <c r="C586" s="631"/>
      <c r="D586" s="631"/>
      <c r="E586" s="631"/>
      <c r="F586" s="631"/>
      <c r="G586" s="632"/>
      <c r="H586" s="584"/>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5"/>
      <c r="AL586" s="585"/>
      <c r="AM586" s="585"/>
      <c r="AN586" s="585"/>
      <c r="AO586" s="585"/>
      <c r="AP586" s="585"/>
      <c r="AQ586" s="585"/>
      <c r="AR586" s="585"/>
      <c r="AS586" s="585"/>
      <c r="AT586" s="585"/>
      <c r="AU586" s="585"/>
      <c r="AV586" s="585"/>
      <c r="AW586" s="585"/>
      <c r="AX586" s="585"/>
      <c r="AY586" s="585"/>
      <c r="AZ586" s="585"/>
      <c r="BA586" s="585"/>
      <c r="BB586" s="586"/>
      <c r="BC586" s="544"/>
      <c r="BD586" s="545"/>
      <c r="BE586" s="545"/>
      <c r="BF586" s="545"/>
      <c r="BG586" s="545"/>
      <c r="BH586" s="545"/>
      <c r="BI586" s="545"/>
      <c r="BJ586" s="545"/>
      <c r="BK586" s="545"/>
      <c r="BL586" s="545"/>
      <c r="BM586" s="545"/>
      <c r="BN586" s="545"/>
      <c r="BO586" s="545"/>
      <c r="BP586" s="545"/>
      <c r="BQ586" s="545"/>
      <c r="BR586" s="546"/>
      <c r="BS586" s="627"/>
      <c r="BT586" s="628"/>
      <c r="BU586" s="628"/>
      <c r="BV586" s="628"/>
      <c r="BW586" s="628"/>
      <c r="BX586" s="628"/>
      <c r="BY586" s="628"/>
      <c r="BZ586" s="628"/>
      <c r="CA586" s="628"/>
      <c r="CB586" s="628"/>
      <c r="CC586" s="628"/>
      <c r="CD586" s="628"/>
      <c r="CE586" s="628"/>
      <c r="CF586" s="628"/>
      <c r="CG586" s="628"/>
      <c r="CH586" s="629"/>
      <c r="CI586" s="627"/>
      <c r="CJ586" s="628"/>
      <c r="CK586" s="628"/>
      <c r="CL586" s="628"/>
      <c r="CM586" s="628"/>
      <c r="CN586" s="628"/>
      <c r="CO586" s="628"/>
      <c r="CP586" s="628"/>
      <c r="CQ586" s="628"/>
      <c r="CR586" s="628"/>
      <c r="CS586" s="628"/>
      <c r="CT586" s="628"/>
      <c r="CU586" s="628"/>
      <c r="CV586" s="628"/>
      <c r="CW586" s="628"/>
      <c r="CX586" s="628"/>
      <c r="CY586" s="628"/>
      <c r="CZ586" s="629"/>
      <c r="DA586" s="243"/>
    </row>
    <row r="587" spans="1:105" hidden="1" x14ac:dyDescent="0.25">
      <c r="A587" s="630" t="s">
        <v>648</v>
      </c>
      <c r="B587" s="631"/>
      <c r="C587" s="631"/>
      <c r="D587" s="631"/>
      <c r="E587" s="631"/>
      <c r="F587" s="631"/>
      <c r="G587" s="632"/>
      <c r="H587" s="584"/>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5"/>
      <c r="AL587" s="585"/>
      <c r="AM587" s="585"/>
      <c r="AN587" s="585"/>
      <c r="AO587" s="585"/>
      <c r="AP587" s="585"/>
      <c r="AQ587" s="585"/>
      <c r="AR587" s="585"/>
      <c r="AS587" s="585"/>
      <c r="AT587" s="585"/>
      <c r="AU587" s="585"/>
      <c r="AV587" s="585"/>
      <c r="AW587" s="585"/>
      <c r="AX587" s="585"/>
      <c r="AY587" s="585"/>
      <c r="AZ587" s="585"/>
      <c r="BA587" s="585"/>
      <c r="BB587" s="586"/>
      <c r="BC587" s="544"/>
      <c r="BD587" s="545"/>
      <c r="BE587" s="545"/>
      <c r="BF587" s="545"/>
      <c r="BG587" s="545"/>
      <c r="BH587" s="545"/>
      <c r="BI587" s="545"/>
      <c r="BJ587" s="545"/>
      <c r="BK587" s="545"/>
      <c r="BL587" s="545"/>
      <c r="BM587" s="545"/>
      <c r="BN587" s="545"/>
      <c r="BO587" s="545"/>
      <c r="BP587" s="545"/>
      <c r="BQ587" s="545"/>
      <c r="BR587" s="546"/>
      <c r="BS587" s="627"/>
      <c r="BT587" s="628"/>
      <c r="BU587" s="628"/>
      <c r="BV587" s="628"/>
      <c r="BW587" s="628"/>
      <c r="BX587" s="628"/>
      <c r="BY587" s="628"/>
      <c r="BZ587" s="628"/>
      <c r="CA587" s="628"/>
      <c r="CB587" s="628"/>
      <c r="CC587" s="628"/>
      <c r="CD587" s="628"/>
      <c r="CE587" s="628"/>
      <c r="CF587" s="628"/>
      <c r="CG587" s="628"/>
      <c r="CH587" s="629"/>
      <c r="CI587" s="627">
        <f t="shared" si="8"/>
        <v>0</v>
      </c>
      <c r="CJ587" s="628"/>
      <c r="CK587" s="628"/>
      <c r="CL587" s="628"/>
      <c r="CM587" s="628"/>
      <c r="CN587" s="628"/>
      <c r="CO587" s="628"/>
      <c r="CP587" s="628"/>
      <c r="CQ587" s="628"/>
      <c r="CR587" s="628"/>
      <c r="CS587" s="628"/>
      <c r="CT587" s="628"/>
      <c r="CU587" s="628"/>
      <c r="CV587" s="628"/>
      <c r="CW587" s="628"/>
      <c r="CX587" s="628"/>
      <c r="CY587" s="628"/>
      <c r="CZ587" s="629"/>
      <c r="DA587" s="243"/>
    </row>
    <row r="588" spans="1:105" ht="23.25" hidden="1" customHeight="1" x14ac:dyDescent="0.25">
      <c r="A588" s="630" t="s">
        <v>650</v>
      </c>
      <c r="B588" s="631"/>
      <c r="C588" s="631"/>
      <c r="D588" s="631"/>
      <c r="E588" s="631"/>
      <c r="F588" s="631"/>
      <c r="G588" s="632"/>
      <c r="H588" s="584"/>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5"/>
      <c r="AL588" s="585"/>
      <c r="AM588" s="585"/>
      <c r="AN588" s="585"/>
      <c r="AO588" s="585"/>
      <c r="AP588" s="585"/>
      <c r="AQ588" s="585"/>
      <c r="AR588" s="585"/>
      <c r="AS588" s="585"/>
      <c r="AT588" s="585"/>
      <c r="AU588" s="585"/>
      <c r="AV588" s="585"/>
      <c r="AW588" s="585"/>
      <c r="AX588" s="585"/>
      <c r="AY588" s="585"/>
      <c r="AZ588" s="585"/>
      <c r="BA588" s="585"/>
      <c r="BB588" s="586"/>
      <c r="BC588" s="544"/>
      <c r="BD588" s="545"/>
      <c r="BE588" s="545"/>
      <c r="BF588" s="545"/>
      <c r="BG588" s="545"/>
      <c r="BH588" s="545"/>
      <c r="BI588" s="545"/>
      <c r="BJ588" s="545"/>
      <c r="BK588" s="545"/>
      <c r="BL588" s="545"/>
      <c r="BM588" s="545"/>
      <c r="BN588" s="545"/>
      <c r="BO588" s="545"/>
      <c r="BP588" s="545"/>
      <c r="BQ588" s="545"/>
      <c r="BR588" s="546"/>
      <c r="BS588" s="627"/>
      <c r="BT588" s="628"/>
      <c r="BU588" s="628"/>
      <c r="BV588" s="628"/>
      <c r="BW588" s="628"/>
      <c r="BX588" s="628"/>
      <c r="BY588" s="628"/>
      <c r="BZ588" s="628"/>
      <c r="CA588" s="628"/>
      <c r="CB588" s="628"/>
      <c r="CC588" s="628"/>
      <c r="CD588" s="628"/>
      <c r="CE588" s="628"/>
      <c r="CF588" s="628"/>
      <c r="CG588" s="628"/>
      <c r="CH588" s="629"/>
      <c r="CI588" s="627">
        <f t="shared" si="8"/>
        <v>0</v>
      </c>
      <c r="CJ588" s="628"/>
      <c r="CK588" s="628"/>
      <c r="CL588" s="628"/>
      <c r="CM588" s="628"/>
      <c r="CN588" s="628"/>
      <c r="CO588" s="628"/>
      <c r="CP588" s="628"/>
      <c r="CQ588" s="628"/>
      <c r="CR588" s="628"/>
      <c r="CS588" s="628"/>
      <c r="CT588" s="628"/>
      <c r="CU588" s="628"/>
      <c r="CV588" s="628"/>
      <c r="CW588" s="628"/>
      <c r="CX588" s="628"/>
      <c r="CY588" s="628"/>
      <c r="CZ588" s="629"/>
      <c r="DA588" s="243"/>
    </row>
    <row r="589" spans="1:105" ht="23.25" hidden="1" customHeight="1" x14ac:dyDescent="0.25">
      <c r="A589" s="630" t="s">
        <v>651</v>
      </c>
      <c r="B589" s="631"/>
      <c r="C589" s="631"/>
      <c r="D589" s="631"/>
      <c r="E589" s="631"/>
      <c r="F589" s="631"/>
      <c r="G589" s="632"/>
      <c r="H589" s="584"/>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5"/>
      <c r="AL589" s="585"/>
      <c r="AM589" s="585"/>
      <c r="AN589" s="585"/>
      <c r="AO589" s="585"/>
      <c r="AP589" s="585"/>
      <c r="AQ589" s="585"/>
      <c r="AR589" s="585"/>
      <c r="AS589" s="585"/>
      <c r="AT589" s="585"/>
      <c r="AU589" s="585"/>
      <c r="AV589" s="585"/>
      <c r="AW589" s="585"/>
      <c r="AX589" s="585"/>
      <c r="AY589" s="585"/>
      <c r="AZ589" s="585"/>
      <c r="BA589" s="585"/>
      <c r="BB589" s="586"/>
      <c r="BC589" s="544"/>
      <c r="BD589" s="545"/>
      <c r="BE589" s="545"/>
      <c r="BF589" s="545"/>
      <c r="BG589" s="545"/>
      <c r="BH589" s="545"/>
      <c r="BI589" s="545"/>
      <c r="BJ589" s="545"/>
      <c r="BK589" s="545"/>
      <c r="BL589" s="545"/>
      <c r="BM589" s="545"/>
      <c r="BN589" s="545"/>
      <c r="BO589" s="545"/>
      <c r="BP589" s="545"/>
      <c r="BQ589" s="545"/>
      <c r="BR589" s="546"/>
      <c r="BS589" s="627"/>
      <c r="BT589" s="628"/>
      <c r="BU589" s="628"/>
      <c r="BV589" s="628"/>
      <c r="BW589" s="628"/>
      <c r="BX589" s="628"/>
      <c r="BY589" s="628"/>
      <c r="BZ589" s="628"/>
      <c r="CA589" s="628"/>
      <c r="CB589" s="628"/>
      <c r="CC589" s="628"/>
      <c r="CD589" s="628"/>
      <c r="CE589" s="628"/>
      <c r="CF589" s="628"/>
      <c r="CG589" s="628"/>
      <c r="CH589" s="629"/>
      <c r="CI589" s="627">
        <f t="shared" si="8"/>
        <v>0</v>
      </c>
      <c r="CJ589" s="628"/>
      <c r="CK589" s="628"/>
      <c r="CL589" s="628"/>
      <c r="CM589" s="628"/>
      <c r="CN589" s="628"/>
      <c r="CO589" s="628"/>
      <c r="CP589" s="628"/>
      <c r="CQ589" s="628"/>
      <c r="CR589" s="628"/>
      <c r="CS589" s="628"/>
      <c r="CT589" s="628"/>
      <c r="CU589" s="628"/>
      <c r="CV589" s="628"/>
      <c r="CW589" s="628"/>
      <c r="CX589" s="628"/>
      <c r="CY589" s="628"/>
      <c r="CZ589" s="629"/>
      <c r="DA589" s="243"/>
    </row>
    <row r="590" spans="1:105" ht="23.25" hidden="1" customHeight="1" x14ac:dyDescent="0.25">
      <c r="A590" s="630" t="s">
        <v>653</v>
      </c>
      <c r="B590" s="631"/>
      <c r="C590" s="631"/>
      <c r="D590" s="631"/>
      <c r="E590" s="631"/>
      <c r="F590" s="631"/>
      <c r="G590" s="632"/>
      <c r="H590" s="584"/>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5"/>
      <c r="AL590" s="585"/>
      <c r="AM590" s="585"/>
      <c r="AN590" s="585"/>
      <c r="AO590" s="585"/>
      <c r="AP590" s="585"/>
      <c r="AQ590" s="585"/>
      <c r="AR590" s="585"/>
      <c r="AS590" s="585"/>
      <c r="AT590" s="585"/>
      <c r="AU590" s="585"/>
      <c r="AV590" s="585"/>
      <c r="AW590" s="585"/>
      <c r="AX590" s="585"/>
      <c r="AY590" s="585"/>
      <c r="AZ590" s="585"/>
      <c r="BA590" s="585"/>
      <c r="BB590" s="586"/>
      <c r="BC590" s="544"/>
      <c r="BD590" s="545"/>
      <c r="BE590" s="545"/>
      <c r="BF590" s="545"/>
      <c r="BG590" s="545"/>
      <c r="BH590" s="545"/>
      <c r="BI590" s="545"/>
      <c r="BJ590" s="545"/>
      <c r="BK590" s="545"/>
      <c r="BL590" s="545"/>
      <c r="BM590" s="545"/>
      <c r="BN590" s="545"/>
      <c r="BO590" s="545"/>
      <c r="BP590" s="545"/>
      <c r="BQ590" s="545"/>
      <c r="BR590" s="546"/>
      <c r="BS590" s="627"/>
      <c r="BT590" s="628"/>
      <c r="BU590" s="628"/>
      <c r="BV590" s="628"/>
      <c r="BW590" s="628"/>
      <c r="BX590" s="628"/>
      <c r="BY590" s="628"/>
      <c r="BZ590" s="628"/>
      <c r="CA590" s="628"/>
      <c r="CB590" s="628"/>
      <c r="CC590" s="628"/>
      <c r="CD590" s="628"/>
      <c r="CE590" s="628"/>
      <c r="CF590" s="628"/>
      <c r="CG590" s="628"/>
      <c r="CH590" s="629"/>
      <c r="CI590" s="627">
        <f t="shared" si="8"/>
        <v>0</v>
      </c>
      <c r="CJ590" s="628"/>
      <c r="CK590" s="628"/>
      <c r="CL590" s="628"/>
      <c r="CM590" s="628"/>
      <c r="CN590" s="628"/>
      <c r="CO590" s="628"/>
      <c r="CP590" s="628"/>
      <c r="CQ590" s="628"/>
      <c r="CR590" s="628"/>
      <c r="CS590" s="628"/>
      <c r="CT590" s="628"/>
      <c r="CU590" s="628"/>
      <c r="CV590" s="628"/>
      <c r="CW590" s="628"/>
      <c r="CX590" s="628"/>
      <c r="CY590" s="628"/>
      <c r="CZ590" s="629"/>
      <c r="DA590" s="243"/>
    </row>
    <row r="591" spans="1:105" ht="23.25" hidden="1" customHeight="1" x14ac:dyDescent="0.25">
      <c r="A591" s="630" t="s">
        <v>654</v>
      </c>
      <c r="B591" s="631"/>
      <c r="C591" s="631"/>
      <c r="D591" s="631"/>
      <c r="E591" s="631"/>
      <c r="F591" s="631"/>
      <c r="G591" s="632"/>
      <c r="H591" s="584"/>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5"/>
      <c r="AL591" s="585"/>
      <c r="AM591" s="585"/>
      <c r="AN591" s="585"/>
      <c r="AO591" s="585"/>
      <c r="AP591" s="585"/>
      <c r="AQ591" s="585"/>
      <c r="AR591" s="585"/>
      <c r="AS591" s="585"/>
      <c r="AT591" s="585"/>
      <c r="AU591" s="585"/>
      <c r="AV591" s="585"/>
      <c r="AW591" s="585"/>
      <c r="AX591" s="585"/>
      <c r="AY591" s="585"/>
      <c r="AZ591" s="585"/>
      <c r="BA591" s="585"/>
      <c r="BB591" s="586"/>
      <c r="BC591" s="544"/>
      <c r="BD591" s="545"/>
      <c r="BE591" s="545"/>
      <c r="BF591" s="545"/>
      <c r="BG591" s="545"/>
      <c r="BH591" s="545"/>
      <c r="BI591" s="545"/>
      <c r="BJ591" s="545"/>
      <c r="BK591" s="545"/>
      <c r="BL591" s="545"/>
      <c r="BM591" s="545"/>
      <c r="BN591" s="545"/>
      <c r="BO591" s="545"/>
      <c r="BP591" s="545"/>
      <c r="BQ591" s="545"/>
      <c r="BR591" s="546"/>
      <c r="BS591" s="627"/>
      <c r="BT591" s="628"/>
      <c r="BU591" s="628"/>
      <c r="BV591" s="628"/>
      <c r="BW591" s="628"/>
      <c r="BX591" s="628"/>
      <c r="BY591" s="628"/>
      <c r="BZ591" s="628"/>
      <c r="CA591" s="628"/>
      <c r="CB591" s="628"/>
      <c r="CC591" s="628"/>
      <c r="CD591" s="628"/>
      <c r="CE591" s="628"/>
      <c r="CF591" s="628"/>
      <c r="CG591" s="628"/>
      <c r="CH591" s="629"/>
      <c r="CI591" s="627">
        <f t="shared" si="8"/>
        <v>0</v>
      </c>
      <c r="CJ591" s="628"/>
      <c r="CK591" s="628"/>
      <c r="CL591" s="628"/>
      <c r="CM591" s="628"/>
      <c r="CN591" s="628"/>
      <c r="CO591" s="628"/>
      <c r="CP591" s="628"/>
      <c r="CQ591" s="628"/>
      <c r="CR591" s="628"/>
      <c r="CS591" s="628"/>
      <c r="CT591" s="628"/>
      <c r="CU591" s="628"/>
      <c r="CV591" s="628"/>
      <c r="CW591" s="628"/>
      <c r="CX591" s="628"/>
      <c r="CY591" s="628"/>
      <c r="CZ591" s="629"/>
      <c r="DA591" s="243"/>
    </row>
    <row r="592" spans="1:105" ht="22.95" hidden="1" customHeight="1" x14ac:dyDescent="0.25">
      <c r="A592" s="633" t="s">
        <v>292</v>
      </c>
      <c r="B592" s="634"/>
      <c r="C592" s="634"/>
      <c r="D592" s="634"/>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4"/>
      <c r="AY592" s="634"/>
      <c r="AZ592" s="634"/>
      <c r="BA592" s="634"/>
      <c r="BB592" s="635"/>
      <c r="BC592" s="582" t="s">
        <v>4</v>
      </c>
      <c r="BD592" s="582"/>
      <c r="BE592" s="582"/>
      <c r="BF592" s="582"/>
      <c r="BG592" s="582"/>
      <c r="BH592" s="582"/>
      <c r="BI592" s="582"/>
      <c r="BJ592" s="582"/>
      <c r="BK592" s="582"/>
      <c r="BL592" s="582"/>
      <c r="BM592" s="582"/>
      <c r="BN592" s="582"/>
      <c r="BO592" s="582"/>
      <c r="BP592" s="582"/>
      <c r="BQ592" s="582"/>
      <c r="BR592" s="582"/>
      <c r="BS592" s="544" t="s">
        <v>4</v>
      </c>
      <c r="BT592" s="545"/>
      <c r="BU592" s="545"/>
      <c r="BV592" s="545"/>
      <c r="BW592" s="545"/>
      <c r="BX592" s="545"/>
      <c r="BY592" s="545"/>
      <c r="BZ592" s="545"/>
      <c r="CA592" s="545"/>
      <c r="CB592" s="545"/>
      <c r="CC592" s="545"/>
      <c r="CD592" s="545"/>
      <c r="CE592" s="545"/>
      <c r="CF592" s="545"/>
      <c r="CG592" s="545"/>
      <c r="CH592" s="546"/>
      <c r="CI592" s="636">
        <f>SUM(CI581:CZ591)</f>
        <v>0</v>
      </c>
      <c r="CJ592" s="654"/>
      <c r="CK592" s="654"/>
      <c r="CL592" s="654"/>
      <c r="CM592" s="654"/>
      <c r="CN592" s="654"/>
      <c r="CO592" s="654"/>
      <c r="CP592" s="654"/>
      <c r="CQ592" s="654"/>
      <c r="CR592" s="654"/>
      <c r="CS592" s="654"/>
      <c r="CT592" s="654"/>
      <c r="CU592" s="654"/>
      <c r="CV592" s="654"/>
      <c r="CW592" s="654"/>
      <c r="CX592" s="654"/>
      <c r="CY592" s="654"/>
      <c r="CZ592" s="655"/>
      <c r="DA592" s="243"/>
    </row>
    <row r="593" spans="1:105" ht="23.25" customHeight="1" x14ac:dyDescent="0.25">
      <c r="A593" s="648" t="s">
        <v>569</v>
      </c>
      <c r="B593" s="649"/>
      <c r="C593" s="649"/>
      <c r="D593" s="649"/>
      <c r="E593" s="649"/>
      <c r="F593" s="649"/>
      <c r="G593" s="649"/>
      <c r="H593" s="649"/>
      <c r="I593" s="649"/>
      <c r="J593" s="649"/>
      <c r="K593" s="649"/>
      <c r="L593" s="649"/>
      <c r="M593" s="649"/>
      <c r="N593" s="649"/>
      <c r="O593" s="649"/>
      <c r="P593" s="649"/>
      <c r="Q593" s="649"/>
      <c r="R593" s="649"/>
      <c r="S593" s="649"/>
      <c r="T593" s="649"/>
      <c r="U593" s="649"/>
      <c r="V593" s="649"/>
      <c r="W593" s="649"/>
      <c r="X593" s="649"/>
      <c r="Y593" s="649"/>
      <c r="Z593" s="649"/>
      <c r="AA593" s="649"/>
      <c r="AB593" s="649"/>
      <c r="AC593" s="649"/>
      <c r="AD593" s="649"/>
      <c r="AE593" s="649"/>
      <c r="AF593" s="649"/>
      <c r="AG593" s="649"/>
      <c r="AH593" s="649"/>
      <c r="AI593" s="649"/>
      <c r="AJ593" s="649"/>
      <c r="AK593" s="649"/>
      <c r="AL593" s="649"/>
      <c r="AM593" s="649"/>
      <c r="AN593" s="649"/>
      <c r="AO593" s="649"/>
      <c r="AP593" s="649"/>
      <c r="AQ593" s="649"/>
      <c r="AR593" s="649"/>
      <c r="AS593" s="649"/>
      <c r="AT593" s="649"/>
      <c r="AU593" s="649"/>
      <c r="AV593" s="649"/>
      <c r="AW593" s="649"/>
      <c r="AX593" s="649"/>
      <c r="AY593" s="649"/>
      <c r="AZ593" s="649"/>
      <c r="BA593" s="649"/>
      <c r="BB593" s="649"/>
      <c r="BC593" s="649"/>
      <c r="BD593" s="649"/>
      <c r="BE593" s="649"/>
      <c r="BF593" s="649"/>
      <c r="BG593" s="649"/>
      <c r="BH593" s="649"/>
      <c r="BI593" s="649"/>
      <c r="BJ593" s="649"/>
      <c r="BK593" s="649"/>
      <c r="BL593" s="649"/>
      <c r="BM593" s="649"/>
      <c r="BN593" s="649"/>
      <c r="BO593" s="649"/>
      <c r="BP593" s="649"/>
      <c r="BQ593" s="649"/>
      <c r="BR593" s="649"/>
      <c r="BS593" s="649"/>
      <c r="BT593" s="649"/>
      <c r="BU593" s="649"/>
      <c r="BV593" s="649"/>
      <c r="BW593" s="649"/>
      <c r="BX593" s="649"/>
      <c r="BY593" s="649"/>
      <c r="BZ593" s="649"/>
      <c r="CA593" s="649"/>
      <c r="CB593" s="649"/>
      <c r="CC593" s="649"/>
      <c r="CD593" s="649"/>
      <c r="CE593" s="649"/>
      <c r="CF593" s="649"/>
      <c r="CG593" s="649"/>
      <c r="CH593" s="649"/>
      <c r="CI593" s="649"/>
      <c r="CJ593" s="649"/>
      <c r="CK593" s="649"/>
      <c r="CL593" s="649"/>
      <c r="CM593" s="649"/>
      <c r="CN593" s="649"/>
      <c r="CO593" s="649"/>
      <c r="CP593" s="649"/>
      <c r="CQ593" s="649"/>
      <c r="CR593" s="649"/>
      <c r="CS593" s="649"/>
      <c r="CT593" s="649"/>
      <c r="CU593" s="649"/>
      <c r="CV593" s="649"/>
      <c r="CW593" s="649"/>
      <c r="CX593" s="649"/>
      <c r="CY593" s="649"/>
      <c r="CZ593" s="650"/>
      <c r="DA593" s="243"/>
    </row>
    <row r="594" spans="1:105" ht="23.25" hidden="1" customHeight="1" x14ac:dyDescent="0.25">
      <c r="A594" s="630" t="s">
        <v>441</v>
      </c>
      <c r="B594" s="631"/>
      <c r="C594" s="631"/>
      <c r="D594" s="631"/>
      <c r="E594" s="631"/>
      <c r="F594" s="631"/>
      <c r="G594" s="632"/>
      <c r="H594" s="584" t="s">
        <v>995</v>
      </c>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5"/>
      <c r="AL594" s="585"/>
      <c r="AM594" s="585"/>
      <c r="AN594" s="585"/>
      <c r="AO594" s="585"/>
      <c r="AP594" s="585"/>
      <c r="AQ594" s="585"/>
      <c r="AR594" s="585"/>
      <c r="AS594" s="585"/>
      <c r="AT594" s="585"/>
      <c r="AU594" s="585"/>
      <c r="AV594" s="585"/>
      <c r="AW594" s="585"/>
      <c r="AX594" s="585"/>
      <c r="AY594" s="585"/>
      <c r="AZ594" s="585"/>
      <c r="BA594" s="585"/>
      <c r="BB594" s="586"/>
      <c r="BC594" s="544">
        <v>24</v>
      </c>
      <c r="BD594" s="545"/>
      <c r="BE594" s="545"/>
      <c r="BF594" s="545"/>
      <c r="BG594" s="545"/>
      <c r="BH594" s="545"/>
      <c r="BI594" s="545"/>
      <c r="BJ594" s="545"/>
      <c r="BK594" s="545"/>
      <c r="BL594" s="545"/>
      <c r="BM594" s="545"/>
      <c r="BN594" s="545"/>
      <c r="BO594" s="545"/>
      <c r="BP594" s="545"/>
      <c r="BQ594" s="545"/>
      <c r="BR594" s="546"/>
      <c r="BS594" s="627">
        <f>CI594/BC594</f>
        <v>0</v>
      </c>
      <c r="BT594" s="628"/>
      <c r="BU594" s="628"/>
      <c r="BV594" s="628"/>
      <c r="BW594" s="628"/>
      <c r="BX594" s="628"/>
      <c r="BY594" s="628"/>
      <c r="BZ594" s="628"/>
      <c r="CA594" s="628"/>
      <c r="CB594" s="628"/>
      <c r="CC594" s="628"/>
      <c r="CD594" s="628"/>
      <c r="CE594" s="628"/>
      <c r="CF594" s="628"/>
      <c r="CG594" s="628"/>
      <c r="CH594" s="629"/>
      <c r="CI594" s="627"/>
      <c r="CJ594" s="628"/>
      <c r="CK594" s="628"/>
      <c r="CL594" s="628"/>
      <c r="CM594" s="628"/>
      <c r="CN594" s="628"/>
      <c r="CO594" s="628"/>
      <c r="CP594" s="628"/>
      <c r="CQ594" s="628"/>
      <c r="CR594" s="628"/>
      <c r="CS594" s="628"/>
      <c r="CT594" s="628"/>
      <c r="CU594" s="628"/>
      <c r="CV594" s="628"/>
      <c r="CW594" s="628"/>
      <c r="CX594" s="628"/>
      <c r="CY594" s="628"/>
      <c r="CZ594" s="629"/>
      <c r="DA594" s="243"/>
    </row>
    <row r="595" spans="1:105" ht="23.25" hidden="1" customHeight="1" x14ac:dyDescent="0.25">
      <c r="A595" s="630"/>
      <c r="B595" s="631"/>
      <c r="C595" s="631"/>
      <c r="D595" s="631"/>
      <c r="E595" s="631"/>
      <c r="F595" s="631"/>
      <c r="G595" s="632"/>
      <c r="H595" s="584"/>
      <c r="I595" s="585"/>
      <c r="J595" s="585"/>
      <c r="K595" s="585"/>
      <c r="L595" s="585"/>
      <c r="M595" s="585"/>
      <c r="N595" s="585"/>
      <c r="O595" s="585"/>
      <c r="P595" s="585"/>
      <c r="Q595" s="585"/>
      <c r="R595" s="585"/>
      <c r="S595" s="585"/>
      <c r="T595" s="585"/>
      <c r="U595" s="585"/>
      <c r="V595" s="585"/>
      <c r="W595" s="585"/>
      <c r="X595" s="585"/>
      <c r="Y595" s="585"/>
      <c r="Z595" s="585"/>
      <c r="AA595" s="585"/>
      <c r="AB595" s="585"/>
      <c r="AC595" s="585"/>
      <c r="AD595" s="585"/>
      <c r="AE595" s="585"/>
      <c r="AF595" s="585"/>
      <c r="AG595" s="585"/>
      <c r="AH595" s="585"/>
      <c r="AI595" s="585"/>
      <c r="AJ595" s="585"/>
      <c r="AK595" s="585"/>
      <c r="AL595" s="585"/>
      <c r="AM595" s="585"/>
      <c r="AN595" s="585"/>
      <c r="AO595" s="585"/>
      <c r="AP595" s="585"/>
      <c r="AQ595" s="585"/>
      <c r="AR595" s="585"/>
      <c r="AS595" s="585"/>
      <c r="AT595" s="585"/>
      <c r="AU595" s="585"/>
      <c r="AV595" s="585"/>
      <c r="AW595" s="585"/>
      <c r="AX595" s="585"/>
      <c r="AY595" s="585"/>
      <c r="AZ595" s="585"/>
      <c r="BA595" s="585"/>
      <c r="BB595" s="586"/>
      <c r="BC595" s="544"/>
      <c r="BD595" s="545"/>
      <c r="BE595" s="545"/>
      <c r="BF595" s="545"/>
      <c r="BG595" s="545"/>
      <c r="BH595" s="545"/>
      <c r="BI595" s="545"/>
      <c r="BJ595" s="545"/>
      <c r="BK595" s="545"/>
      <c r="BL595" s="545"/>
      <c r="BM595" s="545"/>
      <c r="BN595" s="545"/>
      <c r="BO595" s="545"/>
      <c r="BP595" s="545"/>
      <c r="BQ595" s="545"/>
      <c r="BR595" s="546"/>
      <c r="BS595" s="627"/>
      <c r="BT595" s="628"/>
      <c r="BU595" s="628"/>
      <c r="BV595" s="628"/>
      <c r="BW595" s="628"/>
      <c r="BX595" s="628"/>
      <c r="BY595" s="628"/>
      <c r="BZ595" s="628"/>
      <c r="CA595" s="628"/>
      <c r="CB595" s="628"/>
      <c r="CC595" s="628"/>
      <c r="CD595" s="628"/>
      <c r="CE595" s="628"/>
      <c r="CF595" s="628"/>
      <c r="CG595" s="628"/>
      <c r="CH595" s="629"/>
      <c r="CI595" s="627"/>
      <c r="CJ595" s="628"/>
      <c r="CK595" s="628"/>
      <c r="CL595" s="628"/>
      <c r="CM595" s="628"/>
      <c r="CN595" s="628"/>
      <c r="CO595" s="628"/>
      <c r="CP595" s="628"/>
      <c r="CQ595" s="628"/>
      <c r="CR595" s="628"/>
      <c r="CS595" s="628"/>
      <c r="CT595" s="628"/>
      <c r="CU595" s="628"/>
      <c r="CV595" s="628"/>
      <c r="CW595" s="628"/>
      <c r="CX595" s="628"/>
      <c r="CY595" s="628"/>
      <c r="CZ595" s="629"/>
      <c r="DA595" s="243"/>
    </row>
    <row r="596" spans="1:105" ht="23.25" hidden="1" customHeight="1" x14ac:dyDescent="0.25">
      <c r="A596" s="630"/>
      <c r="B596" s="631"/>
      <c r="C596" s="631"/>
      <c r="D596" s="631"/>
      <c r="E596" s="631"/>
      <c r="F596" s="631"/>
      <c r="G596" s="632"/>
      <c r="H596" s="584"/>
      <c r="I596" s="585"/>
      <c r="J596" s="585"/>
      <c r="K596" s="585"/>
      <c r="L596" s="585"/>
      <c r="M596" s="585"/>
      <c r="N596" s="585"/>
      <c r="O596" s="585"/>
      <c r="P596" s="585"/>
      <c r="Q596" s="585"/>
      <c r="R596" s="585"/>
      <c r="S596" s="585"/>
      <c r="T596" s="585"/>
      <c r="U596" s="585"/>
      <c r="V596" s="585"/>
      <c r="W596" s="585"/>
      <c r="X596" s="585"/>
      <c r="Y596" s="585"/>
      <c r="Z596" s="585"/>
      <c r="AA596" s="585"/>
      <c r="AB596" s="585"/>
      <c r="AC596" s="585"/>
      <c r="AD596" s="585"/>
      <c r="AE596" s="585"/>
      <c r="AF596" s="585"/>
      <c r="AG596" s="585"/>
      <c r="AH596" s="585"/>
      <c r="AI596" s="585"/>
      <c r="AJ596" s="585"/>
      <c r="AK596" s="585"/>
      <c r="AL596" s="585"/>
      <c r="AM596" s="585"/>
      <c r="AN596" s="585"/>
      <c r="AO596" s="585"/>
      <c r="AP596" s="585"/>
      <c r="AQ596" s="585"/>
      <c r="AR596" s="585"/>
      <c r="AS596" s="585"/>
      <c r="AT596" s="585"/>
      <c r="AU596" s="585"/>
      <c r="AV596" s="585"/>
      <c r="AW596" s="585"/>
      <c r="AX596" s="585"/>
      <c r="AY596" s="585"/>
      <c r="AZ596" s="585"/>
      <c r="BA596" s="585"/>
      <c r="BB596" s="586"/>
      <c r="BC596" s="544"/>
      <c r="BD596" s="545"/>
      <c r="BE596" s="545"/>
      <c r="BF596" s="545"/>
      <c r="BG596" s="545"/>
      <c r="BH596" s="545"/>
      <c r="BI596" s="545"/>
      <c r="BJ596" s="545"/>
      <c r="BK596" s="545"/>
      <c r="BL596" s="545"/>
      <c r="BM596" s="545"/>
      <c r="BN596" s="545"/>
      <c r="BO596" s="545"/>
      <c r="BP596" s="545"/>
      <c r="BQ596" s="545"/>
      <c r="BR596" s="546"/>
      <c r="BS596" s="627"/>
      <c r="BT596" s="628"/>
      <c r="BU596" s="628"/>
      <c r="BV596" s="628"/>
      <c r="BW596" s="628"/>
      <c r="BX596" s="628"/>
      <c r="BY596" s="628"/>
      <c r="BZ596" s="628"/>
      <c r="CA596" s="628"/>
      <c r="CB596" s="628"/>
      <c r="CC596" s="628"/>
      <c r="CD596" s="628"/>
      <c r="CE596" s="628"/>
      <c r="CF596" s="628"/>
      <c r="CG596" s="628"/>
      <c r="CH596" s="629"/>
      <c r="CI596" s="627"/>
      <c r="CJ596" s="628"/>
      <c r="CK596" s="628"/>
      <c r="CL596" s="628"/>
      <c r="CM596" s="628"/>
      <c r="CN596" s="628"/>
      <c r="CO596" s="628"/>
      <c r="CP596" s="628"/>
      <c r="CQ596" s="628"/>
      <c r="CR596" s="628"/>
      <c r="CS596" s="628"/>
      <c r="CT596" s="628"/>
      <c r="CU596" s="628"/>
      <c r="CV596" s="628"/>
      <c r="CW596" s="628"/>
      <c r="CX596" s="628"/>
      <c r="CY596" s="628"/>
      <c r="CZ596" s="629"/>
      <c r="DA596" s="243"/>
    </row>
    <row r="597" spans="1:105" ht="23.25" hidden="1" customHeight="1" x14ac:dyDescent="0.25">
      <c r="A597" s="630"/>
      <c r="B597" s="631"/>
      <c r="C597" s="631"/>
      <c r="D597" s="631"/>
      <c r="E597" s="631"/>
      <c r="F597" s="631"/>
      <c r="G597" s="632"/>
      <c r="H597" s="584"/>
      <c r="I597" s="585"/>
      <c r="J597" s="585"/>
      <c r="K597" s="585"/>
      <c r="L597" s="585"/>
      <c r="M597" s="585"/>
      <c r="N597" s="585"/>
      <c r="O597" s="585"/>
      <c r="P597" s="585"/>
      <c r="Q597" s="585"/>
      <c r="R597" s="585"/>
      <c r="S597" s="585"/>
      <c r="T597" s="585"/>
      <c r="U597" s="585"/>
      <c r="V597" s="585"/>
      <c r="W597" s="585"/>
      <c r="X597" s="585"/>
      <c r="Y597" s="585"/>
      <c r="Z597" s="585"/>
      <c r="AA597" s="585"/>
      <c r="AB597" s="585"/>
      <c r="AC597" s="585"/>
      <c r="AD597" s="585"/>
      <c r="AE597" s="585"/>
      <c r="AF597" s="585"/>
      <c r="AG597" s="585"/>
      <c r="AH597" s="585"/>
      <c r="AI597" s="585"/>
      <c r="AJ597" s="585"/>
      <c r="AK597" s="585"/>
      <c r="AL597" s="585"/>
      <c r="AM597" s="585"/>
      <c r="AN597" s="585"/>
      <c r="AO597" s="585"/>
      <c r="AP597" s="585"/>
      <c r="AQ597" s="585"/>
      <c r="AR597" s="585"/>
      <c r="AS597" s="585"/>
      <c r="AT597" s="585"/>
      <c r="AU597" s="585"/>
      <c r="AV597" s="585"/>
      <c r="AW597" s="585"/>
      <c r="AX597" s="585"/>
      <c r="AY597" s="585"/>
      <c r="AZ597" s="585"/>
      <c r="BA597" s="585"/>
      <c r="BB597" s="586"/>
      <c r="BC597" s="544"/>
      <c r="BD597" s="545"/>
      <c r="BE597" s="545"/>
      <c r="BF597" s="545"/>
      <c r="BG597" s="545"/>
      <c r="BH597" s="545"/>
      <c r="BI597" s="545"/>
      <c r="BJ597" s="545"/>
      <c r="BK597" s="545"/>
      <c r="BL597" s="545"/>
      <c r="BM597" s="545"/>
      <c r="BN597" s="545"/>
      <c r="BO597" s="545"/>
      <c r="BP597" s="545"/>
      <c r="BQ597" s="545"/>
      <c r="BR597" s="546"/>
      <c r="BS597" s="627"/>
      <c r="BT597" s="628"/>
      <c r="BU597" s="628"/>
      <c r="BV597" s="628"/>
      <c r="BW597" s="628"/>
      <c r="BX597" s="628"/>
      <c r="BY597" s="628"/>
      <c r="BZ597" s="628"/>
      <c r="CA597" s="628"/>
      <c r="CB597" s="628"/>
      <c r="CC597" s="628"/>
      <c r="CD597" s="628"/>
      <c r="CE597" s="628"/>
      <c r="CF597" s="628"/>
      <c r="CG597" s="628"/>
      <c r="CH597" s="629"/>
      <c r="CI597" s="627"/>
      <c r="CJ597" s="628"/>
      <c r="CK597" s="628"/>
      <c r="CL597" s="628"/>
      <c r="CM597" s="628"/>
      <c r="CN597" s="628"/>
      <c r="CO597" s="628"/>
      <c r="CP597" s="628"/>
      <c r="CQ597" s="628"/>
      <c r="CR597" s="628"/>
      <c r="CS597" s="628"/>
      <c r="CT597" s="628"/>
      <c r="CU597" s="628"/>
      <c r="CV597" s="628"/>
      <c r="CW597" s="628"/>
      <c r="CX597" s="628"/>
      <c r="CY597" s="628"/>
      <c r="CZ597" s="629"/>
      <c r="DA597" s="243"/>
    </row>
    <row r="598" spans="1:105" ht="23.25" hidden="1" customHeight="1" x14ac:dyDescent="0.25">
      <c r="A598" s="630"/>
      <c r="B598" s="631"/>
      <c r="C598" s="631"/>
      <c r="D598" s="631"/>
      <c r="E598" s="631"/>
      <c r="F598" s="631"/>
      <c r="G598" s="632"/>
      <c r="H598" s="584"/>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5"/>
      <c r="AL598" s="585"/>
      <c r="AM598" s="585"/>
      <c r="AN598" s="585"/>
      <c r="AO598" s="585"/>
      <c r="AP598" s="585"/>
      <c r="AQ598" s="585"/>
      <c r="AR598" s="585"/>
      <c r="AS598" s="585"/>
      <c r="AT598" s="585"/>
      <c r="AU598" s="585"/>
      <c r="AV598" s="585"/>
      <c r="AW598" s="585"/>
      <c r="AX598" s="585"/>
      <c r="AY598" s="585"/>
      <c r="AZ598" s="585"/>
      <c r="BA598" s="585"/>
      <c r="BB598" s="586"/>
      <c r="BC598" s="544"/>
      <c r="BD598" s="545"/>
      <c r="BE598" s="545"/>
      <c r="BF598" s="545"/>
      <c r="BG598" s="545"/>
      <c r="BH598" s="545"/>
      <c r="BI598" s="545"/>
      <c r="BJ598" s="545"/>
      <c r="BK598" s="545"/>
      <c r="BL598" s="545"/>
      <c r="BM598" s="545"/>
      <c r="BN598" s="545"/>
      <c r="BO598" s="545"/>
      <c r="BP598" s="545"/>
      <c r="BQ598" s="545"/>
      <c r="BR598" s="546"/>
      <c r="BS598" s="627"/>
      <c r="BT598" s="628"/>
      <c r="BU598" s="628"/>
      <c r="BV598" s="628"/>
      <c r="BW598" s="628"/>
      <c r="BX598" s="628"/>
      <c r="BY598" s="628"/>
      <c r="BZ598" s="628"/>
      <c r="CA598" s="628"/>
      <c r="CB598" s="628"/>
      <c r="CC598" s="628"/>
      <c r="CD598" s="628"/>
      <c r="CE598" s="628"/>
      <c r="CF598" s="628"/>
      <c r="CG598" s="628"/>
      <c r="CH598" s="629"/>
      <c r="CI598" s="627"/>
      <c r="CJ598" s="628"/>
      <c r="CK598" s="628"/>
      <c r="CL598" s="628"/>
      <c r="CM598" s="628"/>
      <c r="CN598" s="628"/>
      <c r="CO598" s="628"/>
      <c r="CP598" s="628"/>
      <c r="CQ598" s="628"/>
      <c r="CR598" s="628"/>
      <c r="CS598" s="628"/>
      <c r="CT598" s="628"/>
      <c r="CU598" s="628"/>
      <c r="CV598" s="628"/>
      <c r="CW598" s="628"/>
      <c r="CX598" s="628"/>
      <c r="CY598" s="628"/>
      <c r="CZ598" s="629"/>
      <c r="DA598" s="243"/>
    </row>
    <row r="599" spans="1:105" ht="23.25" hidden="1" customHeight="1" x14ac:dyDescent="0.25">
      <c r="A599" s="630"/>
      <c r="B599" s="631"/>
      <c r="C599" s="631"/>
      <c r="D599" s="631"/>
      <c r="E599" s="631"/>
      <c r="F599" s="631"/>
      <c r="G599" s="632"/>
      <c r="H599" s="584"/>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5"/>
      <c r="AL599" s="585"/>
      <c r="AM599" s="585"/>
      <c r="AN599" s="585"/>
      <c r="AO599" s="585"/>
      <c r="AP599" s="585"/>
      <c r="AQ599" s="585"/>
      <c r="AR599" s="585"/>
      <c r="AS599" s="585"/>
      <c r="AT599" s="585"/>
      <c r="AU599" s="585"/>
      <c r="AV599" s="585"/>
      <c r="AW599" s="585"/>
      <c r="AX599" s="585"/>
      <c r="AY599" s="585"/>
      <c r="AZ599" s="585"/>
      <c r="BA599" s="585"/>
      <c r="BB599" s="586"/>
      <c r="BC599" s="544"/>
      <c r="BD599" s="545"/>
      <c r="BE599" s="545"/>
      <c r="BF599" s="545"/>
      <c r="BG599" s="545"/>
      <c r="BH599" s="545"/>
      <c r="BI599" s="545"/>
      <c r="BJ599" s="545"/>
      <c r="BK599" s="545"/>
      <c r="BL599" s="545"/>
      <c r="BM599" s="545"/>
      <c r="BN599" s="545"/>
      <c r="BO599" s="545"/>
      <c r="BP599" s="545"/>
      <c r="BQ599" s="545"/>
      <c r="BR599" s="546"/>
      <c r="BS599" s="627"/>
      <c r="BT599" s="628"/>
      <c r="BU599" s="628"/>
      <c r="BV599" s="628"/>
      <c r="BW599" s="628"/>
      <c r="BX599" s="628"/>
      <c r="BY599" s="628"/>
      <c r="BZ599" s="628"/>
      <c r="CA599" s="628"/>
      <c r="CB599" s="628"/>
      <c r="CC599" s="628"/>
      <c r="CD599" s="628"/>
      <c r="CE599" s="628"/>
      <c r="CF599" s="628"/>
      <c r="CG599" s="628"/>
      <c r="CH599" s="629"/>
      <c r="CI599" s="627"/>
      <c r="CJ599" s="628"/>
      <c r="CK599" s="628"/>
      <c r="CL599" s="628"/>
      <c r="CM599" s="628"/>
      <c r="CN599" s="628"/>
      <c r="CO599" s="628"/>
      <c r="CP599" s="628"/>
      <c r="CQ599" s="628"/>
      <c r="CR599" s="628"/>
      <c r="CS599" s="628"/>
      <c r="CT599" s="628"/>
      <c r="CU599" s="628"/>
      <c r="CV599" s="628"/>
      <c r="CW599" s="628"/>
      <c r="CX599" s="628"/>
      <c r="CY599" s="628"/>
      <c r="CZ599" s="629"/>
      <c r="DA599" s="243"/>
    </row>
    <row r="600" spans="1:105" ht="23.25" hidden="1" customHeight="1" x14ac:dyDescent="0.25">
      <c r="A600" s="630"/>
      <c r="B600" s="631"/>
      <c r="C600" s="631"/>
      <c r="D600" s="631"/>
      <c r="E600" s="631"/>
      <c r="F600" s="631"/>
      <c r="G600" s="632"/>
      <c r="H600" s="584"/>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5"/>
      <c r="AL600" s="585"/>
      <c r="AM600" s="585"/>
      <c r="AN600" s="585"/>
      <c r="AO600" s="585"/>
      <c r="AP600" s="585"/>
      <c r="AQ600" s="585"/>
      <c r="AR600" s="585"/>
      <c r="AS600" s="585"/>
      <c r="AT600" s="585"/>
      <c r="AU600" s="585"/>
      <c r="AV600" s="585"/>
      <c r="AW600" s="585"/>
      <c r="AX600" s="585"/>
      <c r="AY600" s="585"/>
      <c r="AZ600" s="585"/>
      <c r="BA600" s="585"/>
      <c r="BB600" s="586"/>
      <c r="BC600" s="544"/>
      <c r="BD600" s="545"/>
      <c r="BE600" s="545"/>
      <c r="BF600" s="545"/>
      <c r="BG600" s="545"/>
      <c r="BH600" s="545"/>
      <c r="BI600" s="545"/>
      <c r="BJ600" s="545"/>
      <c r="BK600" s="545"/>
      <c r="BL600" s="545"/>
      <c r="BM600" s="545"/>
      <c r="BN600" s="545"/>
      <c r="BO600" s="545"/>
      <c r="BP600" s="545"/>
      <c r="BQ600" s="545"/>
      <c r="BR600" s="546"/>
      <c r="BS600" s="627"/>
      <c r="BT600" s="628"/>
      <c r="BU600" s="628"/>
      <c r="BV600" s="628"/>
      <c r="BW600" s="628"/>
      <c r="BX600" s="628"/>
      <c r="BY600" s="628"/>
      <c r="BZ600" s="628"/>
      <c r="CA600" s="628"/>
      <c r="CB600" s="628"/>
      <c r="CC600" s="628"/>
      <c r="CD600" s="628"/>
      <c r="CE600" s="628"/>
      <c r="CF600" s="628"/>
      <c r="CG600" s="628"/>
      <c r="CH600" s="629"/>
      <c r="CI600" s="627"/>
      <c r="CJ600" s="628"/>
      <c r="CK600" s="628"/>
      <c r="CL600" s="628"/>
      <c r="CM600" s="628"/>
      <c r="CN600" s="628"/>
      <c r="CO600" s="628"/>
      <c r="CP600" s="628"/>
      <c r="CQ600" s="628"/>
      <c r="CR600" s="628"/>
      <c r="CS600" s="628"/>
      <c r="CT600" s="628"/>
      <c r="CU600" s="628"/>
      <c r="CV600" s="628"/>
      <c r="CW600" s="628"/>
      <c r="CX600" s="628"/>
      <c r="CY600" s="628"/>
      <c r="CZ600" s="629"/>
      <c r="DA600" s="243"/>
    </row>
    <row r="601" spans="1:105" ht="23.25" hidden="1" customHeight="1" x14ac:dyDescent="0.25">
      <c r="A601" s="630"/>
      <c r="B601" s="631"/>
      <c r="C601" s="631"/>
      <c r="D601" s="631"/>
      <c r="E601" s="631"/>
      <c r="F601" s="631"/>
      <c r="G601" s="632"/>
      <c r="H601" s="584"/>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5"/>
      <c r="AL601" s="585"/>
      <c r="AM601" s="585"/>
      <c r="AN601" s="585"/>
      <c r="AO601" s="585"/>
      <c r="AP601" s="585"/>
      <c r="AQ601" s="585"/>
      <c r="AR601" s="585"/>
      <c r="AS601" s="585"/>
      <c r="AT601" s="585"/>
      <c r="AU601" s="585"/>
      <c r="AV601" s="585"/>
      <c r="AW601" s="585"/>
      <c r="AX601" s="585"/>
      <c r="AY601" s="585"/>
      <c r="AZ601" s="585"/>
      <c r="BA601" s="585"/>
      <c r="BB601" s="586"/>
      <c r="BC601" s="544"/>
      <c r="BD601" s="545"/>
      <c r="BE601" s="545"/>
      <c r="BF601" s="545"/>
      <c r="BG601" s="545"/>
      <c r="BH601" s="545"/>
      <c r="BI601" s="545"/>
      <c r="BJ601" s="545"/>
      <c r="BK601" s="545"/>
      <c r="BL601" s="545"/>
      <c r="BM601" s="545"/>
      <c r="BN601" s="545"/>
      <c r="BO601" s="545"/>
      <c r="BP601" s="545"/>
      <c r="BQ601" s="545"/>
      <c r="BR601" s="546"/>
      <c r="BS601" s="627"/>
      <c r="BT601" s="628"/>
      <c r="BU601" s="628"/>
      <c r="BV601" s="628"/>
      <c r="BW601" s="628"/>
      <c r="BX601" s="628"/>
      <c r="BY601" s="628"/>
      <c r="BZ601" s="628"/>
      <c r="CA601" s="628"/>
      <c r="CB601" s="628"/>
      <c r="CC601" s="628"/>
      <c r="CD601" s="628"/>
      <c r="CE601" s="628"/>
      <c r="CF601" s="628"/>
      <c r="CG601" s="628"/>
      <c r="CH601" s="629"/>
      <c r="CI601" s="627"/>
      <c r="CJ601" s="628"/>
      <c r="CK601" s="628"/>
      <c r="CL601" s="628"/>
      <c r="CM601" s="628"/>
      <c r="CN601" s="628"/>
      <c r="CO601" s="628"/>
      <c r="CP601" s="628"/>
      <c r="CQ601" s="628"/>
      <c r="CR601" s="628"/>
      <c r="CS601" s="628"/>
      <c r="CT601" s="628"/>
      <c r="CU601" s="628"/>
      <c r="CV601" s="628"/>
      <c r="CW601" s="628"/>
      <c r="CX601" s="628"/>
      <c r="CY601" s="628"/>
      <c r="CZ601" s="629"/>
      <c r="DA601" s="243"/>
    </row>
    <row r="602" spans="1:105" ht="23.25" hidden="1" customHeight="1" x14ac:dyDescent="0.25">
      <c r="A602" s="630"/>
      <c r="B602" s="631"/>
      <c r="C602" s="631"/>
      <c r="D602" s="631"/>
      <c r="E602" s="631"/>
      <c r="F602" s="631"/>
      <c r="G602" s="632"/>
      <c r="H602" s="584"/>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5"/>
      <c r="AL602" s="585"/>
      <c r="AM602" s="585"/>
      <c r="AN602" s="585"/>
      <c r="AO602" s="585"/>
      <c r="AP602" s="585"/>
      <c r="AQ602" s="585"/>
      <c r="AR602" s="585"/>
      <c r="AS602" s="585"/>
      <c r="AT602" s="585"/>
      <c r="AU602" s="585"/>
      <c r="AV602" s="585"/>
      <c r="AW602" s="585"/>
      <c r="AX602" s="585"/>
      <c r="AY602" s="585"/>
      <c r="AZ602" s="585"/>
      <c r="BA602" s="585"/>
      <c r="BB602" s="586"/>
      <c r="BC602" s="544"/>
      <c r="BD602" s="545"/>
      <c r="BE602" s="545"/>
      <c r="BF602" s="545"/>
      <c r="BG602" s="545"/>
      <c r="BH602" s="545"/>
      <c r="BI602" s="545"/>
      <c r="BJ602" s="545"/>
      <c r="BK602" s="545"/>
      <c r="BL602" s="545"/>
      <c r="BM602" s="545"/>
      <c r="BN602" s="545"/>
      <c r="BO602" s="545"/>
      <c r="BP602" s="545"/>
      <c r="BQ602" s="545"/>
      <c r="BR602" s="546"/>
      <c r="BS602" s="627"/>
      <c r="BT602" s="628"/>
      <c r="BU602" s="628"/>
      <c r="BV602" s="628"/>
      <c r="BW602" s="628"/>
      <c r="BX602" s="628"/>
      <c r="BY602" s="628"/>
      <c r="BZ602" s="628"/>
      <c r="CA602" s="628"/>
      <c r="CB602" s="628"/>
      <c r="CC602" s="628"/>
      <c r="CD602" s="628"/>
      <c r="CE602" s="628"/>
      <c r="CF602" s="628"/>
      <c r="CG602" s="628"/>
      <c r="CH602" s="629"/>
      <c r="CI602" s="627"/>
      <c r="CJ602" s="628"/>
      <c r="CK602" s="628"/>
      <c r="CL602" s="628"/>
      <c r="CM602" s="628"/>
      <c r="CN602" s="628"/>
      <c r="CO602" s="628"/>
      <c r="CP602" s="628"/>
      <c r="CQ602" s="628"/>
      <c r="CR602" s="628"/>
      <c r="CS602" s="628"/>
      <c r="CT602" s="628"/>
      <c r="CU602" s="628"/>
      <c r="CV602" s="628"/>
      <c r="CW602" s="628"/>
      <c r="CX602" s="628"/>
      <c r="CY602" s="628"/>
      <c r="CZ602" s="629"/>
      <c r="DA602" s="243"/>
    </row>
    <row r="603" spans="1:105" ht="23.25" hidden="1" customHeight="1" x14ac:dyDescent="0.25">
      <c r="A603" s="630"/>
      <c r="B603" s="631"/>
      <c r="C603" s="631"/>
      <c r="D603" s="631"/>
      <c r="E603" s="631"/>
      <c r="F603" s="631"/>
      <c r="G603" s="632"/>
      <c r="H603" s="584"/>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5"/>
      <c r="AL603" s="585"/>
      <c r="AM603" s="585"/>
      <c r="AN603" s="585"/>
      <c r="AO603" s="585"/>
      <c r="AP603" s="585"/>
      <c r="AQ603" s="585"/>
      <c r="AR603" s="585"/>
      <c r="AS603" s="585"/>
      <c r="AT603" s="585"/>
      <c r="AU603" s="585"/>
      <c r="AV603" s="585"/>
      <c r="AW603" s="585"/>
      <c r="AX603" s="585"/>
      <c r="AY603" s="585"/>
      <c r="AZ603" s="585"/>
      <c r="BA603" s="585"/>
      <c r="BB603" s="586"/>
      <c r="BC603" s="544"/>
      <c r="BD603" s="545"/>
      <c r="BE603" s="545"/>
      <c r="BF603" s="545"/>
      <c r="BG603" s="545"/>
      <c r="BH603" s="545"/>
      <c r="BI603" s="545"/>
      <c r="BJ603" s="545"/>
      <c r="BK603" s="545"/>
      <c r="BL603" s="545"/>
      <c r="BM603" s="545"/>
      <c r="BN603" s="545"/>
      <c r="BO603" s="545"/>
      <c r="BP603" s="545"/>
      <c r="BQ603" s="545"/>
      <c r="BR603" s="546"/>
      <c r="BS603" s="627"/>
      <c r="BT603" s="628"/>
      <c r="BU603" s="628"/>
      <c r="BV603" s="628"/>
      <c r="BW603" s="628"/>
      <c r="BX603" s="628"/>
      <c r="BY603" s="628"/>
      <c r="BZ603" s="628"/>
      <c r="CA603" s="628"/>
      <c r="CB603" s="628"/>
      <c r="CC603" s="628"/>
      <c r="CD603" s="628"/>
      <c r="CE603" s="628"/>
      <c r="CF603" s="628"/>
      <c r="CG603" s="628"/>
      <c r="CH603" s="629"/>
      <c r="CI603" s="627"/>
      <c r="CJ603" s="628"/>
      <c r="CK603" s="628"/>
      <c r="CL603" s="628"/>
      <c r="CM603" s="628"/>
      <c r="CN603" s="628"/>
      <c r="CO603" s="628"/>
      <c r="CP603" s="628"/>
      <c r="CQ603" s="628"/>
      <c r="CR603" s="628"/>
      <c r="CS603" s="628"/>
      <c r="CT603" s="628"/>
      <c r="CU603" s="628"/>
      <c r="CV603" s="628"/>
      <c r="CW603" s="628"/>
      <c r="CX603" s="628"/>
      <c r="CY603" s="628"/>
      <c r="CZ603" s="629"/>
      <c r="DA603" s="243"/>
    </row>
    <row r="604" spans="1:105" ht="23.25" hidden="1" customHeight="1" x14ac:dyDescent="0.25">
      <c r="A604" s="630"/>
      <c r="B604" s="631"/>
      <c r="C604" s="631"/>
      <c r="D604" s="631"/>
      <c r="E604" s="631"/>
      <c r="F604" s="631"/>
      <c r="G604" s="632"/>
      <c r="H604" s="584"/>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5"/>
      <c r="AL604" s="585"/>
      <c r="AM604" s="585"/>
      <c r="AN604" s="585"/>
      <c r="AO604" s="585"/>
      <c r="AP604" s="585"/>
      <c r="AQ604" s="585"/>
      <c r="AR604" s="585"/>
      <c r="AS604" s="585"/>
      <c r="AT604" s="585"/>
      <c r="AU604" s="585"/>
      <c r="AV604" s="585"/>
      <c r="AW604" s="585"/>
      <c r="AX604" s="585"/>
      <c r="AY604" s="585"/>
      <c r="AZ604" s="585"/>
      <c r="BA604" s="585"/>
      <c r="BB604" s="586"/>
      <c r="BC604" s="544"/>
      <c r="BD604" s="545"/>
      <c r="BE604" s="545"/>
      <c r="BF604" s="545"/>
      <c r="BG604" s="545"/>
      <c r="BH604" s="545"/>
      <c r="BI604" s="545"/>
      <c r="BJ604" s="545"/>
      <c r="BK604" s="545"/>
      <c r="BL604" s="545"/>
      <c r="BM604" s="545"/>
      <c r="BN604" s="545"/>
      <c r="BO604" s="545"/>
      <c r="BP604" s="545"/>
      <c r="BQ604" s="545"/>
      <c r="BR604" s="546"/>
      <c r="BS604" s="627"/>
      <c r="BT604" s="628"/>
      <c r="BU604" s="628"/>
      <c r="BV604" s="628"/>
      <c r="BW604" s="628"/>
      <c r="BX604" s="628"/>
      <c r="BY604" s="628"/>
      <c r="BZ604" s="628"/>
      <c r="CA604" s="628"/>
      <c r="CB604" s="628"/>
      <c r="CC604" s="628"/>
      <c r="CD604" s="628"/>
      <c r="CE604" s="628"/>
      <c r="CF604" s="628"/>
      <c r="CG604" s="628"/>
      <c r="CH604" s="629"/>
      <c r="CI604" s="627"/>
      <c r="CJ604" s="628"/>
      <c r="CK604" s="628"/>
      <c r="CL604" s="628"/>
      <c r="CM604" s="628"/>
      <c r="CN604" s="628"/>
      <c r="CO604" s="628"/>
      <c r="CP604" s="628"/>
      <c r="CQ604" s="628"/>
      <c r="CR604" s="628"/>
      <c r="CS604" s="628"/>
      <c r="CT604" s="628"/>
      <c r="CU604" s="628"/>
      <c r="CV604" s="628"/>
      <c r="CW604" s="628"/>
      <c r="CX604" s="628"/>
      <c r="CY604" s="628"/>
      <c r="CZ604" s="629"/>
      <c r="DA604" s="243"/>
    </row>
    <row r="605" spans="1:105" ht="23.25" hidden="1" customHeight="1" x14ac:dyDescent="0.25">
      <c r="A605" s="630"/>
      <c r="B605" s="631"/>
      <c r="C605" s="631"/>
      <c r="D605" s="631"/>
      <c r="E605" s="631"/>
      <c r="F605" s="631"/>
      <c r="G605" s="632"/>
      <c r="H605" s="584"/>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5"/>
      <c r="AL605" s="585"/>
      <c r="AM605" s="585"/>
      <c r="AN605" s="585"/>
      <c r="AO605" s="585"/>
      <c r="AP605" s="585"/>
      <c r="AQ605" s="585"/>
      <c r="AR605" s="585"/>
      <c r="AS605" s="585"/>
      <c r="AT605" s="585"/>
      <c r="AU605" s="585"/>
      <c r="AV605" s="585"/>
      <c r="AW605" s="585"/>
      <c r="AX605" s="585"/>
      <c r="AY605" s="585"/>
      <c r="AZ605" s="585"/>
      <c r="BA605" s="585"/>
      <c r="BB605" s="586"/>
      <c r="BC605" s="544"/>
      <c r="BD605" s="545"/>
      <c r="BE605" s="545"/>
      <c r="BF605" s="545"/>
      <c r="BG605" s="545"/>
      <c r="BH605" s="545"/>
      <c r="BI605" s="545"/>
      <c r="BJ605" s="545"/>
      <c r="BK605" s="545"/>
      <c r="BL605" s="545"/>
      <c r="BM605" s="545"/>
      <c r="BN605" s="545"/>
      <c r="BO605" s="545"/>
      <c r="BP605" s="545"/>
      <c r="BQ605" s="545"/>
      <c r="BR605" s="546"/>
      <c r="BS605" s="627"/>
      <c r="BT605" s="628"/>
      <c r="BU605" s="628"/>
      <c r="BV605" s="628"/>
      <c r="BW605" s="628"/>
      <c r="BX605" s="628"/>
      <c r="BY605" s="628"/>
      <c r="BZ605" s="628"/>
      <c r="CA605" s="628"/>
      <c r="CB605" s="628"/>
      <c r="CC605" s="628"/>
      <c r="CD605" s="628"/>
      <c r="CE605" s="628"/>
      <c r="CF605" s="628"/>
      <c r="CG605" s="628"/>
      <c r="CH605" s="629"/>
      <c r="CI605" s="627"/>
      <c r="CJ605" s="628"/>
      <c r="CK605" s="628"/>
      <c r="CL605" s="628"/>
      <c r="CM605" s="628"/>
      <c r="CN605" s="628"/>
      <c r="CO605" s="628"/>
      <c r="CP605" s="628"/>
      <c r="CQ605" s="628"/>
      <c r="CR605" s="628"/>
      <c r="CS605" s="628"/>
      <c r="CT605" s="628"/>
      <c r="CU605" s="628"/>
      <c r="CV605" s="628"/>
      <c r="CW605" s="628"/>
      <c r="CX605" s="628"/>
      <c r="CY605" s="628"/>
      <c r="CZ605" s="629"/>
      <c r="DA605" s="243"/>
    </row>
    <row r="606" spans="1:105" ht="23.25" hidden="1" customHeight="1" x14ac:dyDescent="0.25">
      <c r="A606" s="630"/>
      <c r="B606" s="631"/>
      <c r="C606" s="631"/>
      <c r="D606" s="631"/>
      <c r="E606" s="631"/>
      <c r="F606" s="631"/>
      <c r="G606" s="632"/>
      <c r="H606" s="584"/>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5"/>
      <c r="AL606" s="585"/>
      <c r="AM606" s="585"/>
      <c r="AN606" s="585"/>
      <c r="AO606" s="585"/>
      <c r="AP606" s="585"/>
      <c r="AQ606" s="585"/>
      <c r="AR606" s="585"/>
      <c r="AS606" s="585"/>
      <c r="AT606" s="585"/>
      <c r="AU606" s="585"/>
      <c r="AV606" s="585"/>
      <c r="AW606" s="585"/>
      <c r="AX606" s="585"/>
      <c r="AY606" s="585"/>
      <c r="AZ606" s="585"/>
      <c r="BA606" s="585"/>
      <c r="BB606" s="586"/>
      <c r="BC606" s="544"/>
      <c r="BD606" s="545"/>
      <c r="BE606" s="545"/>
      <c r="BF606" s="545"/>
      <c r="BG606" s="545"/>
      <c r="BH606" s="545"/>
      <c r="BI606" s="545"/>
      <c r="BJ606" s="545"/>
      <c r="BK606" s="545"/>
      <c r="BL606" s="545"/>
      <c r="BM606" s="545"/>
      <c r="BN606" s="545"/>
      <c r="BO606" s="545"/>
      <c r="BP606" s="545"/>
      <c r="BQ606" s="545"/>
      <c r="BR606" s="546"/>
      <c r="BS606" s="627"/>
      <c r="BT606" s="628"/>
      <c r="BU606" s="628"/>
      <c r="BV606" s="628"/>
      <c r="BW606" s="628"/>
      <c r="BX606" s="628"/>
      <c r="BY606" s="628"/>
      <c r="BZ606" s="628"/>
      <c r="CA606" s="628"/>
      <c r="CB606" s="628"/>
      <c r="CC606" s="628"/>
      <c r="CD606" s="628"/>
      <c r="CE606" s="628"/>
      <c r="CF606" s="628"/>
      <c r="CG606" s="628"/>
      <c r="CH606" s="629"/>
      <c r="CI606" s="627"/>
      <c r="CJ606" s="628"/>
      <c r="CK606" s="628"/>
      <c r="CL606" s="628"/>
      <c r="CM606" s="628"/>
      <c r="CN606" s="628"/>
      <c r="CO606" s="628"/>
      <c r="CP606" s="628"/>
      <c r="CQ606" s="628"/>
      <c r="CR606" s="628"/>
      <c r="CS606" s="628"/>
      <c r="CT606" s="628"/>
      <c r="CU606" s="628"/>
      <c r="CV606" s="628"/>
      <c r="CW606" s="628"/>
      <c r="CX606" s="628"/>
      <c r="CY606" s="628"/>
      <c r="CZ606" s="629"/>
      <c r="DA606" s="243"/>
    </row>
    <row r="607" spans="1:105" ht="23.25" hidden="1" customHeight="1" x14ac:dyDescent="0.25">
      <c r="A607" s="630"/>
      <c r="B607" s="631"/>
      <c r="C607" s="631"/>
      <c r="D607" s="631"/>
      <c r="E607" s="631"/>
      <c r="F607" s="631"/>
      <c r="G607" s="632"/>
      <c r="H607" s="584"/>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5"/>
      <c r="AL607" s="585"/>
      <c r="AM607" s="585"/>
      <c r="AN607" s="585"/>
      <c r="AO607" s="585"/>
      <c r="AP607" s="585"/>
      <c r="AQ607" s="585"/>
      <c r="AR607" s="585"/>
      <c r="AS607" s="585"/>
      <c r="AT607" s="585"/>
      <c r="AU607" s="585"/>
      <c r="AV607" s="585"/>
      <c r="AW607" s="585"/>
      <c r="AX607" s="585"/>
      <c r="AY607" s="585"/>
      <c r="AZ607" s="585"/>
      <c r="BA607" s="585"/>
      <c r="BB607" s="586"/>
      <c r="BC607" s="544"/>
      <c r="BD607" s="545"/>
      <c r="BE607" s="545"/>
      <c r="BF607" s="545"/>
      <c r="BG607" s="545"/>
      <c r="BH607" s="545"/>
      <c r="BI607" s="545"/>
      <c r="BJ607" s="545"/>
      <c r="BK607" s="545"/>
      <c r="BL607" s="545"/>
      <c r="BM607" s="545"/>
      <c r="BN607" s="545"/>
      <c r="BO607" s="545"/>
      <c r="BP607" s="545"/>
      <c r="BQ607" s="545"/>
      <c r="BR607" s="546"/>
      <c r="BS607" s="627"/>
      <c r="BT607" s="628"/>
      <c r="BU607" s="628"/>
      <c r="BV607" s="628"/>
      <c r="BW607" s="628"/>
      <c r="BX607" s="628"/>
      <c r="BY607" s="628"/>
      <c r="BZ607" s="628"/>
      <c r="CA607" s="628"/>
      <c r="CB607" s="628"/>
      <c r="CC607" s="628"/>
      <c r="CD607" s="628"/>
      <c r="CE607" s="628"/>
      <c r="CF607" s="628"/>
      <c r="CG607" s="628"/>
      <c r="CH607" s="629"/>
      <c r="CI607" s="627"/>
      <c r="CJ607" s="628"/>
      <c r="CK607" s="628"/>
      <c r="CL607" s="628"/>
      <c r="CM607" s="628"/>
      <c r="CN607" s="628"/>
      <c r="CO607" s="628"/>
      <c r="CP607" s="628"/>
      <c r="CQ607" s="628"/>
      <c r="CR607" s="628"/>
      <c r="CS607" s="628"/>
      <c r="CT607" s="628"/>
      <c r="CU607" s="628"/>
      <c r="CV607" s="628"/>
      <c r="CW607" s="628"/>
      <c r="CX607" s="628"/>
      <c r="CY607" s="628"/>
      <c r="CZ607" s="629"/>
      <c r="DA607" s="243"/>
    </row>
    <row r="608" spans="1:105" ht="23.25" hidden="1" customHeight="1" x14ac:dyDescent="0.25">
      <c r="A608" s="630"/>
      <c r="B608" s="631"/>
      <c r="C608" s="631"/>
      <c r="D608" s="631"/>
      <c r="E608" s="631"/>
      <c r="F608" s="631"/>
      <c r="G608" s="632"/>
      <c r="H608" s="584"/>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5"/>
      <c r="AL608" s="585"/>
      <c r="AM608" s="585"/>
      <c r="AN608" s="585"/>
      <c r="AO608" s="585"/>
      <c r="AP608" s="585"/>
      <c r="AQ608" s="585"/>
      <c r="AR608" s="585"/>
      <c r="AS608" s="585"/>
      <c r="AT608" s="585"/>
      <c r="AU608" s="585"/>
      <c r="AV608" s="585"/>
      <c r="AW608" s="585"/>
      <c r="AX608" s="585"/>
      <c r="AY608" s="585"/>
      <c r="AZ608" s="585"/>
      <c r="BA608" s="585"/>
      <c r="BB608" s="586"/>
      <c r="BC608" s="544"/>
      <c r="BD608" s="545"/>
      <c r="BE608" s="545"/>
      <c r="BF608" s="545"/>
      <c r="BG608" s="545"/>
      <c r="BH608" s="545"/>
      <c r="BI608" s="545"/>
      <c r="BJ608" s="545"/>
      <c r="BK608" s="545"/>
      <c r="BL608" s="545"/>
      <c r="BM608" s="545"/>
      <c r="BN608" s="545"/>
      <c r="BO608" s="545"/>
      <c r="BP608" s="545"/>
      <c r="BQ608" s="545"/>
      <c r="BR608" s="546"/>
      <c r="BS608" s="627"/>
      <c r="BT608" s="628"/>
      <c r="BU608" s="628"/>
      <c r="BV608" s="628"/>
      <c r="BW608" s="628"/>
      <c r="BX608" s="628"/>
      <c r="BY608" s="628"/>
      <c r="BZ608" s="628"/>
      <c r="CA608" s="628"/>
      <c r="CB608" s="628"/>
      <c r="CC608" s="628"/>
      <c r="CD608" s="628"/>
      <c r="CE608" s="628"/>
      <c r="CF608" s="628"/>
      <c r="CG608" s="628"/>
      <c r="CH608" s="629"/>
      <c r="CI608" s="627"/>
      <c r="CJ608" s="628"/>
      <c r="CK608" s="628"/>
      <c r="CL608" s="628"/>
      <c r="CM608" s="628"/>
      <c r="CN608" s="628"/>
      <c r="CO608" s="628"/>
      <c r="CP608" s="628"/>
      <c r="CQ608" s="628"/>
      <c r="CR608" s="628"/>
      <c r="CS608" s="628"/>
      <c r="CT608" s="628"/>
      <c r="CU608" s="628"/>
      <c r="CV608" s="628"/>
      <c r="CW608" s="628"/>
      <c r="CX608" s="628"/>
      <c r="CY608" s="628"/>
      <c r="CZ608" s="629"/>
      <c r="DA608" s="243"/>
    </row>
    <row r="609" spans="1:105" ht="23.25" hidden="1" customHeight="1" x14ac:dyDescent="0.25">
      <c r="A609" s="630"/>
      <c r="B609" s="631"/>
      <c r="C609" s="631"/>
      <c r="D609" s="631"/>
      <c r="E609" s="631"/>
      <c r="F609" s="631"/>
      <c r="G609" s="632"/>
      <c r="H609" s="584"/>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5"/>
      <c r="AL609" s="585"/>
      <c r="AM609" s="585"/>
      <c r="AN609" s="585"/>
      <c r="AO609" s="585"/>
      <c r="AP609" s="585"/>
      <c r="AQ609" s="585"/>
      <c r="AR609" s="585"/>
      <c r="AS609" s="585"/>
      <c r="AT609" s="585"/>
      <c r="AU609" s="585"/>
      <c r="AV609" s="585"/>
      <c r="AW609" s="585"/>
      <c r="AX609" s="585"/>
      <c r="AY609" s="585"/>
      <c r="AZ609" s="585"/>
      <c r="BA609" s="585"/>
      <c r="BB609" s="586"/>
      <c r="BC609" s="544"/>
      <c r="BD609" s="545"/>
      <c r="BE609" s="545"/>
      <c r="BF609" s="545"/>
      <c r="BG609" s="545"/>
      <c r="BH609" s="545"/>
      <c r="BI609" s="545"/>
      <c r="BJ609" s="545"/>
      <c r="BK609" s="545"/>
      <c r="BL609" s="545"/>
      <c r="BM609" s="545"/>
      <c r="BN609" s="545"/>
      <c r="BO609" s="545"/>
      <c r="BP609" s="545"/>
      <c r="BQ609" s="545"/>
      <c r="BR609" s="546"/>
      <c r="BS609" s="627"/>
      <c r="BT609" s="628"/>
      <c r="BU609" s="628"/>
      <c r="BV609" s="628"/>
      <c r="BW609" s="628"/>
      <c r="BX609" s="628"/>
      <c r="BY609" s="628"/>
      <c r="BZ609" s="628"/>
      <c r="CA609" s="628"/>
      <c r="CB609" s="628"/>
      <c r="CC609" s="628"/>
      <c r="CD609" s="628"/>
      <c r="CE609" s="628"/>
      <c r="CF609" s="628"/>
      <c r="CG609" s="628"/>
      <c r="CH609" s="629"/>
      <c r="CI609" s="627"/>
      <c r="CJ609" s="628"/>
      <c r="CK609" s="628"/>
      <c r="CL609" s="628"/>
      <c r="CM609" s="628"/>
      <c r="CN609" s="628"/>
      <c r="CO609" s="628"/>
      <c r="CP609" s="628"/>
      <c r="CQ609" s="628"/>
      <c r="CR609" s="628"/>
      <c r="CS609" s="628"/>
      <c r="CT609" s="628"/>
      <c r="CU609" s="628"/>
      <c r="CV609" s="628"/>
      <c r="CW609" s="628"/>
      <c r="CX609" s="628"/>
      <c r="CY609" s="628"/>
      <c r="CZ609" s="629"/>
      <c r="DA609" s="243"/>
    </row>
    <row r="610" spans="1:105" ht="23.25" hidden="1" customHeight="1" x14ac:dyDescent="0.25">
      <c r="A610" s="630"/>
      <c r="B610" s="631"/>
      <c r="C610" s="631"/>
      <c r="D610" s="631"/>
      <c r="E610" s="631"/>
      <c r="F610" s="631"/>
      <c r="G610" s="632"/>
      <c r="H610" s="584"/>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5"/>
      <c r="AL610" s="585"/>
      <c r="AM610" s="585"/>
      <c r="AN610" s="585"/>
      <c r="AO610" s="585"/>
      <c r="AP610" s="585"/>
      <c r="AQ610" s="585"/>
      <c r="AR610" s="585"/>
      <c r="AS610" s="585"/>
      <c r="AT610" s="585"/>
      <c r="AU610" s="585"/>
      <c r="AV610" s="585"/>
      <c r="AW610" s="585"/>
      <c r="AX610" s="585"/>
      <c r="AY610" s="585"/>
      <c r="AZ610" s="585"/>
      <c r="BA610" s="585"/>
      <c r="BB610" s="586"/>
      <c r="BC610" s="544"/>
      <c r="BD610" s="545"/>
      <c r="BE610" s="545"/>
      <c r="BF610" s="545"/>
      <c r="BG610" s="545"/>
      <c r="BH610" s="545"/>
      <c r="BI610" s="545"/>
      <c r="BJ610" s="545"/>
      <c r="BK610" s="545"/>
      <c r="BL610" s="545"/>
      <c r="BM610" s="545"/>
      <c r="BN610" s="545"/>
      <c r="BO610" s="545"/>
      <c r="BP610" s="545"/>
      <c r="BQ610" s="545"/>
      <c r="BR610" s="546"/>
      <c r="BS610" s="627"/>
      <c r="BT610" s="628"/>
      <c r="BU610" s="628"/>
      <c r="BV610" s="628"/>
      <c r="BW610" s="628"/>
      <c r="BX610" s="628"/>
      <c r="BY610" s="628"/>
      <c r="BZ610" s="628"/>
      <c r="CA610" s="628"/>
      <c r="CB610" s="628"/>
      <c r="CC610" s="628"/>
      <c r="CD610" s="628"/>
      <c r="CE610" s="628"/>
      <c r="CF610" s="628"/>
      <c r="CG610" s="628"/>
      <c r="CH610" s="629"/>
      <c r="CI610" s="627"/>
      <c r="CJ610" s="628"/>
      <c r="CK610" s="628"/>
      <c r="CL610" s="628"/>
      <c r="CM610" s="628"/>
      <c r="CN610" s="628"/>
      <c r="CO610" s="628"/>
      <c r="CP610" s="628"/>
      <c r="CQ610" s="628"/>
      <c r="CR610" s="628"/>
      <c r="CS610" s="628"/>
      <c r="CT610" s="628"/>
      <c r="CU610" s="628"/>
      <c r="CV610" s="628"/>
      <c r="CW610" s="628"/>
      <c r="CX610" s="628"/>
      <c r="CY610" s="628"/>
      <c r="CZ610" s="629"/>
      <c r="DA610" s="243"/>
    </row>
    <row r="611" spans="1:105" ht="23.25" hidden="1" customHeight="1" x14ac:dyDescent="0.25">
      <c r="A611" s="630"/>
      <c r="B611" s="631"/>
      <c r="C611" s="631"/>
      <c r="D611" s="631"/>
      <c r="E611" s="631"/>
      <c r="F611" s="631"/>
      <c r="G611" s="632"/>
      <c r="H611" s="584"/>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5"/>
      <c r="AL611" s="585"/>
      <c r="AM611" s="585"/>
      <c r="AN611" s="585"/>
      <c r="AO611" s="585"/>
      <c r="AP611" s="585"/>
      <c r="AQ611" s="585"/>
      <c r="AR611" s="585"/>
      <c r="AS611" s="585"/>
      <c r="AT611" s="585"/>
      <c r="AU611" s="585"/>
      <c r="AV611" s="585"/>
      <c r="AW611" s="585"/>
      <c r="AX611" s="585"/>
      <c r="AY611" s="585"/>
      <c r="AZ611" s="585"/>
      <c r="BA611" s="585"/>
      <c r="BB611" s="586"/>
      <c r="BC611" s="544"/>
      <c r="BD611" s="545"/>
      <c r="BE611" s="545"/>
      <c r="BF611" s="545"/>
      <c r="BG611" s="545"/>
      <c r="BH611" s="545"/>
      <c r="BI611" s="545"/>
      <c r="BJ611" s="545"/>
      <c r="BK611" s="545"/>
      <c r="BL611" s="545"/>
      <c r="BM611" s="545"/>
      <c r="BN611" s="545"/>
      <c r="BO611" s="545"/>
      <c r="BP611" s="545"/>
      <c r="BQ611" s="545"/>
      <c r="BR611" s="546"/>
      <c r="BS611" s="627"/>
      <c r="BT611" s="628"/>
      <c r="BU611" s="628"/>
      <c r="BV611" s="628"/>
      <c r="BW611" s="628"/>
      <c r="BX611" s="628"/>
      <c r="BY611" s="628"/>
      <c r="BZ611" s="628"/>
      <c r="CA611" s="628"/>
      <c r="CB611" s="628"/>
      <c r="CC611" s="628"/>
      <c r="CD611" s="628"/>
      <c r="CE611" s="628"/>
      <c r="CF611" s="628"/>
      <c r="CG611" s="628"/>
      <c r="CH611" s="629"/>
      <c r="CI611" s="627"/>
      <c r="CJ611" s="628"/>
      <c r="CK611" s="628"/>
      <c r="CL611" s="628"/>
      <c r="CM611" s="628"/>
      <c r="CN611" s="628"/>
      <c r="CO611" s="628"/>
      <c r="CP611" s="628"/>
      <c r="CQ611" s="628"/>
      <c r="CR611" s="628"/>
      <c r="CS611" s="628"/>
      <c r="CT611" s="628"/>
      <c r="CU611" s="628"/>
      <c r="CV611" s="628"/>
      <c r="CW611" s="628"/>
      <c r="CX611" s="628"/>
      <c r="CY611" s="628"/>
      <c r="CZ611" s="629"/>
      <c r="DA611" s="243"/>
    </row>
    <row r="612" spans="1:105" ht="23.25" hidden="1" customHeight="1" x14ac:dyDescent="0.25">
      <c r="A612" s="630"/>
      <c r="B612" s="631"/>
      <c r="C612" s="631"/>
      <c r="D612" s="631"/>
      <c r="E612" s="631"/>
      <c r="F612" s="631"/>
      <c r="G612" s="632"/>
      <c r="H612" s="584"/>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5"/>
      <c r="AL612" s="585"/>
      <c r="AM612" s="585"/>
      <c r="AN612" s="585"/>
      <c r="AO612" s="585"/>
      <c r="AP612" s="585"/>
      <c r="AQ612" s="585"/>
      <c r="AR612" s="585"/>
      <c r="AS612" s="585"/>
      <c r="AT612" s="585"/>
      <c r="AU612" s="585"/>
      <c r="AV612" s="585"/>
      <c r="AW612" s="585"/>
      <c r="AX612" s="585"/>
      <c r="AY612" s="585"/>
      <c r="AZ612" s="585"/>
      <c r="BA612" s="585"/>
      <c r="BB612" s="586"/>
      <c r="BC612" s="544"/>
      <c r="BD612" s="545"/>
      <c r="BE612" s="545"/>
      <c r="BF612" s="545"/>
      <c r="BG612" s="545"/>
      <c r="BH612" s="545"/>
      <c r="BI612" s="545"/>
      <c r="BJ612" s="545"/>
      <c r="BK612" s="545"/>
      <c r="BL612" s="545"/>
      <c r="BM612" s="545"/>
      <c r="BN612" s="545"/>
      <c r="BO612" s="545"/>
      <c r="BP612" s="545"/>
      <c r="BQ612" s="545"/>
      <c r="BR612" s="546"/>
      <c r="BS612" s="627"/>
      <c r="BT612" s="628"/>
      <c r="BU612" s="628"/>
      <c r="BV612" s="628"/>
      <c r="BW612" s="628"/>
      <c r="BX612" s="628"/>
      <c r="BY612" s="628"/>
      <c r="BZ612" s="628"/>
      <c r="CA612" s="628"/>
      <c r="CB612" s="628"/>
      <c r="CC612" s="628"/>
      <c r="CD612" s="628"/>
      <c r="CE612" s="628"/>
      <c r="CF612" s="628"/>
      <c r="CG612" s="628"/>
      <c r="CH612" s="629"/>
      <c r="CI612" s="627"/>
      <c r="CJ612" s="628"/>
      <c r="CK612" s="628"/>
      <c r="CL612" s="628"/>
      <c r="CM612" s="628"/>
      <c r="CN612" s="628"/>
      <c r="CO612" s="628"/>
      <c r="CP612" s="628"/>
      <c r="CQ612" s="628"/>
      <c r="CR612" s="628"/>
      <c r="CS612" s="628"/>
      <c r="CT612" s="628"/>
      <c r="CU612" s="628"/>
      <c r="CV612" s="628"/>
      <c r="CW612" s="628"/>
      <c r="CX612" s="628"/>
      <c r="CY612" s="628"/>
      <c r="CZ612" s="629"/>
      <c r="DA612" s="243"/>
    </row>
    <row r="613" spans="1:105" ht="23.25" hidden="1" customHeight="1" x14ac:dyDescent="0.25">
      <c r="A613" s="630"/>
      <c r="B613" s="631"/>
      <c r="C613" s="631"/>
      <c r="D613" s="631"/>
      <c r="E613" s="631"/>
      <c r="F613" s="631"/>
      <c r="G613" s="632"/>
      <c r="H613" s="584"/>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5"/>
      <c r="AL613" s="585"/>
      <c r="AM613" s="585"/>
      <c r="AN613" s="585"/>
      <c r="AO613" s="585"/>
      <c r="AP613" s="585"/>
      <c r="AQ613" s="585"/>
      <c r="AR613" s="585"/>
      <c r="AS613" s="585"/>
      <c r="AT613" s="585"/>
      <c r="AU613" s="585"/>
      <c r="AV613" s="585"/>
      <c r="AW613" s="585"/>
      <c r="AX613" s="585"/>
      <c r="AY613" s="585"/>
      <c r="AZ613" s="585"/>
      <c r="BA613" s="585"/>
      <c r="BB613" s="586"/>
      <c r="BC613" s="544"/>
      <c r="BD613" s="545"/>
      <c r="BE613" s="545"/>
      <c r="BF613" s="545"/>
      <c r="BG613" s="545"/>
      <c r="BH613" s="545"/>
      <c r="BI613" s="545"/>
      <c r="BJ613" s="545"/>
      <c r="BK613" s="545"/>
      <c r="BL613" s="545"/>
      <c r="BM613" s="545"/>
      <c r="BN613" s="545"/>
      <c r="BO613" s="545"/>
      <c r="BP613" s="545"/>
      <c r="BQ613" s="545"/>
      <c r="BR613" s="546"/>
      <c r="BS613" s="627"/>
      <c r="BT613" s="628"/>
      <c r="BU613" s="628"/>
      <c r="BV613" s="628"/>
      <c r="BW613" s="628"/>
      <c r="BX613" s="628"/>
      <c r="BY613" s="628"/>
      <c r="BZ613" s="628"/>
      <c r="CA613" s="628"/>
      <c r="CB613" s="628"/>
      <c r="CC613" s="628"/>
      <c r="CD613" s="628"/>
      <c r="CE613" s="628"/>
      <c r="CF613" s="628"/>
      <c r="CG613" s="628"/>
      <c r="CH613" s="629"/>
      <c r="CI613" s="627"/>
      <c r="CJ613" s="628"/>
      <c r="CK613" s="628"/>
      <c r="CL613" s="628"/>
      <c r="CM613" s="628"/>
      <c r="CN613" s="628"/>
      <c r="CO613" s="628"/>
      <c r="CP613" s="628"/>
      <c r="CQ613" s="628"/>
      <c r="CR613" s="628"/>
      <c r="CS613" s="628"/>
      <c r="CT613" s="628"/>
      <c r="CU613" s="628"/>
      <c r="CV613" s="628"/>
      <c r="CW613" s="628"/>
      <c r="CX613" s="628"/>
      <c r="CY613" s="628"/>
      <c r="CZ613" s="629"/>
      <c r="DA613" s="243"/>
    </row>
    <row r="614" spans="1:105" ht="23.25" hidden="1" customHeight="1" x14ac:dyDescent="0.25">
      <c r="A614" s="630"/>
      <c r="B614" s="631"/>
      <c r="C614" s="631"/>
      <c r="D614" s="631"/>
      <c r="E614" s="631"/>
      <c r="F614" s="631"/>
      <c r="G614" s="632"/>
      <c r="H614" s="584"/>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5"/>
      <c r="AL614" s="585"/>
      <c r="AM614" s="585"/>
      <c r="AN614" s="585"/>
      <c r="AO614" s="585"/>
      <c r="AP614" s="585"/>
      <c r="AQ614" s="585"/>
      <c r="AR614" s="585"/>
      <c r="AS614" s="585"/>
      <c r="AT614" s="585"/>
      <c r="AU614" s="585"/>
      <c r="AV614" s="585"/>
      <c r="AW614" s="585"/>
      <c r="AX614" s="585"/>
      <c r="AY614" s="585"/>
      <c r="AZ614" s="585"/>
      <c r="BA614" s="585"/>
      <c r="BB614" s="586"/>
      <c r="BC614" s="544"/>
      <c r="BD614" s="545"/>
      <c r="BE614" s="545"/>
      <c r="BF614" s="545"/>
      <c r="BG614" s="545"/>
      <c r="BH614" s="545"/>
      <c r="BI614" s="545"/>
      <c r="BJ614" s="545"/>
      <c r="BK614" s="545"/>
      <c r="BL614" s="545"/>
      <c r="BM614" s="545"/>
      <c r="BN614" s="545"/>
      <c r="BO614" s="545"/>
      <c r="BP614" s="545"/>
      <c r="BQ614" s="545"/>
      <c r="BR614" s="546"/>
      <c r="BS614" s="627"/>
      <c r="BT614" s="628"/>
      <c r="BU614" s="628"/>
      <c r="BV614" s="628"/>
      <c r="BW614" s="628"/>
      <c r="BX614" s="628"/>
      <c r="BY614" s="628"/>
      <c r="BZ614" s="628"/>
      <c r="CA614" s="628"/>
      <c r="CB614" s="628"/>
      <c r="CC614" s="628"/>
      <c r="CD614" s="628"/>
      <c r="CE614" s="628"/>
      <c r="CF614" s="628"/>
      <c r="CG614" s="628"/>
      <c r="CH614" s="629"/>
      <c r="CI614" s="627"/>
      <c r="CJ614" s="628"/>
      <c r="CK614" s="628"/>
      <c r="CL614" s="628"/>
      <c r="CM614" s="628"/>
      <c r="CN614" s="628"/>
      <c r="CO614" s="628"/>
      <c r="CP614" s="628"/>
      <c r="CQ614" s="628"/>
      <c r="CR614" s="628"/>
      <c r="CS614" s="628"/>
      <c r="CT614" s="628"/>
      <c r="CU614" s="628"/>
      <c r="CV614" s="628"/>
      <c r="CW614" s="628"/>
      <c r="CX614" s="628"/>
      <c r="CY614" s="628"/>
      <c r="CZ614" s="629"/>
      <c r="DA614" s="243"/>
    </row>
    <row r="615" spans="1:105" ht="23.25" hidden="1" customHeight="1" x14ac:dyDescent="0.25">
      <c r="A615" s="630"/>
      <c r="B615" s="631"/>
      <c r="C615" s="631"/>
      <c r="D615" s="631"/>
      <c r="E615" s="631"/>
      <c r="F615" s="631"/>
      <c r="G615" s="632"/>
      <c r="H615" s="584"/>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5"/>
      <c r="AL615" s="585"/>
      <c r="AM615" s="585"/>
      <c r="AN615" s="585"/>
      <c r="AO615" s="585"/>
      <c r="AP615" s="585"/>
      <c r="AQ615" s="585"/>
      <c r="AR615" s="585"/>
      <c r="AS615" s="585"/>
      <c r="AT615" s="585"/>
      <c r="AU615" s="585"/>
      <c r="AV615" s="585"/>
      <c r="AW615" s="585"/>
      <c r="AX615" s="585"/>
      <c r="AY615" s="585"/>
      <c r="AZ615" s="585"/>
      <c r="BA615" s="585"/>
      <c r="BB615" s="586"/>
      <c r="BC615" s="544"/>
      <c r="BD615" s="545"/>
      <c r="BE615" s="545"/>
      <c r="BF615" s="545"/>
      <c r="BG615" s="545"/>
      <c r="BH615" s="545"/>
      <c r="BI615" s="545"/>
      <c r="BJ615" s="545"/>
      <c r="BK615" s="545"/>
      <c r="BL615" s="545"/>
      <c r="BM615" s="545"/>
      <c r="BN615" s="545"/>
      <c r="BO615" s="545"/>
      <c r="BP615" s="545"/>
      <c r="BQ615" s="545"/>
      <c r="BR615" s="546"/>
      <c r="BS615" s="627"/>
      <c r="BT615" s="628"/>
      <c r="BU615" s="628"/>
      <c r="BV615" s="628"/>
      <c r="BW615" s="628"/>
      <c r="BX615" s="628"/>
      <c r="BY615" s="628"/>
      <c r="BZ615" s="628"/>
      <c r="CA615" s="628"/>
      <c r="CB615" s="628"/>
      <c r="CC615" s="628"/>
      <c r="CD615" s="628"/>
      <c r="CE615" s="628"/>
      <c r="CF615" s="628"/>
      <c r="CG615" s="628"/>
      <c r="CH615" s="629"/>
      <c r="CI615" s="627"/>
      <c r="CJ615" s="628"/>
      <c r="CK615" s="628"/>
      <c r="CL615" s="628"/>
      <c r="CM615" s="628"/>
      <c r="CN615" s="628"/>
      <c r="CO615" s="628"/>
      <c r="CP615" s="628"/>
      <c r="CQ615" s="628"/>
      <c r="CR615" s="628"/>
      <c r="CS615" s="628"/>
      <c r="CT615" s="628"/>
      <c r="CU615" s="628"/>
      <c r="CV615" s="628"/>
      <c r="CW615" s="628"/>
      <c r="CX615" s="628"/>
      <c r="CY615" s="628"/>
      <c r="CZ615" s="629"/>
      <c r="DA615" s="243"/>
    </row>
    <row r="616" spans="1:105" ht="23.25" hidden="1" customHeight="1" x14ac:dyDescent="0.25">
      <c r="A616" s="630"/>
      <c r="B616" s="631"/>
      <c r="C616" s="631"/>
      <c r="D616" s="631"/>
      <c r="E616" s="631"/>
      <c r="F616" s="631"/>
      <c r="G616" s="632"/>
      <c r="H616" s="584"/>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5"/>
      <c r="AL616" s="585"/>
      <c r="AM616" s="585"/>
      <c r="AN616" s="585"/>
      <c r="AO616" s="585"/>
      <c r="AP616" s="585"/>
      <c r="AQ616" s="585"/>
      <c r="AR616" s="585"/>
      <c r="AS616" s="585"/>
      <c r="AT616" s="585"/>
      <c r="AU616" s="585"/>
      <c r="AV616" s="585"/>
      <c r="AW616" s="585"/>
      <c r="AX616" s="585"/>
      <c r="AY616" s="585"/>
      <c r="AZ616" s="585"/>
      <c r="BA616" s="585"/>
      <c r="BB616" s="586"/>
      <c r="BC616" s="544"/>
      <c r="BD616" s="545"/>
      <c r="BE616" s="545"/>
      <c r="BF616" s="545"/>
      <c r="BG616" s="545"/>
      <c r="BH616" s="545"/>
      <c r="BI616" s="545"/>
      <c r="BJ616" s="545"/>
      <c r="BK616" s="545"/>
      <c r="BL616" s="545"/>
      <c r="BM616" s="545"/>
      <c r="BN616" s="545"/>
      <c r="BO616" s="545"/>
      <c r="BP616" s="545"/>
      <c r="BQ616" s="545"/>
      <c r="BR616" s="546"/>
      <c r="BS616" s="627"/>
      <c r="BT616" s="628"/>
      <c r="BU616" s="628"/>
      <c r="BV616" s="628"/>
      <c r="BW616" s="628"/>
      <c r="BX616" s="628"/>
      <c r="BY616" s="628"/>
      <c r="BZ616" s="628"/>
      <c r="CA616" s="628"/>
      <c r="CB616" s="628"/>
      <c r="CC616" s="628"/>
      <c r="CD616" s="628"/>
      <c r="CE616" s="628"/>
      <c r="CF616" s="628"/>
      <c r="CG616" s="628"/>
      <c r="CH616" s="629"/>
      <c r="CI616" s="627"/>
      <c r="CJ616" s="628"/>
      <c r="CK616" s="628"/>
      <c r="CL616" s="628"/>
      <c r="CM616" s="628"/>
      <c r="CN616" s="628"/>
      <c r="CO616" s="628"/>
      <c r="CP616" s="628"/>
      <c r="CQ616" s="628"/>
      <c r="CR616" s="628"/>
      <c r="CS616" s="628"/>
      <c r="CT616" s="628"/>
      <c r="CU616" s="628"/>
      <c r="CV616" s="628"/>
      <c r="CW616" s="628"/>
      <c r="CX616" s="628"/>
      <c r="CY616" s="628"/>
      <c r="CZ616" s="629"/>
      <c r="DA616" s="243"/>
    </row>
    <row r="617" spans="1:105" ht="23.25" hidden="1" customHeight="1" x14ac:dyDescent="0.25">
      <c r="A617" s="633" t="s">
        <v>292</v>
      </c>
      <c r="B617" s="634"/>
      <c r="C617" s="634"/>
      <c r="D617" s="634"/>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c r="AA617" s="634"/>
      <c r="AB617" s="634"/>
      <c r="AC617" s="634"/>
      <c r="AD617" s="634"/>
      <c r="AE617" s="634"/>
      <c r="AF617" s="634"/>
      <c r="AG617" s="634"/>
      <c r="AH617" s="634"/>
      <c r="AI617" s="634"/>
      <c r="AJ617" s="634"/>
      <c r="AK617" s="634"/>
      <c r="AL617" s="634"/>
      <c r="AM617" s="634"/>
      <c r="AN617" s="634"/>
      <c r="AO617" s="634"/>
      <c r="AP617" s="634"/>
      <c r="AQ617" s="634"/>
      <c r="AR617" s="634"/>
      <c r="AS617" s="634"/>
      <c r="AT617" s="634"/>
      <c r="AU617" s="634"/>
      <c r="AV617" s="634"/>
      <c r="AW617" s="634"/>
      <c r="AX617" s="634"/>
      <c r="AY617" s="634"/>
      <c r="AZ617" s="634"/>
      <c r="BA617" s="634"/>
      <c r="BB617" s="635"/>
      <c r="BC617" s="582" t="s">
        <v>4</v>
      </c>
      <c r="BD617" s="582"/>
      <c r="BE617" s="582"/>
      <c r="BF617" s="582"/>
      <c r="BG617" s="582"/>
      <c r="BH617" s="582"/>
      <c r="BI617" s="582"/>
      <c r="BJ617" s="582"/>
      <c r="BK617" s="582"/>
      <c r="BL617" s="582"/>
      <c r="BM617" s="582"/>
      <c r="BN617" s="582"/>
      <c r="BO617" s="582"/>
      <c r="BP617" s="582"/>
      <c r="BQ617" s="582"/>
      <c r="BR617" s="582"/>
      <c r="BS617" s="582" t="s">
        <v>4</v>
      </c>
      <c r="BT617" s="582"/>
      <c r="BU617" s="582"/>
      <c r="BV617" s="582"/>
      <c r="BW617" s="582"/>
      <c r="BX617" s="582"/>
      <c r="BY617" s="582"/>
      <c r="BZ617" s="582"/>
      <c r="CA617" s="582"/>
      <c r="CB617" s="582"/>
      <c r="CC617" s="582"/>
      <c r="CD617" s="582"/>
      <c r="CE617" s="582"/>
      <c r="CF617" s="582"/>
      <c r="CG617" s="582"/>
      <c r="CH617" s="582"/>
      <c r="CI617" s="636">
        <f>CI594+CI595+CI596+CI598+CI599+CI600+CI601+CI602+CI603+CI604+CI605+CI597+CI610+CI611+CI612+CI606+CI607+CI608+CI609+CI613+CI614+CI615+CI616</f>
        <v>0</v>
      </c>
      <c r="CJ617" s="637"/>
      <c r="CK617" s="637"/>
      <c r="CL617" s="637"/>
      <c r="CM617" s="637"/>
      <c r="CN617" s="637"/>
      <c r="CO617" s="637"/>
      <c r="CP617" s="637"/>
      <c r="CQ617" s="637"/>
      <c r="CR617" s="637"/>
      <c r="CS617" s="637"/>
      <c r="CT617" s="637"/>
      <c r="CU617" s="637"/>
      <c r="CV617" s="637"/>
      <c r="CW617" s="637"/>
      <c r="CX617" s="637"/>
      <c r="CY617" s="637"/>
      <c r="CZ617" s="638"/>
      <c r="DA617" s="243"/>
    </row>
    <row r="618" spans="1:105" ht="23.25" hidden="1" customHeight="1" x14ac:dyDescent="0.25">
      <c r="A618" s="648" t="s">
        <v>573</v>
      </c>
      <c r="B618" s="649"/>
      <c r="C618" s="649"/>
      <c r="D618" s="649"/>
      <c r="E618" s="649"/>
      <c r="F618" s="649"/>
      <c r="G618" s="649"/>
      <c r="H618" s="649"/>
      <c r="I618" s="649"/>
      <c r="J618" s="649"/>
      <c r="K618" s="649"/>
      <c r="L618" s="649"/>
      <c r="M618" s="649"/>
      <c r="N618" s="649"/>
      <c r="O618" s="649"/>
      <c r="P618" s="649"/>
      <c r="Q618" s="649"/>
      <c r="R618" s="649"/>
      <c r="S618" s="649"/>
      <c r="T618" s="649"/>
      <c r="U618" s="649"/>
      <c r="V618" s="649"/>
      <c r="W618" s="649"/>
      <c r="X618" s="649"/>
      <c r="Y618" s="649"/>
      <c r="Z618" s="649"/>
      <c r="AA618" s="649"/>
      <c r="AB618" s="649"/>
      <c r="AC618" s="649"/>
      <c r="AD618" s="649"/>
      <c r="AE618" s="649"/>
      <c r="AF618" s="649"/>
      <c r="AG618" s="649"/>
      <c r="AH618" s="649"/>
      <c r="AI618" s="649"/>
      <c r="AJ618" s="649"/>
      <c r="AK618" s="649"/>
      <c r="AL618" s="649"/>
      <c r="AM618" s="649"/>
      <c r="AN618" s="649"/>
      <c r="AO618" s="649"/>
      <c r="AP618" s="649"/>
      <c r="AQ618" s="649"/>
      <c r="AR618" s="649"/>
      <c r="AS618" s="649"/>
      <c r="AT618" s="649"/>
      <c r="AU618" s="649"/>
      <c r="AV618" s="649"/>
      <c r="AW618" s="649"/>
      <c r="AX618" s="649"/>
      <c r="AY618" s="649"/>
      <c r="AZ618" s="649"/>
      <c r="BA618" s="649"/>
      <c r="BB618" s="649"/>
      <c r="BC618" s="649"/>
      <c r="BD618" s="649"/>
      <c r="BE618" s="649"/>
      <c r="BF618" s="649"/>
      <c r="BG618" s="649"/>
      <c r="BH618" s="649"/>
      <c r="BI618" s="649"/>
      <c r="BJ618" s="649"/>
      <c r="BK618" s="649"/>
      <c r="BL618" s="649"/>
      <c r="BM618" s="649"/>
      <c r="BN618" s="649"/>
      <c r="BO618" s="649"/>
      <c r="BP618" s="649"/>
      <c r="BQ618" s="649"/>
      <c r="BR618" s="649"/>
      <c r="BS618" s="649"/>
      <c r="BT618" s="649"/>
      <c r="BU618" s="649"/>
      <c r="BV618" s="649"/>
      <c r="BW618" s="649"/>
      <c r="BX618" s="649"/>
      <c r="BY618" s="649"/>
      <c r="BZ618" s="649"/>
      <c r="CA618" s="649"/>
      <c r="CB618" s="649"/>
      <c r="CC618" s="649"/>
      <c r="CD618" s="649"/>
      <c r="CE618" s="649"/>
      <c r="CF618" s="649"/>
      <c r="CG618" s="649"/>
      <c r="CH618" s="649"/>
      <c r="CI618" s="649"/>
      <c r="CJ618" s="649"/>
      <c r="CK618" s="649"/>
      <c r="CL618" s="649"/>
      <c r="CM618" s="649"/>
      <c r="CN618" s="649"/>
      <c r="CO618" s="649"/>
      <c r="CP618" s="649"/>
      <c r="CQ618" s="649"/>
      <c r="CR618" s="649"/>
      <c r="CS618" s="649"/>
      <c r="CT618" s="649"/>
      <c r="CU618" s="649"/>
      <c r="CV618" s="649"/>
      <c r="CW618" s="649"/>
      <c r="CX618" s="649"/>
      <c r="CY618" s="649"/>
      <c r="CZ618" s="650"/>
      <c r="DA618" s="243"/>
    </row>
    <row r="619" spans="1:105" ht="23.25" hidden="1" customHeight="1" x14ac:dyDescent="0.25">
      <c r="A619" s="630" t="s">
        <v>441</v>
      </c>
      <c r="B619" s="631"/>
      <c r="C619" s="631"/>
      <c r="D619" s="631"/>
      <c r="E619" s="631"/>
      <c r="F619" s="631"/>
      <c r="G619" s="632"/>
      <c r="H619" s="584" t="s">
        <v>868</v>
      </c>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5"/>
      <c r="AL619" s="585"/>
      <c r="AM619" s="585"/>
      <c r="AN619" s="585"/>
      <c r="AO619" s="585"/>
      <c r="AP619" s="585"/>
      <c r="AQ619" s="585"/>
      <c r="AR619" s="585"/>
      <c r="AS619" s="585"/>
      <c r="AT619" s="585"/>
      <c r="AU619" s="585"/>
      <c r="AV619" s="585"/>
      <c r="AW619" s="585"/>
      <c r="AX619" s="585"/>
      <c r="AY619" s="585"/>
      <c r="AZ619" s="585"/>
      <c r="BA619" s="585"/>
      <c r="BB619" s="586"/>
      <c r="BC619" s="544"/>
      <c r="BD619" s="545"/>
      <c r="BE619" s="545"/>
      <c r="BF619" s="545"/>
      <c r="BG619" s="545"/>
      <c r="BH619" s="545"/>
      <c r="BI619" s="545"/>
      <c r="BJ619" s="545"/>
      <c r="BK619" s="545"/>
      <c r="BL619" s="545"/>
      <c r="BM619" s="545"/>
      <c r="BN619" s="545"/>
      <c r="BO619" s="545"/>
      <c r="BP619" s="545"/>
      <c r="BQ619" s="545"/>
      <c r="BR619" s="546"/>
      <c r="BS619" s="627"/>
      <c r="BT619" s="628"/>
      <c r="BU619" s="628"/>
      <c r="BV619" s="628"/>
      <c r="BW619" s="628"/>
      <c r="BX619" s="628"/>
      <c r="BY619" s="628"/>
      <c r="BZ619" s="628"/>
      <c r="CA619" s="628"/>
      <c r="CB619" s="628"/>
      <c r="CC619" s="628"/>
      <c r="CD619" s="628"/>
      <c r="CE619" s="628"/>
      <c r="CF619" s="628"/>
      <c r="CG619" s="628"/>
      <c r="CH619" s="629"/>
      <c r="CI619" s="627">
        <f>BC619*BS619</f>
        <v>0</v>
      </c>
      <c r="CJ619" s="628"/>
      <c r="CK619" s="628"/>
      <c r="CL619" s="628"/>
      <c r="CM619" s="628"/>
      <c r="CN619" s="628"/>
      <c r="CO619" s="628"/>
      <c r="CP619" s="628"/>
      <c r="CQ619" s="628"/>
      <c r="CR619" s="628"/>
      <c r="CS619" s="628"/>
      <c r="CT619" s="628"/>
      <c r="CU619" s="628"/>
      <c r="CV619" s="628"/>
      <c r="CW619" s="628"/>
      <c r="CX619" s="628"/>
      <c r="CY619" s="628"/>
      <c r="CZ619" s="629"/>
      <c r="DA619" s="243"/>
    </row>
    <row r="620" spans="1:105" ht="23.25" hidden="1" customHeight="1" x14ac:dyDescent="0.25">
      <c r="A620" s="630" t="s">
        <v>444</v>
      </c>
      <c r="B620" s="631"/>
      <c r="C620" s="631"/>
      <c r="D620" s="631"/>
      <c r="E620" s="631"/>
      <c r="F620" s="631"/>
      <c r="G620" s="632"/>
      <c r="H620" s="584" t="s">
        <v>807</v>
      </c>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5"/>
      <c r="AL620" s="585"/>
      <c r="AM620" s="585"/>
      <c r="AN620" s="585"/>
      <c r="AO620" s="585"/>
      <c r="AP620" s="585"/>
      <c r="AQ620" s="585"/>
      <c r="AR620" s="585"/>
      <c r="AS620" s="585"/>
      <c r="AT620" s="585"/>
      <c r="AU620" s="585"/>
      <c r="AV620" s="585"/>
      <c r="AW620" s="585"/>
      <c r="AX620" s="585"/>
      <c r="AY620" s="585"/>
      <c r="AZ620" s="585"/>
      <c r="BA620" s="585"/>
      <c r="BB620" s="586"/>
      <c r="BC620" s="544"/>
      <c r="BD620" s="545"/>
      <c r="BE620" s="545"/>
      <c r="BF620" s="545"/>
      <c r="BG620" s="545"/>
      <c r="BH620" s="545"/>
      <c r="BI620" s="545"/>
      <c r="BJ620" s="545"/>
      <c r="BK620" s="545"/>
      <c r="BL620" s="545"/>
      <c r="BM620" s="545"/>
      <c r="BN620" s="545"/>
      <c r="BO620" s="545"/>
      <c r="BP620" s="545"/>
      <c r="BQ620" s="545"/>
      <c r="BR620" s="546"/>
      <c r="BS620" s="627"/>
      <c r="BT620" s="628"/>
      <c r="BU620" s="628"/>
      <c r="BV620" s="628"/>
      <c r="BW620" s="628"/>
      <c r="BX620" s="628"/>
      <c r="BY620" s="628"/>
      <c r="BZ620" s="628"/>
      <c r="CA620" s="628"/>
      <c r="CB620" s="628"/>
      <c r="CC620" s="628"/>
      <c r="CD620" s="628"/>
      <c r="CE620" s="628"/>
      <c r="CF620" s="628"/>
      <c r="CG620" s="628"/>
      <c r="CH620" s="629"/>
      <c r="CI620" s="627">
        <f t="shared" ref="CI620:CI641" si="9">BC620*BS620</f>
        <v>0</v>
      </c>
      <c r="CJ620" s="628"/>
      <c r="CK620" s="628"/>
      <c r="CL620" s="628"/>
      <c r="CM620" s="628"/>
      <c r="CN620" s="628"/>
      <c r="CO620" s="628"/>
      <c r="CP620" s="628"/>
      <c r="CQ620" s="628"/>
      <c r="CR620" s="628"/>
      <c r="CS620" s="628"/>
      <c r="CT620" s="628"/>
      <c r="CU620" s="628"/>
      <c r="CV620" s="628"/>
      <c r="CW620" s="628"/>
      <c r="CX620" s="628"/>
      <c r="CY620" s="628"/>
      <c r="CZ620" s="629"/>
      <c r="DA620" s="243"/>
    </row>
    <row r="621" spans="1:105" ht="23.25" hidden="1" customHeight="1" x14ac:dyDescent="0.25">
      <c r="A621" s="630" t="s">
        <v>446</v>
      </c>
      <c r="B621" s="631"/>
      <c r="C621" s="631"/>
      <c r="D621" s="631"/>
      <c r="E621" s="631"/>
      <c r="F621" s="631"/>
      <c r="G621" s="632"/>
      <c r="H621" s="584" t="s">
        <v>808</v>
      </c>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5"/>
      <c r="AL621" s="585"/>
      <c r="AM621" s="585"/>
      <c r="AN621" s="585"/>
      <c r="AO621" s="585"/>
      <c r="AP621" s="585"/>
      <c r="AQ621" s="585"/>
      <c r="AR621" s="585"/>
      <c r="AS621" s="585"/>
      <c r="AT621" s="585"/>
      <c r="AU621" s="585"/>
      <c r="AV621" s="585"/>
      <c r="AW621" s="585"/>
      <c r="AX621" s="585"/>
      <c r="AY621" s="585"/>
      <c r="AZ621" s="585"/>
      <c r="BA621" s="585"/>
      <c r="BB621" s="586"/>
      <c r="BC621" s="544"/>
      <c r="BD621" s="545"/>
      <c r="BE621" s="545"/>
      <c r="BF621" s="545"/>
      <c r="BG621" s="545"/>
      <c r="BH621" s="545"/>
      <c r="BI621" s="545"/>
      <c r="BJ621" s="545"/>
      <c r="BK621" s="545"/>
      <c r="BL621" s="545"/>
      <c r="BM621" s="545"/>
      <c r="BN621" s="545"/>
      <c r="BO621" s="545"/>
      <c r="BP621" s="545"/>
      <c r="BQ621" s="545"/>
      <c r="BR621" s="546"/>
      <c r="BS621" s="627"/>
      <c r="BT621" s="628"/>
      <c r="BU621" s="628"/>
      <c r="BV621" s="628"/>
      <c r="BW621" s="628"/>
      <c r="BX621" s="628"/>
      <c r="BY621" s="628"/>
      <c r="BZ621" s="628"/>
      <c r="CA621" s="628"/>
      <c r="CB621" s="628"/>
      <c r="CC621" s="628"/>
      <c r="CD621" s="628"/>
      <c r="CE621" s="628"/>
      <c r="CF621" s="628"/>
      <c r="CG621" s="628"/>
      <c r="CH621" s="629"/>
      <c r="CI621" s="627">
        <f t="shared" si="9"/>
        <v>0</v>
      </c>
      <c r="CJ621" s="628"/>
      <c r="CK621" s="628"/>
      <c r="CL621" s="628"/>
      <c r="CM621" s="628"/>
      <c r="CN621" s="628"/>
      <c r="CO621" s="628"/>
      <c r="CP621" s="628"/>
      <c r="CQ621" s="628"/>
      <c r="CR621" s="628"/>
      <c r="CS621" s="628"/>
      <c r="CT621" s="628"/>
      <c r="CU621" s="628"/>
      <c r="CV621" s="628"/>
      <c r="CW621" s="628"/>
      <c r="CX621" s="628"/>
      <c r="CY621" s="628"/>
      <c r="CZ621" s="629"/>
      <c r="DA621" s="243"/>
    </row>
    <row r="622" spans="1:105" ht="23.25" hidden="1" customHeight="1" x14ac:dyDescent="0.25">
      <c r="A622" s="630" t="s">
        <v>441</v>
      </c>
      <c r="B622" s="631"/>
      <c r="C622" s="631"/>
      <c r="D622" s="631"/>
      <c r="E622" s="631"/>
      <c r="F622" s="631"/>
      <c r="G622" s="632"/>
      <c r="H622" s="584" t="s">
        <v>809</v>
      </c>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5"/>
      <c r="AL622" s="585"/>
      <c r="AM622" s="585"/>
      <c r="AN622" s="585"/>
      <c r="AO622" s="585"/>
      <c r="AP622" s="585"/>
      <c r="AQ622" s="585"/>
      <c r="AR622" s="585"/>
      <c r="AS622" s="585"/>
      <c r="AT622" s="585"/>
      <c r="AU622" s="585"/>
      <c r="AV622" s="585"/>
      <c r="AW622" s="585"/>
      <c r="AX622" s="585"/>
      <c r="AY622" s="585"/>
      <c r="AZ622" s="585"/>
      <c r="BA622" s="585"/>
      <c r="BB622" s="586"/>
      <c r="BC622" s="544"/>
      <c r="BD622" s="545"/>
      <c r="BE622" s="545"/>
      <c r="BF622" s="545"/>
      <c r="BG622" s="545"/>
      <c r="BH622" s="545"/>
      <c r="BI622" s="545"/>
      <c r="BJ622" s="545"/>
      <c r="BK622" s="545"/>
      <c r="BL622" s="545"/>
      <c r="BM622" s="545"/>
      <c r="BN622" s="545"/>
      <c r="BO622" s="545"/>
      <c r="BP622" s="545"/>
      <c r="BQ622" s="545"/>
      <c r="BR622" s="546"/>
      <c r="BS622" s="627"/>
      <c r="BT622" s="628"/>
      <c r="BU622" s="628"/>
      <c r="BV622" s="628"/>
      <c r="BW622" s="628"/>
      <c r="BX622" s="628"/>
      <c r="BY622" s="628"/>
      <c r="BZ622" s="628"/>
      <c r="CA622" s="628"/>
      <c r="CB622" s="628"/>
      <c r="CC622" s="628"/>
      <c r="CD622" s="628"/>
      <c r="CE622" s="628"/>
      <c r="CF622" s="628"/>
      <c r="CG622" s="628"/>
      <c r="CH622" s="629"/>
      <c r="CI622" s="627">
        <f t="shared" si="9"/>
        <v>0</v>
      </c>
      <c r="CJ622" s="628"/>
      <c r="CK622" s="628"/>
      <c r="CL622" s="628"/>
      <c r="CM622" s="628"/>
      <c r="CN622" s="628"/>
      <c r="CO622" s="628"/>
      <c r="CP622" s="628"/>
      <c r="CQ622" s="628"/>
      <c r="CR622" s="628"/>
      <c r="CS622" s="628"/>
      <c r="CT622" s="628"/>
      <c r="CU622" s="628"/>
      <c r="CV622" s="628"/>
      <c r="CW622" s="628"/>
      <c r="CX622" s="628"/>
      <c r="CY622" s="628"/>
      <c r="CZ622" s="629"/>
      <c r="DA622" s="243"/>
    </row>
    <row r="623" spans="1:105" ht="23.25" hidden="1" customHeight="1" x14ac:dyDescent="0.25">
      <c r="A623" s="630" t="s">
        <v>444</v>
      </c>
      <c r="B623" s="631"/>
      <c r="C623" s="631"/>
      <c r="D623" s="631"/>
      <c r="E623" s="631"/>
      <c r="F623" s="631"/>
      <c r="G623" s="632"/>
      <c r="H623" s="584" t="s">
        <v>810</v>
      </c>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5"/>
      <c r="AL623" s="585"/>
      <c r="AM623" s="585"/>
      <c r="AN623" s="585"/>
      <c r="AO623" s="585"/>
      <c r="AP623" s="585"/>
      <c r="AQ623" s="585"/>
      <c r="AR623" s="585"/>
      <c r="AS623" s="585"/>
      <c r="AT623" s="585"/>
      <c r="AU623" s="585"/>
      <c r="AV623" s="585"/>
      <c r="AW623" s="585"/>
      <c r="AX623" s="585"/>
      <c r="AY623" s="585"/>
      <c r="AZ623" s="585"/>
      <c r="BA623" s="585"/>
      <c r="BB623" s="586"/>
      <c r="BC623" s="544"/>
      <c r="BD623" s="545"/>
      <c r="BE623" s="545"/>
      <c r="BF623" s="545"/>
      <c r="BG623" s="545"/>
      <c r="BH623" s="545"/>
      <c r="BI623" s="545"/>
      <c r="BJ623" s="545"/>
      <c r="BK623" s="545"/>
      <c r="BL623" s="545"/>
      <c r="BM623" s="545"/>
      <c r="BN623" s="545"/>
      <c r="BO623" s="545"/>
      <c r="BP623" s="545"/>
      <c r="BQ623" s="545"/>
      <c r="BR623" s="546"/>
      <c r="BS623" s="627"/>
      <c r="BT623" s="628"/>
      <c r="BU623" s="628"/>
      <c r="BV623" s="628"/>
      <c r="BW623" s="628"/>
      <c r="BX623" s="628"/>
      <c r="BY623" s="628"/>
      <c r="BZ623" s="628"/>
      <c r="CA623" s="628"/>
      <c r="CB623" s="628"/>
      <c r="CC623" s="628"/>
      <c r="CD623" s="628"/>
      <c r="CE623" s="628"/>
      <c r="CF623" s="628"/>
      <c r="CG623" s="628"/>
      <c r="CH623" s="629"/>
      <c r="CI623" s="627">
        <f t="shared" si="9"/>
        <v>0</v>
      </c>
      <c r="CJ623" s="628"/>
      <c r="CK623" s="628"/>
      <c r="CL623" s="628"/>
      <c r="CM623" s="628"/>
      <c r="CN623" s="628"/>
      <c r="CO623" s="628"/>
      <c r="CP623" s="628"/>
      <c r="CQ623" s="628"/>
      <c r="CR623" s="628"/>
      <c r="CS623" s="628"/>
      <c r="CT623" s="628"/>
      <c r="CU623" s="628"/>
      <c r="CV623" s="628"/>
      <c r="CW623" s="628"/>
      <c r="CX623" s="628"/>
      <c r="CY623" s="628"/>
      <c r="CZ623" s="629"/>
      <c r="DA623" s="243"/>
    </row>
    <row r="624" spans="1:105" ht="23.25" hidden="1" customHeight="1" x14ac:dyDescent="0.25">
      <c r="A624" s="630" t="s">
        <v>446</v>
      </c>
      <c r="B624" s="631"/>
      <c r="C624" s="631"/>
      <c r="D624" s="631"/>
      <c r="E624" s="631"/>
      <c r="F624" s="631"/>
      <c r="G624" s="632"/>
      <c r="H624" s="584" t="s">
        <v>811</v>
      </c>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5"/>
      <c r="AL624" s="585"/>
      <c r="AM624" s="585"/>
      <c r="AN624" s="585"/>
      <c r="AO624" s="585"/>
      <c r="AP624" s="585"/>
      <c r="AQ624" s="585"/>
      <c r="AR624" s="585"/>
      <c r="AS624" s="585"/>
      <c r="AT624" s="585"/>
      <c r="AU624" s="585"/>
      <c r="AV624" s="585"/>
      <c r="AW624" s="585"/>
      <c r="AX624" s="585"/>
      <c r="AY624" s="585"/>
      <c r="AZ624" s="585"/>
      <c r="BA624" s="585"/>
      <c r="BB624" s="586"/>
      <c r="BC624" s="544"/>
      <c r="BD624" s="545"/>
      <c r="BE624" s="545"/>
      <c r="BF624" s="545"/>
      <c r="BG624" s="545"/>
      <c r="BH624" s="545"/>
      <c r="BI624" s="545"/>
      <c r="BJ624" s="545"/>
      <c r="BK624" s="545"/>
      <c r="BL624" s="545"/>
      <c r="BM624" s="545"/>
      <c r="BN624" s="545"/>
      <c r="BO624" s="545"/>
      <c r="BP624" s="545"/>
      <c r="BQ624" s="545"/>
      <c r="BR624" s="546"/>
      <c r="BS624" s="627"/>
      <c r="BT624" s="628"/>
      <c r="BU624" s="628"/>
      <c r="BV624" s="628"/>
      <c r="BW624" s="628"/>
      <c r="BX624" s="628"/>
      <c r="BY624" s="628"/>
      <c r="BZ624" s="628"/>
      <c r="CA624" s="628"/>
      <c r="CB624" s="628"/>
      <c r="CC624" s="628"/>
      <c r="CD624" s="628"/>
      <c r="CE624" s="628"/>
      <c r="CF624" s="628"/>
      <c r="CG624" s="628"/>
      <c r="CH624" s="629"/>
      <c r="CI624" s="627">
        <f t="shared" si="9"/>
        <v>0</v>
      </c>
      <c r="CJ624" s="628"/>
      <c r="CK624" s="628"/>
      <c r="CL624" s="628"/>
      <c r="CM624" s="628"/>
      <c r="CN624" s="628"/>
      <c r="CO624" s="628"/>
      <c r="CP624" s="628"/>
      <c r="CQ624" s="628"/>
      <c r="CR624" s="628"/>
      <c r="CS624" s="628"/>
      <c r="CT624" s="628"/>
      <c r="CU624" s="628"/>
      <c r="CV624" s="628"/>
      <c r="CW624" s="628"/>
      <c r="CX624" s="628"/>
      <c r="CY624" s="628"/>
      <c r="CZ624" s="629"/>
      <c r="DA624" s="243"/>
    </row>
    <row r="625" spans="1:105" ht="23.25" hidden="1" customHeight="1" x14ac:dyDescent="0.25">
      <c r="A625" s="630" t="s">
        <v>551</v>
      </c>
      <c r="B625" s="631"/>
      <c r="C625" s="631"/>
      <c r="D625" s="631"/>
      <c r="E625" s="631"/>
      <c r="F625" s="631"/>
      <c r="G625" s="632"/>
      <c r="H625" s="584" t="s">
        <v>812</v>
      </c>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5"/>
      <c r="AL625" s="585"/>
      <c r="AM625" s="585"/>
      <c r="AN625" s="585"/>
      <c r="AO625" s="585"/>
      <c r="AP625" s="585"/>
      <c r="AQ625" s="585"/>
      <c r="AR625" s="585"/>
      <c r="AS625" s="585"/>
      <c r="AT625" s="585"/>
      <c r="AU625" s="585"/>
      <c r="AV625" s="585"/>
      <c r="AW625" s="585"/>
      <c r="AX625" s="585"/>
      <c r="AY625" s="585"/>
      <c r="AZ625" s="585"/>
      <c r="BA625" s="585"/>
      <c r="BB625" s="586"/>
      <c r="BC625" s="544"/>
      <c r="BD625" s="545"/>
      <c r="BE625" s="545"/>
      <c r="BF625" s="545"/>
      <c r="BG625" s="545"/>
      <c r="BH625" s="545"/>
      <c r="BI625" s="545"/>
      <c r="BJ625" s="545"/>
      <c r="BK625" s="545"/>
      <c r="BL625" s="545"/>
      <c r="BM625" s="545"/>
      <c r="BN625" s="545"/>
      <c r="BO625" s="545"/>
      <c r="BP625" s="545"/>
      <c r="BQ625" s="545"/>
      <c r="BR625" s="546"/>
      <c r="BS625" s="627"/>
      <c r="BT625" s="628"/>
      <c r="BU625" s="628"/>
      <c r="BV625" s="628"/>
      <c r="BW625" s="628"/>
      <c r="BX625" s="628"/>
      <c r="BY625" s="628"/>
      <c r="BZ625" s="628"/>
      <c r="CA625" s="628"/>
      <c r="CB625" s="628"/>
      <c r="CC625" s="628"/>
      <c r="CD625" s="628"/>
      <c r="CE625" s="628"/>
      <c r="CF625" s="628"/>
      <c r="CG625" s="628"/>
      <c r="CH625" s="629"/>
      <c r="CI625" s="627">
        <f t="shared" si="9"/>
        <v>0</v>
      </c>
      <c r="CJ625" s="628"/>
      <c r="CK625" s="628"/>
      <c r="CL625" s="628"/>
      <c r="CM625" s="628"/>
      <c r="CN625" s="628"/>
      <c r="CO625" s="628"/>
      <c r="CP625" s="628"/>
      <c r="CQ625" s="628"/>
      <c r="CR625" s="628"/>
      <c r="CS625" s="628"/>
      <c r="CT625" s="628"/>
      <c r="CU625" s="628"/>
      <c r="CV625" s="628"/>
      <c r="CW625" s="628"/>
      <c r="CX625" s="628"/>
      <c r="CY625" s="628"/>
      <c r="CZ625" s="629"/>
      <c r="DA625" s="243"/>
    </row>
    <row r="626" spans="1:105" ht="23.25" hidden="1" customHeight="1" x14ac:dyDescent="0.25">
      <c r="A626" s="630" t="s">
        <v>599</v>
      </c>
      <c r="B626" s="631"/>
      <c r="C626" s="631"/>
      <c r="D626" s="631"/>
      <c r="E626" s="631"/>
      <c r="F626" s="631"/>
      <c r="G626" s="632"/>
      <c r="H626" s="584" t="s">
        <v>813</v>
      </c>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5"/>
      <c r="AL626" s="585"/>
      <c r="AM626" s="585"/>
      <c r="AN626" s="585"/>
      <c r="AO626" s="585"/>
      <c r="AP626" s="585"/>
      <c r="AQ626" s="585"/>
      <c r="AR626" s="585"/>
      <c r="AS626" s="585"/>
      <c r="AT626" s="585"/>
      <c r="AU626" s="585"/>
      <c r="AV626" s="585"/>
      <c r="AW626" s="585"/>
      <c r="AX626" s="585"/>
      <c r="AY626" s="585"/>
      <c r="AZ626" s="585"/>
      <c r="BA626" s="585"/>
      <c r="BB626" s="586"/>
      <c r="BC626" s="544"/>
      <c r="BD626" s="545"/>
      <c r="BE626" s="545"/>
      <c r="BF626" s="545"/>
      <c r="BG626" s="545"/>
      <c r="BH626" s="545"/>
      <c r="BI626" s="545"/>
      <c r="BJ626" s="545"/>
      <c r="BK626" s="545"/>
      <c r="BL626" s="545"/>
      <c r="BM626" s="545"/>
      <c r="BN626" s="545"/>
      <c r="BO626" s="545"/>
      <c r="BP626" s="545"/>
      <c r="BQ626" s="545"/>
      <c r="BR626" s="546"/>
      <c r="BS626" s="627"/>
      <c r="BT626" s="628"/>
      <c r="BU626" s="628"/>
      <c r="BV626" s="628"/>
      <c r="BW626" s="628"/>
      <c r="BX626" s="628"/>
      <c r="BY626" s="628"/>
      <c r="BZ626" s="628"/>
      <c r="CA626" s="628"/>
      <c r="CB626" s="628"/>
      <c r="CC626" s="628"/>
      <c r="CD626" s="628"/>
      <c r="CE626" s="628"/>
      <c r="CF626" s="628"/>
      <c r="CG626" s="628"/>
      <c r="CH626" s="629"/>
      <c r="CI626" s="627">
        <f t="shared" si="9"/>
        <v>0</v>
      </c>
      <c r="CJ626" s="628"/>
      <c r="CK626" s="628"/>
      <c r="CL626" s="628"/>
      <c r="CM626" s="628"/>
      <c r="CN626" s="628"/>
      <c r="CO626" s="628"/>
      <c r="CP626" s="628"/>
      <c r="CQ626" s="628"/>
      <c r="CR626" s="628"/>
      <c r="CS626" s="628"/>
      <c r="CT626" s="628"/>
      <c r="CU626" s="628"/>
      <c r="CV626" s="628"/>
      <c r="CW626" s="628"/>
      <c r="CX626" s="628"/>
      <c r="CY626" s="628"/>
      <c r="CZ626" s="629"/>
      <c r="DA626" s="243"/>
    </row>
    <row r="627" spans="1:105" ht="23.25" hidden="1" customHeight="1" x14ac:dyDescent="0.25">
      <c r="A627" s="630" t="s">
        <v>642</v>
      </c>
      <c r="B627" s="631"/>
      <c r="C627" s="631"/>
      <c r="D627" s="631"/>
      <c r="E627" s="631"/>
      <c r="F627" s="631"/>
      <c r="G627" s="632"/>
      <c r="H627" s="584" t="s">
        <v>814</v>
      </c>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5"/>
      <c r="AL627" s="585"/>
      <c r="AM627" s="585"/>
      <c r="AN627" s="585"/>
      <c r="AO627" s="585"/>
      <c r="AP627" s="585"/>
      <c r="AQ627" s="585"/>
      <c r="AR627" s="585"/>
      <c r="AS627" s="585"/>
      <c r="AT627" s="585"/>
      <c r="AU627" s="585"/>
      <c r="AV627" s="585"/>
      <c r="AW627" s="585"/>
      <c r="AX627" s="585"/>
      <c r="AY627" s="585"/>
      <c r="AZ627" s="585"/>
      <c r="BA627" s="585"/>
      <c r="BB627" s="586"/>
      <c r="BC627" s="544"/>
      <c r="BD627" s="545"/>
      <c r="BE627" s="545"/>
      <c r="BF627" s="545"/>
      <c r="BG627" s="545"/>
      <c r="BH627" s="545"/>
      <c r="BI627" s="545"/>
      <c r="BJ627" s="545"/>
      <c r="BK627" s="545"/>
      <c r="BL627" s="545"/>
      <c r="BM627" s="545"/>
      <c r="BN627" s="545"/>
      <c r="BO627" s="545"/>
      <c r="BP627" s="545"/>
      <c r="BQ627" s="545"/>
      <c r="BR627" s="546"/>
      <c r="BS627" s="627"/>
      <c r="BT627" s="628"/>
      <c r="BU627" s="628"/>
      <c r="BV627" s="628"/>
      <c r="BW627" s="628"/>
      <c r="BX627" s="628"/>
      <c r="BY627" s="628"/>
      <c r="BZ627" s="628"/>
      <c r="CA627" s="628"/>
      <c r="CB627" s="628"/>
      <c r="CC627" s="628"/>
      <c r="CD627" s="628"/>
      <c r="CE627" s="628"/>
      <c r="CF627" s="628"/>
      <c r="CG627" s="628"/>
      <c r="CH627" s="629"/>
      <c r="CI627" s="627">
        <f t="shared" si="9"/>
        <v>0</v>
      </c>
      <c r="CJ627" s="628"/>
      <c r="CK627" s="628"/>
      <c r="CL627" s="628"/>
      <c r="CM627" s="628"/>
      <c r="CN627" s="628"/>
      <c r="CO627" s="628"/>
      <c r="CP627" s="628"/>
      <c r="CQ627" s="628"/>
      <c r="CR627" s="628"/>
      <c r="CS627" s="628"/>
      <c r="CT627" s="628"/>
      <c r="CU627" s="628"/>
      <c r="CV627" s="628"/>
      <c r="CW627" s="628"/>
      <c r="CX627" s="628"/>
      <c r="CY627" s="628"/>
      <c r="CZ627" s="629"/>
      <c r="DA627" s="243"/>
    </row>
    <row r="628" spans="1:105" ht="23.25" hidden="1" customHeight="1" x14ac:dyDescent="0.25">
      <c r="A628" s="630" t="s">
        <v>648</v>
      </c>
      <c r="B628" s="631"/>
      <c r="C628" s="631"/>
      <c r="D628" s="631"/>
      <c r="E628" s="631"/>
      <c r="F628" s="631"/>
      <c r="G628" s="632"/>
      <c r="H628" s="584" t="s">
        <v>815</v>
      </c>
      <c r="I628" s="585"/>
      <c r="J628" s="585"/>
      <c r="K628" s="585"/>
      <c r="L628" s="585"/>
      <c r="M628" s="585"/>
      <c r="N628" s="585"/>
      <c r="O628" s="585"/>
      <c r="P628" s="585"/>
      <c r="Q628" s="585"/>
      <c r="R628" s="585"/>
      <c r="S628" s="585"/>
      <c r="T628" s="585"/>
      <c r="U628" s="585"/>
      <c r="V628" s="585"/>
      <c r="W628" s="585"/>
      <c r="X628" s="585"/>
      <c r="Y628" s="585"/>
      <c r="Z628" s="585"/>
      <c r="AA628" s="585"/>
      <c r="AB628" s="585"/>
      <c r="AC628" s="585"/>
      <c r="AD628" s="585"/>
      <c r="AE628" s="585"/>
      <c r="AF628" s="585"/>
      <c r="AG628" s="585"/>
      <c r="AH628" s="585"/>
      <c r="AI628" s="585"/>
      <c r="AJ628" s="585"/>
      <c r="AK628" s="585"/>
      <c r="AL628" s="585"/>
      <c r="AM628" s="585"/>
      <c r="AN628" s="585"/>
      <c r="AO628" s="585"/>
      <c r="AP628" s="585"/>
      <c r="AQ628" s="585"/>
      <c r="AR628" s="585"/>
      <c r="AS628" s="585"/>
      <c r="AT628" s="585"/>
      <c r="AU628" s="585"/>
      <c r="AV628" s="585"/>
      <c r="AW628" s="585"/>
      <c r="AX628" s="585"/>
      <c r="AY628" s="585"/>
      <c r="AZ628" s="585"/>
      <c r="BA628" s="585"/>
      <c r="BB628" s="586"/>
      <c r="BC628" s="544"/>
      <c r="BD628" s="545"/>
      <c r="BE628" s="545"/>
      <c r="BF628" s="545"/>
      <c r="BG628" s="545"/>
      <c r="BH628" s="545"/>
      <c r="BI628" s="545"/>
      <c r="BJ628" s="545"/>
      <c r="BK628" s="545"/>
      <c r="BL628" s="545"/>
      <c r="BM628" s="545"/>
      <c r="BN628" s="545"/>
      <c r="BO628" s="545"/>
      <c r="BP628" s="545"/>
      <c r="BQ628" s="545"/>
      <c r="BR628" s="546"/>
      <c r="BS628" s="627"/>
      <c r="BT628" s="628"/>
      <c r="BU628" s="628"/>
      <c r="BV628" s="628"/>
      <c r="BW628" s="628"/>
      <c r="BX628" s="628"/>
      <c r="BY628" s="628"/>
      <c r="BZ628" s="628"/>
      <c r="CA628" s="628"/>
      <c r="CB628" s="628"/>
      <c r="CC628" s="628"/>
      <c r="CD628" s="628"/>
      <c r="CE628" s="628"/>
      <c r="CF628" s="628"/>
      <c r="CG628" s="628"/>
      <c r="CH628" s="629"/>
      <c r="CI628" s="627">
        <f t="shared" si="9"/>
        <v>0</v>
      </c>
      <c r="CJ628" s="628"/>
      <c r="CK628" s="628"/>
      <c r="CL628" s="628"/>
      <c r="CM628" s="628"/>
      <c r="CN628" s="628"/>
      <c r="CO628" s="628"/>
      <c r="CP628" s="628"/>
      <c r="CQ628" s="628"/>
      <c r="CR628" s="628"/>
      <c r="CS628" s="628"/>
      <c r="CT628" s="628"/>
      <c r="CU628" s="628"/>
      <c r="CV628" s="628"/>
      <c r="CW628" s="628"/>
      <c r="CX628" s="628"/>
      <c r="CY628" s="628"/>
      <c r="CZ628" s="629"/>
      <c r="DA628" s="243"/>
    </row>
    <row r="629" spans="1:105" ht="23.25" hidden="1" customHeight="1" x14ac:dyDescent="0.25">
      <c r="A629" s="630" t="s">
        <v>648</v>
      </c>
      <c r="B629" s="631"/>
      <c r="C629" s="631"/>
      <c r="D629" s="631"/>
      <c r="E629" s="631"/>
      <c r="F629" s="631"/>
      <c r="G629" s="632"/>
      <c r="H629" s="584" t="s">
        <v>816</v>
      </c>
      <c r="I629" s="585"/>
      <c r="J629" s="585"/>
      <c r="K629" s="585"/>
      <c r="L629" s="585"/>
      <c r="M629" s="585"/>
      <c r="N629" s="585"/>
      <c r="O629" s="585"/>
      <c r="P629" s="585"/>
      <c r="Q629" s="585"/>
      <c r="R629" s="585"/>
      <c r="S629" s="585"/>
      <c r="T629" s="585"/>
      <c r="U629" s="585"/>
      <c r="V629" s="585"/>
      <c r="W629" s="585"/>
      <c r="X629" s="585"/>
      <c r="Y629" s="585"/>
      <c r="Z629" s="585"/>
      <c r="AA629" s="585"/>
      <c r="AB629" s="585"/>
      <c r="AC629" s="585"/>
      <c r="AD629" s="585"/>
      <c r="AE629" s="585"/>
      <c r="AF629" s="585"/>
      <c r="AG629" s="585"/>
      <c r="AH629" s="585"/>
      <c r="AI629" s="585"/>
      <c r="AJ629" s="585"/>
      <c r="AK629" s="585"/>
      <c r="AL629" s="585"/>
      <c r="AM629" s="585"/>
      <c r="AN629" s="585"/>
      <c r="AO629" s="585"/>
      <c r="AP629" s="585"/>
      <c r="AQ629" s="585"/>
      <c r="AR629" s="585"/>
      <c r="AS629" s="585"/>
      <c r="AT629" s="585"/>
      <c r="AU629" s="585"/>
      <c r="AV629" s="585"/>
      <c r="AW629" s="585"/>
      <c r="AX629" s="585"/>
      <c r="AY629" s="585"/>
      <c r="AZ629" s="585"/>
      <c r="BA629" s="585"/>
      <c r="BB629" s="586"/>
      <c r="BC629" s="544"/>
      <c r="BD629" s="545"/>
      <c r="BE629" s="545"/>
      <c r="BF629" s="545"/>
      <c r="BG629" s="545"/>
      <c r="BH629" s="545"/>
      <c r="BI629" s="545"/>
      <c r="BJ629" s="545"/>
      <c r="BK629" s="545"/>
      <c r="BL629" s="545"/>
      <c r="BM629" s="545"/>
      <c r="BN629" s="545"/>
      <c r="BO629" s="545"/>
      <c r="BP629" s="545"/>
      <c r="BQ629" s="545"/>
      <c r="BR629" s="546"/>
      <c r="BS629" s="627"/>
      <c r="BT629" s="628"/>
      <c r="BU629" s="628"/>
      <c r="BV629" s="628"/>
      <c r="BW629" s="628"/>
      <c r="BX629" s="628"/>
      <c r="BY629" s="628"/>
      <c r="BZ629" s="628"/>
      <c r="CA629" s="628"/>
      <c r="CB629" s="628"/>
      <c r="CC629" s="628"/>
      <c r="CD629" s="628"/>
      <c r="CE629" s="628"/>
      <c r="CF629" s="628"/>
      <c r="CG629" s="628"/>
      <c r="CH629" s="629"/>
      <c r="CI629" s="627">
        <f t="shared" si="9"/>
        <v>0</v>
      </c>
      <c r="CJ629" s="628"/>
      <c r="CK629" s="628"/>
      <c r="CL629" s="628"/>
      <c r="CM629" s="628"/>
      <c r="CN629" s="628"/>
      <c r="CO629" s="628"/>
      <c r="CP629" s="628"/>
      <c r="CQ629" s="628"/>
      <c r="CR629" s="628"/>
      <c r="CS629" s="628"/>
      <c r="CT629" s="628"/>
      <c r="CU629" s="628"/>
      <c r="CV629" s="628"/>
      <c r="CW629" s="628"/>
      <c r="CX629" s="628"/>
      <c r="CY629" s="628"/>
      <c r="CZ629" s="629"/>
      <c r="DA629" s="243"/>
    </row>
    <row r="630" spans="1:105" ht="23.25" hidden="1" customHeight="1" x14ac:dyDescent="0.25">
      <c r="A630" s="630" t="s">
        <v>650</v>
      </c>
      <c r="B630" s="631"/>
      <c r="C630" s="631"/>
      <c r="D630" s="631"/>
      <c r="E630" s="631"/>
      <c r="F630" s="631"/>
      <c r="G630" s="632"/>
      <c r="H630" s="584" t="s">
        <v>817</v>
      </c>
      <c r="I630" s="585"/>
      <c r="J630" s="585"/>
      <c r="K630" s="585"/>
      <c r="L630" s="585"/>
      <c r="M630" s="585"/>
      <c r="N630" s="585"/>
      <c r="O630" s="585"/>
      <c r="P630" s="585"/>
      <c r="Q630" s="585"/>
      <c r="R630" s="585"/>
      <c r="S630" s="585"/>
      <c r="T630" s="585"/>
      <c r="U630" s="585"/>
      <c r="V630" s="585"/>
      <c r="W630" s="585"/>
      <c r="X630" s="585"/>
      <c r="Y630" s="585"/>
      <c r="Z630" s="585"/>
      <c r="AA630" s="585"/>
      <c r="AB630" s="585"/>
      <c r="AC630" s="585"/>
      <c r="AD630" s="585"/>
      <c r="AE630" s="585"/>
      <c r="AF630" s="585"/>
      <c r="AG630" s="585"/>
      <c r="AH630" s="585"/>
      <c r="AI630" s="585"/>
      <c r="AJ630" s="585"/>
      <c r="AK630" s="585"/>
      <c r="AL630" s="585"/>
      <c r="AM630" s="585"/>
      <c r="AN630" s="585"/>
      <c r="AO630" s="585"/>
      <c r="AP630" s="585"/>
      <c r="AQ630" s="585"/>
      <c r="AR630" s="585"/>
      <c r="AS630" s="585"/>
      <c r="AT630" s="585"/>
      <c r="AU630" s="585"/>
      <c r="AV630" s="585"/>
      <c r="AW630" s="585"/>
      <c r="AX630" s="585"/>
      <c r="AY630" s="585"/>
      <c r="AZ630" s="585"/>
      <c r="BA630" s="585"/>
      <c r="BB630" s="586"/>
      <c r="BC630" s="544"/>
      <c r="BD630" s="545"/>
      <c r="BE630" s="545"/>
      <c r="BF630" s="545"/>
      <c r="BG630" s="545"/>
      <c r="BH630" s="545"/>
      <c r="BI630" s="545"/>
      <c r="BJ630" s="545"/>
      <c r="BK630" s="545"/>
      <c r="BL630" s="545"/>
      <c r="BM630" s="545"/>
      <c r="BN630" s="545"/>
      <c r="BO630" s="545"/>
      <c r="BP630" s="545"/>
      <c r="BQ630" s="545"/>
      <c r="BR630" s="546"/>
      <c r="BS630" s="627"/>
      <c r="BT630" s="628"/>
      <c r="BU630" s="628"/>
      <c r="BV630" s="628"/>
      <c r="BW630" s="628"/>
      <c r="BX630" s="628"/>
      <c r="BY630" s="628"/>
      <c r="BZ630" s="628"/>
      <c r="CA630" s="628"/>
      <c r="CB630" s="628"/>
      <c r="CC630" s="628"/>
      <c r="CD630" s="628"/>
      <c r="CE630" s="628"/>
      <c r="CF630" s="628"/>
      <c r="CG630" s="628"/>
      <c r="CH630" s="629"/>
      <c r="CI630" s="627">
        <f t="shared" si="9"/>
        <v>0</v>
      </c>
      <c r="CJ630" s="628"/>
      <c r="CK630" s="628"/>
      <c r="CL630" s="628"/>
      <c r="CM630" s="628"/>
      <c r="CN630" s="628"/>
      <c r="CO630" s="628"/>
      <c r="CP630" s="628"/>
      <c r="CQ630" s="628"/>
      <c r="CR630" s="628"/>
      <c r="CS630" s="628"/>
      <c r="CT630" s="628"/>
      <c r="CU630" s="628"/>
      <c r="CV630" s="628"/>
      <c r="CW630" s="628"/>
      <c r="CX630" s="628"/>
      <c r="CY630" s="628"/>
      <c r="CZ630" s="629"/>
      <c r="DA630" s="243"/>
    </row>
    <row r="631" spans="1:105" ht="23.25" hidden="1" customHeight="1" x14ac:dyDescent="0.25">
      <c r="A631" s="630" t="s">
        <v>651</v>
      </c>
      <c r="B631" s="631"/>
      <c r="C631" s="631"/>
      <c r="D631" s="631"/>
      <c r="E631" s="631"/>
      <c r="F631" s="631"/>
      <c r="G631" s="632"/>
      <c r="H631" s="584" t="s">
        <v>881</v>
      </c>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5"/>
      <c r="AL631" s="585"/>
      <c r="AM631" s="585"/>
      <c r="AN631" s="585"/>
      <c r="AO631" s="585"/>
      <c r="AP631" s="585"/>
      <c r="AQ631" s="585"/>
      <c r="AR631" s="585"/>
      <c r="AS631" s="585"/>
      <c r="AT631" s="585"/>
      <c r="AU631" s="585"/>
      <c r="AV631" s="585"/>
      <c r="AW631" s="585"/>
      <c r="AX631" s="585"/>
      <c r="AY631" s="585"/>
      <c r="AZ631" s="585"/>
      <c r="BA631" s="585"/>
      <c r="BB631" s="586"/>
      <c r="BC631" s="544"/>
      <c r="BD631" s="545"/>
      <c r="BE631" s="545"/>
      <c r="BF631" s="545"/>
      <c r="BG631" s="545"/>
      <c r="BH631" s="545"/>
      <c r="BI631" s="545"/>
      <c r="BJ631" s="545"/>
      <c r="BK631" s="545"/>
      <c r="BL631" s="545"/>
      <c r="BM631" s="545"/>
      <c r="BN631" s="545"/>
      <c r="BO631" s="545"/>
      <c r="BP631" s="545"/>
      <c r="BQ631" s="545"/>
      <c r="BR631" s="546"/>
      <c r="BS631" s="627"/>
      <c r="BT631" s="628"/>
      <c r="BU631" s="628"/>
      <c r="BV631" s="628"/>
      <c r="BW631" s="628"/>
      <c r="BX631" s="628"/>
      <c r="BY631" s="628"/>
      <c r="BZ631" s="628"/>
      <c r="CA631" s="628"/>
      <c r="CB631" s="628"/>
      <c r="CC631" s="628"/>
      <c r="CD631" s="628"/>
      <c r="CE631" s="628"/>
      <c r="CF631" s="628"/>
      <c r="CG631" s="628"/>
      <c r="CH631" s="629"/>
      <c r="CI631" s="627">
        <f t="shared" si="9"/>
        <v>0</v>
      </c>
      <c r="CJ631" s="628"/>
      <c r="CK631" s="628"/>
      <c r="CL631" s="628"/>
      <c r="CM631" s="628"/>
      <c r="CN631" s="628"/>
      <c r="CO631" s="628"/>
      <c r="CP631" s="628"/>
      <c r="CQ631" s="628"/>
      <c r="CR631" s="628"/>
      <c r="CS631" s="628"/>
      <c r="CT631" s="628"/>
      <c r="CU631" s="628"/>
      <c r="CV631" s="628"/>
      <c r="CW631" s="628"/>
      <c r="CX631" s="628"/>
      <c r="CY631" s="628"/>
      <c r="CZ631" s="629"/>
      <c r="DA631" s="243"/>
    </row>
    <row r="632" spans="1:105" ht="23.25" hidden="1" customHeight="1" x14ac:dyDescent="0.25">
      <c r="A632" s="630" t="s">
        <v>653</v>
      </c>
      <c r="B632" s="631"/>
      <c r="C632" s="631"/>
      <c r="D632" s="631"/>
      <c r="E632" s="631"/>
      <c r="F632" s="631"/>
      <c r="G632" s="632"/>
      <c r="H632" s="584" t="s">
        <v>882</v>
      </c>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5"/>
      <c r="AL632" s="585"/>
      <c r="AM632" s="585"/>
      <c r="AN632" s="585"/>
      <c r="AO632" s="585"/>
      <c r="AP632" s="585"/>
      <c r="AQ632" s="585"/>
      <c r="AR632" s="585"/>
      <c r="AS632" s="585"/>
      <c r="AT632" s="585"/>
      <c r="AU632" s="585"/>
      <c r="AV632" s="585"/>
      <c r="AW632" s="585"/>
      <c r="AX632" s="585"/>
      <c r="AY632" s="585"/>
      <c r="AZ632" s="585"/>
      <c r="BA632" s="585"/>
      <c r="BB632" s="586"/>
      <c r="BC632" s="544"/>
      <c r="BD632" s="545"/>
      <c r="BE632" s="545"/>
      <c r="BF632" s="545"/>
      <c r="BG632" s="545"/>
      <c r="BH632" s="545"/>
      <c r="BI632" s="545"/>
      <c r="BJ632" s="545"/>
      <c r="BK632" s="545"/>
      <c r="BL632" s="545"/>
      <c r="BM632" s="545"/>
      <c r="BN632" s="545"/>
      <c r="BO632" s="545"/>
      <c r="BP632" s="545"/>
      <c r="BQ632" s="545"/>
      <c r="BR632" s="546"/>
      <c r="BS632" s="627"/>
      <c r="BT632" s="628"/>
      <c r="BU632" s="628"/>
      <c r="BV632" s="628"/>
      <c r="BW632" s="628"/>
      <c r="BX632" s="628"/>
      <c r="BY632" s="628"/>
      <c r="BZ632" s="628"/>
      <c r="CA632" s="628"/>
      <c r="CB632" s="628"/>
      <c r="CC632" s="628"/>
      <c r="CD632" s="628"/>
      <c r="CE632" s="628"/>
      <c r="CF632" s="628"/>
      <c r="CG632" s="628"/>
      <c r="CH632" s="629"/>
      <c r="CI632" s="627">
        <f t="shared" si="9"/>
        <v>0</v>
      </c>
      <c r="CJ632" s="628"/>
      <c r="CK632" s="628"/>
      <c r="CL632" s="628"/>
      <c r="CM632" s="628"/>
      <c r="CN632" s="628"/>
      <c r="CO632" s="628"/>
      <c r="CP632" s="628"/>
      <c r="CQ632" s="628"/>
      <c r="CR632" s="628"/>
      <c r="CS632" s="628"/>
      <c r="CT632" s="628"/>
      <c r="CU632" s="628"/>
      <c r="CV632" s="628"/>
      <c r="CW632" s="628"/>
      <c r="CX632" s="628"/>
      <c r="CY632" s="628"/>
      <c r="CZ632" s="629"/>
      <c r="DA632" s="243"/>
    </row>
    <row r="633" spans="1:105" ht="23.25" hidden="1" customHeight="1" x14ac:dyDescent="0.25">
      <c r="A633" s="630" t="s">
        <v>654</v>
      </c>
      <c r="B633" s="631"/>
      <c r="C633" s="631"/>
      <c r="D633" s="631"/>
      <c r="E633" s="631"/>
      <c r="F633" s="631"/>
      <c r="G633" s="632"/>
      <c r="H633" s="584" t="s">
        <v>883</v>
      </c>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5"/>
      <c r="AL633" s="585"/>
      <c r="AM633" s="585"/>
      <c r="AN633" s="585"/>
      <c r="AO633" s="585"/>
      <c r="AP633" s="585"/>
      <c r="AQ633" s="585"/>
      <c r="AR633" s="585"/>
      <c r="AS633" s="585"/>
      <c r="AT633" s="585"/>
      <c r="AU633" s="585"/>
      <c r="AV633" s="585"/>
      <c r="AW633" s="585"/>
      <c r="AX633" s="585"/>
      <c r="AY633" s="585"/>
      <c r="AZ633" s="585"/>
      <c r="BA633" s="585"/>
      <c r="BB633" s="586"/>
      <c r="BC633" s="544"/>
      <c r="BD633" s="545"/>
      <c r="BE633" s="545"/>
      <c r="BF633" s="545"/>
      <c r="BG633" s="545"/>
      <c r="BH633" s="545"/>
      <c r="BI633" s="545"/>
      <c r="BJ633" s="545"/>
      <c r="BK633" s="545"/>
      <c r="BL633" s="545"/>
      <c r="BM633" s="545"/>
      <c r="BN633" s="545"/>
      <c r="BO633" s="545"/>
      <c r="BP633" s="545"/>
      <c r="BQ633" s="545"/>
      <c r="BR633" s="546"/>
      <c r="BS633" s="627"/>
      <c r="BT633" s="628"/>
      <c r="BU633" s="628"/>
      <c r="BV633" s="628"/>
      <c r="BW633" s="628"/>
      <c r="BX633" s="628"/>
      <c r="BY633" s="628"/>
      <c r="BZ633" s="628"/>
      <c r="CA633" s="628"/>
      <c r="CB633" s="628"/>
      <c r="CC633" s="628"/>
      <c r="CD633" s="628"/>
      <c r="CE633" s="628"/>
      <c r="CF633" s="628"/>
      <c r="CG633" s="628"/>
      <c r="CH633" s="629"/>
      <c r="CI633" s="627">
        <f t="shared" si="9"/>
        <v>0</v>
      </c>
      <c r="CJ633" s="628"/>
      <c r="CK633" s="628"/>
      <c r="CL633" s="628"/>
      <c r="CM633" s="628"/>
      <c r="CN633" s="628"/>
      <c r="CO633" s="628"/>
      <c r="CP633" s="628"/>
      <c r="CQ633" s="628"/>
      <c r="CR633" s="628"/>
      <c r="CS633" s="628"/>
      <c r="CT633" s="628"/>
      <c r="CU633" s="628"/>
      <c r="CV633" s="628"/>
      <c r="CW633" s="628"/>
      <c r="CX633" s="628"/>
      <c r="CY633" s="628"/>
      <c r="CZ633" s="629"/>
      <c r="DA633" s="243"/>
    </row>
    <row r="634" spans="1:105" ht="23.25" hidden="1" customHeight="1" x14ac:dyDescent="0.25">
      <c r="A634" s="630" t="s">
        <v>655</v>
      </c>
      <c r="B634" s="631"/>
      <c r="C634" s="631"/>
      <c r="D634" s="631"/>
      <c r="E634" s="631"/>
      <c r="F634" s="631"/>
      <c r="G634" s="632"/>
      <c r="H634" s="584" t="s">
        <v>884</v>
      </c>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5"/>
      <c r="AL634" s="585"/>
      <c r="AM634" s="585"/>
      <c r="AN634" s="585"/>
      <c r="AO634" s="585"/>
      <c r="AP634" s="585"/>
      <c r="AQ634" s="585"/>
      <c r="AR634" s="585"/>
      <c r="AS634" s="585"/>
      <c r="AT634" s="585"/>
      <c r="AU634" s="585"/>
      <c r="AV634" s="585"/>
      <c r="AW634" s="585"/>
      <c r="AX634" s="585"/>
      <c r="AY634" s="585"/>
      <c r="AZ634" s="585"/>
      <c r="BA634" s="585"/>
      <c r="BB634" s="586"/>
      <c r="BC634" s="544"/>
      <c r="BD634" s="545"/>
      <c r="BE634" s="545"/>
      <c r="BF634" s="545"/>
      <c r="BG634" s="545"/>
      <c r="BH634" s="545"/>
      <c r="BI634" s="545"/>
      <c r="BJ634" s="545"/>
      <c r="BK634" s="545"/>
      <c r="BL634" s="545"/>
      <c r="BM634" s="545"/>
      <c r="BN634" s="545"/>
      <c r="BO634" s="545"/>
      <c r="BP634" s="545"/>
      <c r="BQ634" s="545"/>
      <c r="BR634" s="546"/>
      <c r="BS634" s="627"/>
      <c r="BT634" s="628"/>
      <c r="BU634" s="628"/>
      <c r="BV634" s="628"/>
      <c r="BW634" s="628"/>
      <c r="BX634" s="628"/>
      <c r="BY634" s="628"/>
      <c r="BZ634" s="628"/>
      <c r="CA634" s="628"/>
      <c r="CB634" s="628"/>
      <c r="CC634" s="628"/>
      <c r="CD634" s="628"/>
      <c r="CE634" s="628"/>
      <c r="CF634" s="628"/>
      <c r="CG634" s="628"/>
      <c r="CH634" s="629"/>
      <c r="CI634" s="627">
        <f t="shared" si="9"/>
        <v>0</v>
      </c>
      <c r="CJ634" s="628"/>
      <c r="CK634" s="628"/>
      <c r="CL634" s="628"/>
      <c r="CM634" s="628"/>
      <c r="CN634" s="628"/>
      <c r="CO634" s="628"/>
      <c r="CP634" s="628"/>
      <c r="CQ634" s="628"/>
      <c r="CR634" s="628"/>
      <c r="CS634" s="628"/>
      <c r="CT634" s="628"/>
      <c r="CU634" s="628"/>
      <c r="CV634" s="628"/>
      <c r="CW634" s="628"/>
      <c r="CX634" s="628"/>
      <c r="CY634" s="628"/>
      <c r="CZ634" s="629"/>
      <c r="DA634" s="243"/>
    </row>
    <row r="635" spans="1:105" ht="23.25" hidden="1" customHeight="1" x14ac:dyDescent="0.25">
      <c r="A635" s="630" t="s">
        <v>656</v>
      </c>
      <c r="B635" s="631"/>
      <c r="C635" s="631"/>
      <c r="D635" s="631"/>
      <c r="E635" s="631"/>
      <c r="F635" s="631"/>
      <c r="G635" s="632"/>
      <c r="H635" s="584" t="s">
        <v>818</v>
      </c>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5"/>
      <c r="AL635" s="585"/>
      <c r="AM635" s="585"/>
      <c r="AN635" s="585"/>
      <c r="AO635" s="585"/>
      <c r="AP635" s="585"/>
      <c r="AQ635" s="585"/>
      <c r="AR635" s="585"/>
      <c r="AS635" s="585"/>
      <c r="AT635" s="585"/>
      <c r="AU635" s="585"/>
      <c r="AV635" s="585"/>
      <c r="AW635" s="585"/>
      <c r="AX635" s="585"/>
      <c r="AY635" s="585"/>
      <c r="AZ635" s="585"/>
      <c r="BA635" s="585"/>
      <c r="BB635" s="586"/>
      <c r="BC635" s="544"/>
      <c r="BD635" s="545"/>
      <c r="BE635" s="545"/>
      <c r="BF635" s="545"/>
      <c r="BG635" s="545"/>
      <c r="BH635" s="545"/>
      <c r="BI635" s="545"/>
      <c r="BJ635" s="545"/>
      <c r="BK635" s="545"/>
      <c r="BL635" s="545"/>
      <c r="BM635" s="545"/>
      <c r="BN635" s="545"/>
      <c r="BO635" s="545"/>
      <c r="BP635" s="545"/>
      <c r="BQ635" s="545"/>
      <c r="BR635" s="546"/>
      <c r="BS635" s="627"/>
      <c r="BT635" s="628"/>
      <c r="BU635" s="628"/>
      <c r="BV635" s="628"/>
      <c r="BW635" s="628"/>
      <c r="BX635" s="628"/>
      <c r="BY635" s="628"/>
      <c r="BZ635" s="628"/>
      <c r="CA635" s="628"/>
      <c r="CB635" s="628"/>
      <c r="CC635" s="628"/>
      <c r="CD635" s="628"/>
      <c r="CE635" s="628"/>
      <c r="CF635" s="628"/>
      <c r="CG635" s="628"/>
      <c r="CH635" s="629"/>
      <c r="CI635" s="627">
        <f t="shared" si="9"/>
        <v>0</v>
      </c>
      <c r="CJ635" s="628"/>
      <c r="CK635" s="628"/>
      <c r="CL635" s="628"/>
      <c r="CM635" s="628"/>
      <c r="CN635" s="628"/>
      <c r="CO635" s="628"/>
      <c r="CP635" s="628"/>
      <c r="CQ635" s="628"/>
      <c r="CR635" s="628"/>
      <c r="CS635" s="628"/>
      <c r="CT635" s="628"/>
      <c r="CU635" s="628"/>
      <c r="CV635" s="628"/>
      <c r="CW635" s="628"/>
      <c r="CX635" s="628"/>
      <c r="CY635" s="628"/>
      <c r="CZ635" s="629"/>
      <c r="DA635" s="243"/>
    </row>
    <row r="636" spans="1:105" ht="23.25" hidden="1" customHeight="1" x14ac:dyDescent="0.25">
      <c r="A636" s="630" t="s">
        <v>657</v>
      </c>
      <c r="B636" s="631"/>
      <c r="C636" s="631"/>
      <c r="D636" s="631"/>
      <c r="E636" s="631"/>
      <c r="F636" s="631"/>
      <c r="G636" s="632"/>
      <c r="H636" s="584" t="s">
        <v>819</v>
      </c>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5"/>
      <c r="AL636" s="585"/>
      <c r="AM636" s="585"/>
      <c r="AN636" s="585"/>
      <c r="AO636" s="585"/>
      <c r="AP636" s="585"/>
      <c r="AQ636" s="585"/>
      <c r="AR636" s="585"/>
      <c r="AS636" s="585"/>
      <c r="AT636" s="585"/>
      <c r="AU636" s="585"/>
      <c r="AV636" s="585"/>
      <c r="AW636" s="585"/>
      <c r="AX636" s="585"/>
      <c r="AY636" s="585"/>
      <c r="AZ636" s="585"/>
      <c r="BA636" s="585"/>
      <c r="BB636" s="586"/>
      <c r="BC636" s="544"/>
      <c r="BD636" s="545"/>
      <c r="BE636" s="545"/>
      <c r="BF636" s="545"/>
      <c r="BG636" s="545"/>
      <c r="BH636" s="545"/>
      <c r="BI636" s="545"/>
      <c r="BJ636" s="545"/>
      <c r="BK636" s="545"/>
      <c r="BL636" s="545"/>
      <c r="BM636" s="545"/>
      <c r="BN636" s="545"/>
      <c r="BO636" s="545"/>
      <c r="BP636" s="545"/>
      <c r="BQ636" s="545"/>
      <c r="BR636" s="546"/>
      <c r="BS636" s="627"/>
      <c r="BT636" s="628"/>
      <c r="BU636" s="628"/>
      <c r="BV636" s="628"/>
      <c r="BW636" s="628"/>
      <c r="BX636" s="628"/>
      <c r="BY636" s="628"/>
      <c r="BZ636" s="628"/>
      <c r="CA636" s="628"/>
      <c r="CB636" s="628"/>
      <c r="CC636" s="628"/>
      <c r="CD636" s="628"/>
      <c r="CE636" s="628"/>
      <c r="CF636" s="628"/>
      <c r="CG636" s="628"/>
      <c r="CH636" s="629"/>
      <c r="CI636" s="627">
        <f t="shared" si="9"/>
        <v>0</v>
      </c>
      <c r="CJ636" s="628"/>
      <c r="CK636" s="628"/>
      <c r="CL636" s="628"/>
      <c r="CM636" s="628"/>
      <c r="CN636" s="628"/>
      <c r="CO636" s="628"/>
      <c r="CP636" s="628"/>
      <c r="CQ636" s="628"/>
      <c r="CR636" s="628"/>
      <c r="CS636" s="628"/>
      <c r="CT636" s="628"/>
      <c r="CU636" s="628"/>
      <c r="CV636" s="628"/>
      <c r="CW636" s="628"/>
      <c r="CX636" s="628"/>
      <c r="CY636" s="628"/>
      <c r="CZ636" s="629"/>
      <c r="DA636" s="243"/>
    </row>
    <row r="637" spans="1:105" ht="23.25" hidden="1" customHeight="1" x14ac:dyDescent="0.25">
      <c r="A637" s="630" t="s">
        <v>659</v>
      </c>
      <c r="B637" s="631"/>
      <c r="C637" s="631"/>
      <c r="D637" s="631"/>
      <c r="E637" s="631"/>
      <c r="F637" s="631"/>
      <c r="G637" s="632"/>
      <c r="H637" s="584" t="s">
        <v>806</v>
      </c>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6"/>
      <c r="BC637" s="544"/>
      <c r="BD637" s="545"/>
      <c r="BE637" s="545"/>
      <c r="BF637" s="545"/>
      <c r="BG637" s="545"/>
      <c r="BH637" s="545"/>
      <c r="BI637" s="545"/>
      <c r="BJ637" s="545"/>
      <c r="BK637" s="545"/>
      <c r="BL637" s="545"/>
      <c r="BM637" s="545"/>
      <c r="BN637" s="545"/>
      <c r="BO637" s="545"/>
      <c r="BP637" s="545"/>
      <c r="BQ637" s="545"/>
      <c r="BR637" s="546"/>
      <c r="BS637" s="627"/>
      <c r="BT637" s="628"/>
      <c r="BU637" s="628"/>
      <c r="BV637" s="628"/>
      <c r="BW637" s="628"/>
      <c r="BX637" s="628"/>
      <c r="BY637" s="628"/>
      <c r="BZ637" s="628"/>
      <c r="CA637" s="628"/>
      <c r="CB637" s="628"/>
      <c r="CC637" s="628"/>
      <c r="CD637" s="628"/>
      <c r="CE637" s="628"/>
      <c r="CF637" s="628"/>
      <c r="CG637" s="628"/>
      <c r="CH637" s="629"/>
      <c r="CI637" s="627">
        <f t="shared" si="9"/>
        <v>0</v>
      </c>
      <c r="CJ637" s="628"/>
      <c r="CK637" s="628"/>
      <c r="CL637" s="628"/>
      <c r="CM637" s="628"/>
      <c r="CN637" s="628"/>
      <c r="CO637" s="628"/>
      <c r="CP637" s="628"/>
      <c r="CQ637" s="628"/>
      <c r="CR637" s="628"/>
      <c r="CS637" s="628"/>
      <c r="CT637" s="628"/>
      <c r="CU637" s="628"/>
      <c r="CV637" s="628"/>
      <c r="CW637" s="628"/>
      <c r="CX637" s="628"/>
      <c r="CY637" s="628"/>
      <c r="CZ637" s="629"/>
      <c r="DA637" s="243"/>
    </row>
    <row r="638" spans="1:105" ht="23.25" hidden="1" customHeight="1" x14ac:dyDescent="0.25">
      <c r="A638" s="630" t="s">
        <v>664</v>
      </c>
      <c r="B638" s="631"/>
      <c r="C638" s="631"/>
      <c r="D638" s="631"/>
      <c r="E638" s="631"/>
      <c r="F638" s="631"/>
      <c r="G638" s="632"/>
      <c r="H638" s="584" t="s">
        <v>899</v>
      </c>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5"/>
      <c r="AL638" s="585"/>
      <c r="AM638" s="585"/>
      <c r="AN638" s="585"/>
      <c r="AO638" s="585"/>
      <c r="AP638" s="585"/>
      <c r="AQ638" s="585"/>
      <c r="AR638" s="585"/>
      <c r="AS638" s="585"/>
      <c r="AT638" s="585"/>
      <c r="AU638" s="585"/>
      <c r="AV638" s="585"/>
      <c r="AW638" s="585"/>
      <c r="AX638" s="585"/>
      <c r="AY638" s="585"/>
      <c r="AZ638" s="585"/>
      <c r="BA638" s="585"/>
      <c r="BB638" s="586"/>
      <c r="BC638" s="544"/>
      <c r="BD638" s="545"/>
      <c r="BE638" s="545"/>
      <c r="BF638" s="545"/>
      <c r="BG638" s="545"/>
      <c r="BH638" s="545"/>
      <c r="BI638" s="545"/>
      <c r="BJ638" s="545"/>
      <c r="BK638" s="545"/>
      <c r="BL638" s="545"/>
      <c r="BM638" s="545"/>
      <c r="BN638" s="545"/>
      <c r="BO638" s="545"/>
      <c r="BP638" s="545"/>
      <c r="BQ638" s="545"/>
      <c r="BR638" s="546"/>
      <c r="BS638" s="627"/>
      <c r="BT638" s="628"/>
      <c r="BU638" s="628"/>
      <c r="BV638" s="628"/>
      <c r="BW638" s="628"/>
      <c r="BX638" s="628"/>
      <c r="BY638" s="628"/>
      <c r="BZ638" s="628"/>
      <c r="CA638" s="628"/>
      <c r="CB638" s="628"/>
      <c r="CC638" s="628"/>
      <c r="CD638" s="628"/>
      <c r="CE638" s="628"/>
      <c r="CF638" s="628"/>
      <c r="CG638" s="628"/>
      <c r="CH638" s="629"/>
      <c r="CI638" s="627">
        <f t="shared" si="9"/>
        <v>0</v>
      </c>
      <c r="CJ638" s="628"/>
      <c r="CK638" s="628"/>
      <c r="CL638" s="628"/>
      <c r="CM638" s="628"/>
      <c r="CN638" s="628"/>
      <c r="CO638" s="628"/>
      <c r="CP638" s="628"/>
      <c r="CQ638" s="628"/>
      <c r="CR638" s="628"/>
      <c r="CS638" s="628"/>
      <c r="CT638" s="628"/>
      <c r="CU638" s="628"/>
      <c r="CV638" s="628"/>
      <c r="CW638" s="628"/>
      <c r="CX638" s="628"/>
      <c r="CY638" s="628"/>
      <c r="CZ638" s="629"/>
      <c r="DA638" s="243"/>
    </row>
    <row r="639" spans="1:105" ht="23.25" hidden="1" customHeight="1" x14ac:dyDescent="0.25">
      <c r="A639" s="630" t="s">
        <v>662</v>
      </c>
      <c r="B639" s="631"/>
      <c r="C639" s="631"/>
      <c r="D639" s="631"/>
      <c r="E639" s="631"/>
      <c r="F639" s="631"/>
      <c r="G639" s="632"/>
      <c r="H639" s="584" t="s">
        <v>900</v>
      </c>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5"/>
      <c r="AL639" s="585"/>
      <c r="AM639" s="585"/>
      <c r="AN639" s="585"/>
      <c r="AO639" s="585"/>
      <c r="AP639" s="585"/>
      <c r="AQ639" s="585"/>
      <c r="AR639" s="585"/>
      <c r="AS639" s="585"/>
      <c r="AT639" s="585"/>
      <c r="AU639" s="585"/>
      <c r="AV639" s="585"/>
      <c r="AW639" s="585"/>
      <c r="AX639" s="585"/>
      <c r="AY639" s="585"/>
      <c r="AZ639" s="585"/>
      <c r="BA639" s="585"/>
      <c r="BB639" s="586"/>
      <c r="BC639" s="544"/>
      <c r="BD639" s="545"/>
      <c r="BE639" s="545"/>
      <c r="BF639" s="545"/>
      <c r="BG639" s="545"/>
      <c r="BH639" s="545"/>
      <c r="BI639" s="545"/>
      <c r="BJ639" s="545"/>
      <c r="BK639" s="545"/>
      <c r="BL639" s="545"/>
      <c r="BM639" s="545"/>
      <c r="BN639" s="545"/>
      <c r="BO639" s="545"/>
      <c r="BP639" s="545"/>
      <c r="BQ639" s="545"/>
      <c r="BR639" s="546"/>
      <c r="BS639" s="627"/>
      <c r="BT639" s="628"/>
      <c r="BU639" s="628"/>
      <c r="BV639" s="628"/>
      <c r="BW639" s="628"/>
      <c r="BX639" s="628"/>
      <c r="BY639" s="628"/>
      <c r="BZ639" s="628"/>
      <c r="CA639" s="628"/>
      <c r="CB639" s="628"/>
      <c r="CC639" s="628"/>
      <c r="CD639" s="628"/>
      <c r="CE639" s="628"/>
      <c r="CF639" s="628"/>
      <c r="CG639" s="628"/>
      <c r="CH639" s="629"/>
      <c r="CI639" s="627">
        <f t="shared" si="9"/>
        <v>0</v>
      </c>
      <c r="CJ639" s="628"/>
      <c r="CK639" s="628"/>
      <c r="CL639" s="628"/>
      <c r="CM639" s="628"/>
      <c r="CN639" s="628"/>
      <c r="CO639" s="628"/>
      <c r="CP639" s="628"/>
      <c r="CQ639" s="628"/>
      <c r="CR639" s="628"/>
      <c r="CS639" s="628"/>
      <c r="CT639" s="628"/>
      <c r="CU639" s="628"/>
      <c r="CV639" s="628"/>
      <c r="CW639" s="628"/>
      <c r="CX639" s="628"/>
      <c r="CY639" s="628"/>
      <c r="CZ639" s="629"/>
      <c r="DA639" s="243"/>
    </row>
    <row r="640" spans="1:105" ht="23.25" hidden="1" customHeight="1" x14ac:dyDescent="0.25">
      <c r="A640" s="630" t="s">
        <v>666</v>
      </c>
      <c r="B640" s="631"/>
      <c r="C640" s="631"/>
      <c r="D640" s="631"/>
      <c r="E640" s="631"/>
      <c r="F640" s="631"/>
      <c r="G640" s="632"/>
      <c r="H640" s="584" t="s">
        <v>901</v>
      </c>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5"/>
      <c r="AL640" s="585"/>
      <c r="AM640" s="585"/>
      <c r="AN640" s="585"/>
      <c r="AO640" s="585"/>
      <c r="AP640" s="585"/>
      <c r="AQ640" s="585"/>
      <c r="AR640" s="585"/>
      <c r="AS640" s="585"/>
      <c r="AT640" s="585"/>
      <c r="AU640" s="585"/>
      <c r="AV640" s="585"/>
      <c r="AW640" s="585"/>
      <c r="AX640" s="585"/>
      <c r="AY640" s="585"/>
      <c r="AZ640" s="585"/>
      <c r="BA640" s="585"/>
      <c r="BB640" s="586"/>
      <c r="BC640" s="544"/>
      <c r="BD640" s="545"/>
      <c r="BE640" s="545"/>
      <c r="BF640" s="545"/>
      <c r="BG640" s="545"/>
      <c r="BH640" s="545"/>
      <c r="BI640" s="545"/>
      <c r="BJ640" s="545"/>
      <c r="BK640" s="545"/>
      <c r="BL640" s="545"/>
      <c r="BM640" s="545"/>
      <c r="BN640" s="545"/>
      <c r="BO640" s="545"/>
      <c r="BP640" s="545"/>
      <c r="BQ640" s="545"/>
      <c r="BR640" s="546"/>
      <c r="BS640" s="627"/>
      <c r="BT640" s="628"/>
      <c r="BU640" s="628"/>
      <c r="BV640" s="628"/>
      <c r="BW640" s="628"/>
      <c r="BX640" s="628"/>
      <c r="BY640" s="628"/>
      <c r="BZ640" s="628"/>
      <c r="CA640" s="628"/>
      <c r="CB640" s="628"/>
      <c r="CC640" s="628"/>
      <c r="CD640" s="628"/>
      <c r="CE640" s="628"/>
      <c r="CF640" s="628"/>
      <c r="CG640" s="628"/>
      <c r="CH640" s="629"/>
      <c r="CI640" s="627">
        <f t="shared" si="9"/>
        <v>0</v>
      </c>
      <c r="CJ640" s="628"/>
      <c r="CK640" s="628"/>
      <c r="CL640" s="628"/>
      <c r="CM640" s="628"/>
      <c r="CN640" s="628"/>
      <c r="CO640" s="628"/>
      <c r="CP640" s="628"/>
      <c r="CQ640" s="628"/>
      <c r="CR640" s="628"/>
      <c r="CS640" s="628"/>
      <c r="CT640" s="628"/>
      <c r="CU640" s="628"/>
      <c r="CV640" s="628"/>
      <c r="CW640" s="628"/>
      <c r="CX640" s="628"/>
      <c r="CY640" s="628"/>
      <c r="CZ640" s="629"/>
      <c r="DA640" s="243"/>
    </row>
    <row r="641" spans="1:105" ht="23.25" hidden="1" customHeight="1" x14ac:dyDescent="0.25">
      <c r="A641" s="630" t="s">
        <v>667</v>
      </c>
      <c r="B641" s="631"/>
      <c r="C641" s="631"/>
      <c r="D641" s="631"/>
      <c r="E641" s="631"/>
      <c r="F641" s="631"/>
      <c r="G641" s="632"/>
      <c r="H641" s="584" t="s">
        <v>902</v>
      </c>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5"/>
      <c r="AL641" s="585"/>
      <c r="AM641" s="585"/>
      <c r="AN641" s="585"/>
      <c r="AO641" s="585"/>
      <c r="AP641" s="585"/>
      <c r="AQ641" s="585"/>
      <c r="AR641" s="585"/>
      <c r="AS641" s="585"/>
      <c r="AT641" s="585"/>
      <c r="AU641" s="585"/>
      <c r="AV641" s="585"/>
      <c r="AW641" s="585"/>
      <c r="AX641" s="585"/>
      <c r="AY641" s="585"/>
      <c r="AZ641" s="585"/>
      <c r="BA641" s="585"/>
      <c r="BB641" s="586"/>
      <c r="BC641" s="544"/>
      <c r="BD641" s="545"/>
      <c r="BE641" s="545"/>
      <c r="BF641" s="545"/>
      <c r="BG641" s="545"/>
      <c r="BH641" s="545"/>
      <c r="BI641" s="545"/>
      <c r="BJ641" s="545"/>
      <c r="BK641" s="545"/>
      <c r="BL641" s="545"/>
      <c r="BM641" s="545"/>
      <c r="BN641" s="545"/>
      <c r="BO641" s="545"/>
      <c r="BP641" s="545"/>
      <c r="BQ641" s="545"/>
      <c r="BR641" s="546"/>
      <c r="BS641" s="627"/>
      <c r="BT641" s="628"/>
      <c r="BU641" s="628"/>
      <c r="BV641" s="628"/>
      <c r="BW641" s="628"/>
      <c r="BX641" s="628"/>
      <c r="BY641" s="628"/>
      <c r="BZ641" s="628"/>
      <c r="CA641" s="628"/>
      <c r="CB641" s="628"/>
      <c r="CC641" s="628"/>
      <c r="CD641" s="628"/>
      <c r="CE641" s="628"/>
      <c r="CF641" s="628"/>
      <c r="CG641" s="628"/>
      <c r="CH641" s="629"/>
      <c r="CI641" s="627">
        <f t="shared" si="9"/>
        <v>0</v>
      </c>
      <c r="CJ641" s="628"/>
      <c r="CK641" s="628"/>
      <c r="CL641" s="628"/>
      <c r="CM641" s="628"/>
      <c r="CN641" s="628"/>
      <c r="CO641" s="628"/>
      <c r="CP641" s="628"/>
      <c r="CQ641" s="628"/>
      <c r="CR641" s="628"/>
      <c r="CS641" s="628"/>
      <c r="CT641" s="628"/>
      <c r="CU641" s="628"/>
      <c r="CV641" s="628"/>
      <c r="CW641" s="628"/>
      <c r="CX641" s="628"/>
      <c r="CY641" s="628"/>
      <c r="CZ641" s="629"/>
      <c r="DA641" s="243"/>
    </row>
    <row r="642" spans="1:105" ht="23.25" hidden="1" customHeight="1" x14ac:dyDescent="0.25">
      <c r="A642" s="633" t="s">
        <v>292</v>
      </c>
      <c r="B642" s="634"/>
      <c r="C642" s="634"/>
      <c r="D642" s="63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c r="AA642" s="634"/>
      <c r="AB642" s="634"/>
      <c r="AC642" s="634"/>
      <c r="AD642" s="634"/>
      <c r="AE642" s="634"/>
      <c r="AF642" s="634"/>
      <c r="AG642" s="634"/>
      <c r="AH642" s="634"/>
      <c r="AI642" s="634"/>
      <c r="AJ642" s="634"/>
      <c r="AK642" s="634"/>
      <c r="AL642" s="634"/>
      <c r="AM642" s="634"/>
      <c r="AN642" s="634"/>
      <c r="AO642" s="634"/>
      <c r="AP642" s="634"/>
      <c r="AQ642" s="634"/>
      <c r="AR642" s="634"/>
      <c r="AS642" s="634"/>
      <c r="AT642" s="634"/>
      <c r="AU642" s="634"/>
      <c r="AV642" s="634"/>
      <c r="AW642" s="634"/>
      <c r="AX642" s="634"/>
      <c r="AY642" s="634"/>
      <c r="AZ642" s="634"/>
      <c r="BA642" s="634"/>
      <c r="BB642" s="635"/>
      <c r="BC642" s="582" t="s">
        <v>4</v>
      </c>
      <c r="BD642" s="582"/>
      <c r="BE642" s="582"/>
      <c r="BF642" s="582"/>
      <c r="BG642" s="582"/>
      <c r="BH642" s="582"/>
      <c r="BI642" s="582"/>
      <c r="BJ642" s="582"/>
      <c r="BK642" s="582"/>
      <c r="BL642" s="582"/>
      <c r="BM642" s="582"/>
      <c r="BN642" s="582"/>
      <c r="BO642" s="582"/>
      <c r="BP642" s="582"/>
      <c r="BQ642" s="582"/>
      <c r="BR642" s="582"/>
      <c r="BS642" s="582" t="s">
        <v>4</v>
      </c>
      <c r="BT642" s="582"/>
      <c r="BU642" s="582"/>
      <c r="BV642" s="582"/>
      <c r="BW642" s="582"/>
      <c r="BX642" s="582"/>
      <c r="BY642" s="582"/>
      <c r="BZ642" s="582"/>
      <c r="CA642" s="582"/>
      <c r="CB642" s="582"/>
      <c r="CC642" s="582"/>
      <c r="CD642" s="582"/>
      <c r="CE642" s="582"/>
      <c r="CF642" s="582"/>
      <c r="CG642" s="582"/>
      <c r="CH642" s="582"/>
      <c r="CI642" s="636">
        <f>CI619+CI620+CI621+CI623+CI624+CI625+CI626+CI627+CI628+CI629+CI630+CI622+CI635+CI636+CI637+CI631+CI632+CI633+CI634+CI638+CI639+CI640+CI641</f>
        <v>0</v>
      </c>
      <c r="CJ642" s="637"/>
      <c r="CK642" s="637"/>
      <c r="CL642" s="637"/>
      <c r="CM642" s="637"/>
      <c r="CN642" s="637"/>
      <c r="CO642" s="637"/>
      <c r="CP642" s="637"/>
      <c r="CQ642" s="637"/>
      <c r="CR642" s="637"/>
      <c r="CS642" s="637"/>
      <c r="CT642" s="637"/>
      <c r="CU642" s="637"/>
      <c r="CV642" s="637"/>
      <c r="CW642" s="637"/>
      <c r="CX642" s="637"/>
      <c r="CY642" s="637"/>
      <c r="CZ642" s="638"/>
      <c r="DA642" s="243">
        <v>3907008</v>
      </c>
    </row>
    <row r="643" spans="1:105" s="16" customFormat="1" ht="15" hidden="1" customHeight="1" x14ac:dyDescent="0.3">
      <c r="A643" s="630"/>
      <c r="B643" s="631"/>
      <c r="C643" s="631"/>
      <c r="D643" s="631"/>
      <c r="E643" s="631"/>
      <c r="F643" s="631"/>
      <c r="G643" s="632"/>
      <c r="H643" s="584"/>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5"/>
      <c r="AL643" s="585"/>
      <c r="AM643" s="585"/>
      <c r="AN643" s="585"/>
      <c r="AO643" s="585"/>
      <c r="AP643" s="585"/>
      <c r="AQ643" s="585"/>
      <c r="AR643" s="585"/>
      <c r="AS643" s="585"/>
      <c r="AT643" s="585"/>
      <c r="AU643" s="585"/>
      <c r="AV643" s="585"/>
      <c r="AW643" s="585"/>
      <c r="AX643" s="585"/>
      <c r="AY643" s="585"/>
      <c r="AZ643" s="585"/>
      <c r="BA643" s="585"/>
      <c r="BB643" s="586"/>
      <c r="BC643" s="544"/>
      <c r="BD643" s="545"/>
      <c r="BE643" s="545"/>
      <c r="BF643" s="545"/>
      <c r="BG643" s="545"/>
      <c r="BH643" s="545"/>
      <c r="BI643" s="545"/>
      <c r="BJ643" s="545"/>
      <c r="BK643" s="545"/>
      <c r="BL643" s="545"/>
      <c r="BM643" s="545"/>
      <c r="BN643" s="545"/>
      <c r="BO643" s="545"/>
      <c r="BP643" s="545"/>
      <c r="BQ643" s="545"/>
      <c r="BR643" s="546"/>
      <c r="BS643" s="544"/>
      <c r="BT643" s="545"/>
      <c r="BU643" s="545"/>
      <c r="BV643" s="545"/>
      <c r="BW643" s="545"/>
      <c r="BX643" s="545"/>
      <c r="BY643" s="545"/>
      <c r="BZ643" s="545"/>
      <c r="CA643" s="545"/>
      <c r="CB643" s="545"/>
      <c r="CC643" s="545"/>
      <c r="CD643" s="545"/>
      <c r="CE643" s="545"/>
      <c r="CF643" s="545"/>
      <c r="CG643" s="545"/>
      <c r="CH643" s="546"/>
      <c r="CI643" s="544"/>
      <c r="CJ643" s="545"/>
      <c r="CK643" s="545"/>
      <c r="CL643" s="545"/>
      <c r="CM643" s="545"/>
      <c r="CN643" s="545"/>
      <c r="CO643" s="545"/>
      <c r="CP643" s="545"/>
      <c r="CQ643" s="545"/>
      <c r="CR643" s="545"/>
      <c r="CS643" s="545"/>
      <c r="CT643" s="545"/>
      <c r="CU643" s="545"/>
      <c r="CV643" s="545"/>
      <c r="CW643" s="545"/>
      <c r="CX643" s="545"/>
      <c r="CY643" s="545"/>
      <c r="CZ643" s="546"/>
      <c r="DA643" s="214"/>
    </row>
    <row r="644" spans="1:105" s="16" customFormat="1" ht="15" hidden="1" customHeight="1" x14ac:dyDescent="0.3">
      <c r="A644" s="633" t="s">
        <v>292</v>
      </c>
      <c r="B644" s="634"/>
      <c r="C644" s="634"/>
      <c r="D644" s="634"/>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c r="AA644" s="634"/>
      <c r="AB644" s="634"/>
      <c r="AC644" s="634"/>
      <c r="AD644" s="634"/>
      <c r="AE644" s="634"/>
      <c r="AF644" s="634"/>
      <c r="AG644" s="634"/>
      <c r="AH644" s="634"/>
      <c r="AI644" s="634"/>
      <c r="AJ644" s="634"/>
      <c r="AK644" s="634"/>
      <c r="AL644" s="634"/>
      <c r="AM644" s="634"/>
      <c r="AN644" s="634"/>
      <c r="AO644" s="634"/>
      <c r="AP644" s="634"/>
      <c r="AQ644" s="634"/>
      <c r="AR644" s="634"/>
      <c r="AS644" s="634"/>
      <c r="AT644" s="634"/>
      <c r="AU644" s="634"/>
      <c r="AV644" s="634"/>
      <c r="AW644" s="634"/>
      <c r="AX644" s="634"/>
      <c r="AY644" s="634"/>
      <c r="AZ644" s="634"/>
      <c r="BA644" s="634"/>
      <c r="BB644" s="635"/>
      <c r="BC644" s="544" t="s">
        <v>4</v>
      </c>
      <c r="BD644" s="545"/>
      <c r="BE644" s="545"/>
      <c r="BF644" s="545"/>
      <c r="BG644" s="545"/>
      <c r="BH644" s="545"/>
      <c r="BI644" s="545"/>
      <c r="BJ644" s="545"/>
      <c r="BK644" s="545"/>
      <c r="BL644" s="545"/>
      <c r="BM644" s="545"/>
      <c r="BN644" s="545"/>
      <c r="BO644" s="545"/>
      <c r="BP644" s="545"/>
      <c r="BQ644" s="545"/>
      <c r="BR644" s="546"/>
      <c r="BS644" s="544" t="s">
        <v>4</v>
      </c>
      <c r="BT644" s="545"/>
      <c r="BU644" s="545"/>
      <c r="BV644" s="545"/>
      <c r="BW644" s="545"/>
      <c r="BX644" s="545"/>
      <c r="BY644" s="545"/>
      <c r="BZ644" s="545"/>
      <c r="CA644" s="545"/>
      <c r="CB644" s="545"/>
      <c r="CC644" s="545"/>
      <c r="CD644" s="545"/>
      <c r="CE644" s="545"/>
      <c r="CF644" s="545"/>
      <c r="CG644" s="545"/>
      <c r="CH644" s="546"/>
      <c r="CI644" s="544"/>
      <c r="CJ644" s="545"/>
      <c r="CK644" s="545"/>
      <c r="CL644" s="545"/>
      <c r="CM644" s="545"/>
      <c r="CN644" s="545"/>
      <c r="CO644" s="545"/>
      <c r="CP644" s="545"/>
      <c r="CQ644" s="545"/>
      <c r="CR644" s="545"/>
      <c r="CS644" s="545"/>
      <c r="CT644" s="545"/>
      <c r="CU644" s="545"/>
      <c r="CV644" s="545"/>
      <c r="CW644" s="545"/>
      <c r="CX644" s="545"/>
      <c r="CY644" s="545"/>
      <c r="CZ644" s="546"/>
      <c r="DA644" s="214"/>
    </row>
    <row r="645" spans="1:105" s="16" customFormat="1" ht="15" hidden="1" customHeight="1" x14ac:dyDescent="0.3">
      <c r="A645" s="648" t="s">
        <v>258</v>
      </c>
      <c r="B645" s="649"/>
      <c r="C645" s="649"/>
      <c r="D645" s="649"/>
      <c r="E645" s="649"/>
      <c r="F645" s="649"/>
      <c r="G645" s="649"/>
      <c r="H645" s="649"/>
      <c r="I645" s="649"/>
      <c r="J645" s="649"/>
      <c r="K645" s="649"/>
      <c r="L645" s="649"/>
      <c r="M645" s="649"/>
      <c r="N645" s="649"/>
      <c r="O645" s="649"/>
      <c r="P645" s="649"/>
      <c r="Q645" s="649"/>
      <c r="R645" s="649"/>
      <c r="S645" s="649"/>
      <c r="T645" s="649"/>
      <c r="U645" s="649"/>
      <c r="V645" s="649"/>
      <c r="W645" s="649"/>
      <c r="X645" s="649"/>
      <c r="Y645" s="649"/>
      <c r="Z645" s="649"/>
      <c r="AA645" s="649"/>
      <c r="AB645" s="649"/>
      <c r="AC645" s="649"/>
      <c r="AD645" s="649"/>
      <c r="AE645" s="649"/>
      <c r="AF645" s="649"/>
      <c r="AG645" s="649"/>
      <c r="AH645" s="649"/>
      <c r="AI645" s="649"/>
      <c r="AJ645" s="649"/>
      <c r="AK645" s="649"/>
      <c r="AL645" s="649"/>
      <c r="AM645" s="649"/>
      <c r="AN645" s="649"/>
      <c r="AO645" s="649"/>
      <c r="AP645" s="649"/>
      <c r="AQ645" s="649"/>
      <c r="AR645" s="649"/>
      <c r="AS645" s="649"/>
      <c r="AT645" s="649"/>
      <c r="AU645" s="649"/>
      <c r="AV645" s="649"/>
      <c r="AW645" s="649"/>
      <c r="AX645" s="649"/>
      <c r="AY645" s="649"/>
      <c r="AZ645" s="649"/>
      <c r="BA645" s="649"/>
      <c r="BB645" s="649"/>
      <c r="BC645" s="649"/>
      <c r="BD645" s="649"/>
      <c r="BE645" s="649"/>
      <c r="BF645" s="649"/>
      <c r="BG645" s="649"/>
      <c r="BH645" s="649"/>
      <c r="BI645" s="649"/>
      <c r="BJ645" s="649"/>
      <c r="BK645" s="649"/>
      <c r="BL645" s="649"/>
      <c r="BM645" s="649"/>
      <c r="BN645" s="649"/>
      <c r="BO645" s="649"/>
      <c r="BP645" s="649"/>
      <c r="BQ645" s="649"/>
      <c r="BR645" s="649"/>
      <c r="BS645" s="649"/>
      <c r="BT645" s="649"/>
      <c r="BU645" s="649"/>
      <c r="BV645" s="649"/>
      <c r="BW645" s="649"/>
      <c r="BX645" s="649"/>
      <c r="BY645" s="649"/>
      <c r="BZ645" s="649"/>
      <c r="CA645" s="649"/>
      <c r="CB645" s="649"/>
      <c r="CC645" s="649"/>
      <c r="CD645" s="649"/>
      <c r="CE645" s="649"/>
      <c r="CF645" s="649"/>
      <c r="CG645" s="649"/>
      <c r="CH645" s="649"/>
      <c r="CI645" s="649"/>
      <c r="CJ645" s="649"/>
      <c r="CK645" s="649"/>
      <c r="CL645" s="649"/>
      <c r="CM645" s="649"/>
      <c r="CN645" s="649"/>
      <c r="CO645" s="649"/>
      <c r="CP645" s="649"/>
      <c r="CQ645" s="649"/>
      <c r="CR645" s="649"/>
      <c r="CS645" s="649"/>
      <c r="CT645" s="649"/>
      <c r="CU645" s="649"/>
      <c r="CV645" s="649"/>
      <c r="CW645" s="649"/>
      <c r="CX645" s="649"/>
      <c r="CY645" s="649"/>
      <c r="CZ645" s="649"/>
      <c r="DA645" s="214"/>
    </row>
    <row r="646" spans="1:105" s="16" customFormat="1" ht="15" hidden="1" customHeight="1" x14ac:dyDescent="0.3">
      <c r="A646" s="630"/>
      <c r="B646" s="631"/>
      <c r="C646" s="631"/>
      <c r="D646" s="631"/>
      <c r="E646" s="631"/>
      <c r="F646" s="631"/>
      <c r="G646" s="632"/>
      <c r="H646" s="584"/>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585"/>
      <c r="AY646" s="585"/>
      <c r="AZ646" s="585"/>
      <c r="BA646" s="585"/>
      <c r="BB646" s="586"/>
      <c r="BC646" s="544"/>
      <c r="BD646" s="545"/>
      <c r="BE646" s="545"/>
      <c r="BF646" s="545"/>
      <c r="BG646" s="545"/>
      <c r="BH646" s="545"/>
      <c r="BI646" s="545"/>
      <c r="BJ646" s="545"/>
      <c r="BK646" s="545"/>
      <c r="BL646" s="545"/>
      <c r="BM646" s="545"/>
      <c r="BN646" s="545"/>
      <c r="BO646" s="545"/>
      <c r="BP646" s="545"/>
      <c r="BQ646" s="545"/>
      <c r="BR646" s="546"/>
      <c r="BS646" s="544"/>
      <c r="BT646" s="545"/>
      <c r="BU646" s="545"/>
      <c r="BV646" s="545"/>
      <c r="BW646" s="545"/>
      <c r="BX646" s="545"/>
      <c r="BY646" s="545"/>
      <c r="BZ646" s="545"/>
      <c r="CA646" s="545"/>
      <c r="CB646" s="545"/>
      <c r="CC646" s="545"/>
      <c r="CD646" s="545"/>
      <c r="CE646" s="545"/>
      <c r="CF646" s="545"/>
      <c r="CG646" s="545"/>
      <c r="CH646" s="546"/>
      <c r="CI646" s="544"/>
      <c r="CJ646" s="545"/>
      <c r="CK646" s="545"/>
      <c r="CL646" s="545"/>
      <c r="CM646" s="545"/>
      <c r="CN646" s="545"/>
      <c r="CO646" s="545"/>
      <c r="CP646" s="545"/>
      <c r="CQ646" s="545"/>
      <c r="CR646" s="545"/>
      <c r="CS646" s="545"/>
      <c r="CT646" s="545"/>
      <c r="CU646" s="545"/>
      <c r="CV646" s="545"/>
      <c r="CW646" s="545"/>
      <c r="CX646" s="545"/>
      <c r="CY646" s="545"/>
      <c r="CZ646" s="546"/>
      <c r="DA646" s="214"/>
    </row>
    <row r="647" spans="1:105" s="16" customFormat="1" ht="15" hidden="1" customHeight="1" x14ac:dyDescent="0.3">
      <c r="A647" s="633" t="s">
        <v>292</v>
      </c>
      <c r="B647" s="634"/>
      <c r="C647" s="634"/>
      <c r="D647" s="634"/>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c r="AA647" s="634"/>
      <c r="AB647" s="634"/>
      <c r="AC647" s="634"/>
      <c r="AD647" s="634"/>
      <c r="AE647" s="634"/>
      <c r="AF647" s="634"/>
      <c r="AG647" s="634"/>
      <c r="AH647" s="634"/>
      <c r="AI647" s="634"/>
      <c r="AJ647" s="634"/>
      <c r="AK647" s="634"/>
      <c r="AL647" s="634"/>
      <c r="AM647" s="634"/>
      <c r="AN647" s="634"/>
      <c r="AO647" s="634"/>
      <c r="AP647" s="634"/>
      <c r="AQ647" s="634"/>
      <c r="AR647" s="634"/>
      <c r="AS647" s="634"/>
      <c r="AT647" s="634"/>
      <c r="AU647" s="634"/>
      <c r="AV647" s="634"/>
      <c r="AW647" s="634"/>
      <c r="AX647" s="634"/>
      <c r="AY647" s="634"/>
      <c r="AZ647" s="634"/>
      <c r="BA647" s="634"/>
      <c r="BB647" s="635"/>
      <c r="BC647" s="544" t="s">
        <v>4</v>
      </c>
      <c r="BD647" s="545"/>
      <c r="BE647" s="545"/>
      <c r="BF647" s="545"/>
      <c r="BG647" s="545"/>
      <c r="BH647" s="545"/>
      <c r="BI647" s="545"/>
      <c r="BJ647" s="545"/>
      <c r="BK647" s="545"/>
      <c r="BL647" s="545"/>
      <c r="BM647" s="545"/>
      <c r="BN647" s="545"/>
      <c r="BO647" s="545"/>
      <c r="BP647" s="545"/>
      <c r="BQ647" s="545"/>
      <c r="BR647" s="546"/>
      <c r="BS647" s="544" t="s">
        <v>4</v>
      </c>
      <c r="BT647" s="545"/>
      <c r="BU647" s="545"/>
      <c r="BV647" s="545"/>
      <c r="BW647" s="545"/>
      <c r="BX647" s="545"/>
      <c r="BY647" s="545"/>
      <c r="BZ647" s="545"/>
      <c r="CA647" s="545"/>
      <c r="CB647" s="545"/>
      <c r="CC647" s="545"/>
      <c r="CD647" s="545"/>
      <c r="CE647" s="545"/>
      <c r="CF647" s="545"/>
      <c r="CG647" s="545"/>
      <c r="CH647" s="546"/>
      <c r="CI647" s="544"/>
      <c r="CJ647" s="545"/>
      <c r="CK647" s="545"/>
      <c r="CL647" s="545"/>
      <c r="CM647" s="545"/>
      <c r="CN647" s="545"/>
      <c r="CO647" s="545"/>
      <c r="CP647" s="545"/>
      <c r="CQ647" s="545"/>
      <c r="CR647" s="545"/>
      <c r="CS647" s="545"/>
      <c r="CT647" s="545"/>
      <c r="CU647" s="545"/>
      <c r="CV647" s="545"/>
      <c r="CW647" s="545"/>
      <c r="CX647" s="545"/>
      <c r="CY647" s="545"/>
      <c r="CZ647" s="546"/>
      <c r="DA647" s="214"/>
    </row>
    <row r="648" spans="1:105" s="16" customFormat="1" ht="15" hidden="1" customHeight="1" x14ac:dyDescent="0.3">
      <c r="A648" s="553" t="s">
        <v>56</v>
      </c>
      <c r="B648" s="554"/>
      <c r="C648" s="554"/>
      <c r="D648" s="554"/>
      <c r="E648" s="554"/>
      <c r="F648" s="554"/>
      <c r="G648" s="554"/>
      <c r="H648" s="554"/>
      <c r="I648" s="554"/>
      <c r="J648" s="554"/>
      <c r="K648" s="554"/>
      <c r="L648" s="554"/>
      <c r="M648" s="554"/>
      <c r="N648" s="554"/>
      <c r="O648" s="554"/>
      <c r="P648" s="554"/>
      <c r="Q648" s="554"/>
      <c r="R648" s="554"/>
      <c r="S648" s="554"/>
      <c r="T648" s="554"/>
      <c r="U648" s="554"/>
      <c r="V648" s="554"/>
      <c r="W648" s="554"/>
      <c r="X648" s="554"/>
      <c r="Y648" s="554"/>
      <c r="Z648" s="554"/>
      <c r="AA648" s="554"/>
      <c r="AB648" s="554"/>
      <c r="AC648" s="554"/>
      <c r="AD648" s="554"/>
      <c r="AE648" s="554"/>
      <c r="AF648" s="554"/>
      <c r="AG648" s="554"/>
      <c r="AH648" s="554"/>
      <c r="AI648" s="554"/>
      <c r="AJ648" s="554"/>
      <c r="AK648" s="554"/>
      <c r="AL648" s="554"/>
      <c r="AM648" s="554"/>
      <c r="AN648" s="554"/>
      <c r="AO648" s="554"/>
      <c r="AP648" s="554"/>
      <c r="AQ648" s="554"/>
      <c r="AR648" s="554"/>
      <c r="AS648" s="554"/>
      <c r="AT648" s="554"/>
      <c r="AU648" s="554"/>
      <c r="AV648" s="554"/>
      <c r="AW648" s="554"/>
      <c r="AX648" s="554"/>
      <c r="AY648" s="554"/>
      <c r="AZ648" s="554"/>
      <c r="BA648" s="554"/>
      <c r="BB648" s="555"/>
      <c r="BC648" s="544" t="s">
        <v>4</v>
      </c>
      <c r="BD648" s="545"/>
      <c r="BE648" s="545"/>
      <c r="BF648" s="545"/>
      <c r="BG648" s="545"/>
      <c r="BH648" s="545"/>
      <c r="BI648" s="545"/>
      <c r="BJ648" s="545"/>
      <c r="BK648" s="545"/>
      <c r="BL648" s="545"/>
      <c r="BM648" s="545"/>
      <c r="BN648" s="545"/>
      <c r="BO648" s="545"/>
      <c r="BP648" s="545"/>
      <c r="BQ648" s="545"/>
      <c r="BR648" s="546"/>
      <c r="BS648" s="544" t="s">
        <v>4</v>
      </c>
      <c r="BT648" s="545"/>
      <c r="BU648" s="545"/>
      <c r="BV648" s="545"/>
      <c r="BW648" s="545"/>
      <c r="BX648" s="545"/>
      <c r="BY648" s="545"/>
      <c r="BZ648" s="545"/>
      <c r="CA648" s="545"/>
      <c r="CB648" s="545"/>
      <c r="CC648" s="545"/>
      <c r="CD648" s="545"/>
      <c r="CE648" s="545"/>
      <c r="CF648" s="545"/>
      <c r="CG648" s="545"/>
      <c r="CH648" s="546"/>
      <c r="CI648" s="544"/>
      <c r="CJ648" s="545"/>
      <c r="CK648" s="545"/>
      <c r="CL648" s="545"/>
      <c r="CM648" s="545"/>
      <c r="CN648" s="545"/>
      <c r="CO648" s="545"/>
      <c r="CP648" s="545"/>
      <c r="CQ648" s="545"/>
      <c r="CR648" s="545"/>
      <c r="CS648" s="545"/>
      <c r="CT648" s="545"/>
      <c r="CU648" s="545"/>
      <c r="CV648" s="545"/>
      <c r="CW648" s="545"/>
      <c r="CX648" s="545"/>
      <c r="CY648" s="545"/>
      <c r="CZ648" s="546"/>
      <c r="DA648" s="214"/>
    </row>
    <row r="649" spans="1:105" ht="10.5" hidden="1" customHeight="1" x14ac:dyDescent="0.25"/>
    <row r="650" spans="1:105" ht="17.399999999999999" hidden="1" customHeight="1" x14ac:dyDescent="0.25">
      <c r="A650" s="553" t="s">
        <v>56</v>
      </c>
      <c r="B650" s="554"/>
      <c r="C650" s="554"/>
      <c r="D650" s="554"/>
      <c r="E650" s="554"/>
      <c r="F650" s="554"/>
      <c r="G650" s="554"/>
      <c r="H650" s="554"/>
      <c r="I650" s="554"/>
      <c r="J650" s="554"/>
      <c r="K650" s="554"/>
      <c r="L650" s="554"/>
      <c r="M650" s="554"/>
      <c r="N650" s="554"/>
      <c r="O650" s="554"/>
      <c r="P650" s="554"/>
      <c r="Q650" s="554"/>
      <c r="R650" s="554"/>
      <c r="S650" s="554"/>
      <c r="T650" s="554"/>
      <c r="U650" s="554"/>
      <c r="V650" s="554"/>
      <c r="W650" s="554"/>
      <c r="X650" s="554"/>
      <c r="Y650" s="554"/>
      <c r="Z650" s="554"/>
      <c r="AA650" s="554"/>
      <c r="AB650" s="554"/>
      <c r="AC650" s="554"/>
      <c r="AD650" s="554"/>
      <c r="AE650" s="554"/>
      <c r="AF650" s="554"/>
      <c r="AG650" s="554"/>
      <c r="AH650" s="554"/>
      <c r="AI650" s="554"/>
      <c r="AJ650" s="554"/>
      <c r="AK650" s="554"/>
      <c r="AL650" s="554"/>
      <c r="AM650" s="554"/>
      <c r="AN650" s="554"/>
      <c r="AO650" s="554"/>
      <c r="AP650" s="554"/>
      <c r="AQ650" s="554"/>
      <c r="AR650" s="554"/>
      <c r="AS650" s="554"/>
      <c r="AT650" s="554"/>
      <c r="AU650" s="554"/>
      <c r="AV650" s="554"/>
      <c r="AW650" s="554"/>
      <c r="AX650" s="554"/>
      <c r="AY650" s="554"/>
      <c r="AZ650" s="554"/>
      <c r="BA650" s="554"/>
      <c r="BB650" s="555"/>
      <c r="BC650" s="582" t="s">
        <v>4</v>
      </c>
      <c r="BD650" s="582"/>
      <c r="BE650" s="582"/>
      <c r="BF650" s="582"/>
      <c r="BG650" s="582"/>
      <c r="BH650" s="582"/>
      <c r="BI650" s="582"/>
      <c r="BJ650" s="582"/>
      <c r="BK650" s="582"/>
      <c r="BL650" s="582"/>
      <c r="BM650" s="582"/>
      <c r="BN650" s="582"/>
      <c r="BO650" s="582"/>
      <c r="BP650" s="582"/>
      <c r="BQ650" s="582"/>
      <c r="BR650" s="582"/>
      <c r="BS650" s="582" t="s">
        <v>4</v>
      </c>
      <c r="BT650" s="582"/>
      <c r="BU650" s="582"/>
      <c r="BV650" s="582"/>
      <c r="BW650" s="582"/>
      <c r="BX650" s="582"/>
      <c r="BY650" s="582"/>
      <c r="BZ650" s="582"/>
      <c r="CA650" s="582"/>
      <c r="CB650" s="582"/>
      <c r="CC650" s="582"/>
      <c r="CD650" s="582"/>
      <c r="CE650" s="582"/>
      <c r="CF650" s="582"/>
      <c r="CG650" s="582"/>
      <c r="CH650" s="582"/>
      <c r="CI650" s="611">
        <f>CI592+CI642+CI617</f>
        <v>0</v>
      </c>
      <c r="CJ650" s="560"/>
      <c r="CK650" s="560"/>
      <c r="CL650" s="560"/>
      <c r="CM650" s="560"/>
      <c r="CN650" s="560"/>
      <c r="CO650" s="560"/>
      <c r="CP650" s="560"/>
      <c r="CQ650" s="560"/>
      <c r="CR650" s="560"/>
      <c r="CS650" s="560"/>
      <c r="CT650" s="560"/>
      <c r="CU650" s="560"/>
      <c r="CV650" s="560"/>
      <c r="CW650" s="560"/>
      <c r="CX650" s="560"/>
      <c r="CY650" s="560"/>
      <c r="CZ650" s="560"/>
      <c r="DA650" s="243">
        <f>DA642-CI642</f>
        <v>3907008</v>
      </c>
    </row>
    <row r="651" spans="1:105" s="20" customFormat="1" ht="21" customHeight="1" x14ac:dyDescent="0.25">
      <c r="A651" s="524" t="s">
        <v>362</v>
      </c>
      <c r="B651" s="524"/>
      <c r="C651" s="524"/>
      <c r="D651" s="524"/>
      <c r="E651" s="524"/>
      <c r="F651" s="524"/>
      <c r="G651" s="524"/>
      <c r="H651" s="524"/>
      <c r="I651" s="524"/>
      <c r="J651" s="524"/>
      <c r="K651" s="524"/>
      <c r="L651" s="524"/>
      <c r="M651" s="524"/>
      <c r="N651" s="524"/>
      <c r="O651" s="524"/>
      <c r="P651" s="524"/>
      <c r="Q651" s="524"/>
      <c r="R651" s="524"/>
      <c r="S651" s="524"/>
      <c r="T651" s="524"/>
      <c r="U651" s="524"/>
      <c r="V651" s="524"/>
      <c r="W651" s="524"/>
      <c r="X651" s="524"/>
      <c r="Y651" s="524"/>
      <c r="Z651" s="524"/>
      <c r="AA651" s="524"/>
      <c r="AB651" s="524"/>
      <c r="AC651" s="524"/>
      <c r="AD651" s="524"/>
      <c r="AE651" s="524"/>
      <c r="AF651" s="524"/>
      <c r="AG651" s="524"/>
      <c r="AH651" s="524"/>
      <c r="AI651" s="524"/>
      <c r="AJ651" s="524"/>
      <c r="AK651" s="524"/>
      <c r="AL651" s="524"/>
      <c r="AM651" s="524"/>
      <c r="AN651" s="524"/>
      <c r="AO651" s="524"/>
      <c r="AP651" s="524"/>
      <c r="AQ651" s="524"/>
      <c r="AR651" s="524"/>
      <c r="AS651" s="524"/>
      <c r="AT651" s="524"/>
      <c r="AU651" s="524"/>
      <c r="AV651" s="524"/>
      <c r="AW651" s="524"/>
      <c r="AX651" s="524"/>
      <c r="AY651" s="524"/>
      <c r="AZ651" s="524"/>
      <c r="BA651" s="524"/>
      <c r="BB651" s="524"/>
      <c r="BC651" s="524"/>
      <c r="BD651" s="524"/>
      <c r="BE651" s="524"/>
      <c r="BF651" s="524"/>
      <c r="BG651" s="524"/>
      <c r="BH651" s="524"/>
      <c r="BI651" s="524"/>
      <c r="BJ651" s="524"/>
      <c r="BK651" s="524"/>
      <c r="BL651" s="524"/>
      <c r="BM651" s="524"/>
      <c r="BN651" s="524"/>
      <c r="BO651" s="524"/>
      <c r="BP651" s="524"/>
      <c r="BQ651" s="524"/>
      <c r="BR651" s="524"/>
      <c r="BS651" s="524"/>
      <c r="BT651" s="524"/>
      <c r="BU651" s="524"/>
      <c r="BV651" s="524"/>
      <c r="BW651" s="524"/>
      <c r="BX651" s="524"/>
      <c r="BY651" s="524"/>
      <c r="BZ651" s="524"/>
      <c r="CA651" s="524"/>
      <c r="CB651" s="524"/>
      <c r="CC651" s="524"/>
      <c r="CD651" s="524"/>
      <c r="CE651" s="524"/>
      <c r="CF651" s="524"/>
      <c r="CG651" s="524"/>
      <c r="CH651" s="524"/>
      <c r="CI651" s="524"/>
      <c r="CJ651" s="524"/>
      <c r="CK651" s="524"/>
      <c r="CL651" s="524"/>
      <c r="CM651" s="524"/>
      <c r="CN651" s="524"/>
      <c r="CO651" s="524"/>
      <c r="CP651" s="524"/>
      <c r="CQ651" s="524"/>
      <c r="CR651" s="524"/>
      <c r="CS651" s="524"/>
      <c r="CT651" s="524"/>
      <c r="CU651" s="524"/>
      <c r="CV651" s="524"/>
      <c r="CW651" s="524"/>
      <c r="CX651" s="524"/>
      <c r="CY651" s="524"/>
      <c r="CZ651" s="524"/>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595" t="s">
        <v>587</v>
      </c>
      <c r="X653" s="595"/>
      <c r="Y653" s="595"/>
      <c r="Z653" s="595"/>
      <c r="AA653" s="595"/>
      <c r="AB653" s="595"/>
      <c r="AC653" s="595"/>
      <c r="AD653" s="595"/>
      <c r="AE653" s="595"/>
      <c r="AF653" s="595"/>
      <c r="AG653" s="595"/>
      <c r="AH653" s="595"/>
      <c r="AI653" s="595"/>
      <c r="AJ653" s="595"/>
      <c r="AK653" s="595"/>
      <c r="AL653" s="595"/>
      <c r="AM653" s="595"/>
      <c r="AN653" s="595"/>
      <c r="AO653" s="595"/>
      <c r="AP653" s="595"/>
      <c r="AQ653" s="595"/>
      <c r="AR653" s="595"/>
      <c r="AS653" s="595"/>
      <c r="AT653" s="595"/>
      <c r="AU653" s="595"/>
      <c r="AV653" s="595"/>
      <c r="AW653" s="595"/>
      <c r="AX653" s="595"/>
      <c r="AY653" s="595"/>
      <c r="AZ653" s="595"/>
      <c r="BA653" s="595"/>
      <c r="BB653" s="595"/>
      <c r="BC653" s="595"/>
      <c r="BD653" s="595"/>
      <c r="BE653" s="595"/>
      <c r="BF653" s="595"/>
      <c r="BG653" s="595"/>
      <c r="BH653" s="595"/>
      <c r="BI653" s="595"/>
      <c r="BJ653" s="595"/>
      <c r="BK653" s="595"/>
      <c r="BL653" s="595"/>
      <c r="BM653" s="595"/>
      <c r="BN653" s="595"/>
      <c r="BO653" s="595"/>
      <c r="BP653" s="595"/>
      <c r="BQ653" s="595"/>
      <c r="BR653" s="595"/>
      <c r="BS653" s="595"/>
      <c r="BT653" s="595"/>
      <c r="BU653" s="595"/>
      <c r="BV653" s="595"/>
      <c r="BW653" s="595"/>
      <c r="BX653" s="595"/>
      <c r="BY653" s="595"/>
      <c r="BZ653" s="595"/>
      <c r="CA653" s="595"/>
      <c r="CB653" s="595"/>
      <c r="CC653" s="595"/>
      <c r="CD653" s="595"/>
      <c r="CE653" s="595"/>
      <c r="CF653" s="595"/>
      <c r="CG653" s="595"/>
      <c r="CH653" s="595"/>
      <c r="CI653" s="595"/>
      <c r="CJ653" s="595"/>
      <c r="CK653" s="595"/>
      <c r="CL653" s="595"/>
      <c r="CM653" s="595"/>
      <c r="CN653" s="595"/>
      <c r="CO653" s="595"/>
      <c r="CP653" s="595"/>
      <c r="CQ653" s="595"/>
      <c r="CR653" s="595"/>
      <c r="CS653" s="595"/>
      <c r="CT653" s="595"/>
      <c r="CU653" s="595"/>
      <c r="CV653" s="595"/>
      <c r="CW653" s="595"/>
      <c r="CX653" s="595"/>
      <c r="CY653" s="595"/>
      <c r="CZ653" s="595"/>
      <c r="DA653" s="230" t="s">
        <v>917</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475" t="s">
        <v>49</v>
      </c>
      <c r="B655" s="476"/>
      <c r="C655" s="476"/>
      <c r="D655" s="476"/>
      <c r="E655" s="476"/>
      <c r="F655" s="476"/>
      <c r="G655" s="477"/>
      <c r="H655" s="475" t="s">
        <v>0</v>
      </c>
      <c r="I655" s="476"/>
      <c r="J655" s="476"/>
      <c r="K655" s="476"/>
      <c r="L655" s="476"/>
      <c r="M655" s="476"/>
      <c r="N655" s="476"/>
      <c r="O655" s="476"/>
      <c r="P655" s="476"/>
      <c r="Q655" s="476"/>
      <c r="R655" s="476"/>
      <c r="S655" s="476"/>
      <c r="T655" s="476"/>
      <c r="U655" s="476"/>
      <c r="V655" s="476"/>
      <c r="W655" s="476"/>
      <c r="X655" s="476"/>
      <c r="Y655" s="476"/>
      <c r="Z655" s="476"/>
      <c r="AA655" s="476"/>
      <c r="AB655" s="476"/>
      <c r="AC655" s="476"/>
      <c r="AD655" s="476"/>
      <c r="AE655" s="476"/>
      <c r="AF655" s="476"/>
      <c r="AG655" s="476"/>
      <c r="AH655" s="476"/>
      <c r="AI655" s="476"/>
      <c r="AJ655" s="476"/>
      <c r="AK655" s="476"/>
      <c r="AL655" s="476"/>
      <c r="AM655" s="476"/>
      <c r="AN655" s="476"/>
      <c r="AO655" s="476"/>
      <c r="AP655" s="476"/>
      <c r="AQ655" s="476"/>
      <c r="AR655" s="476"/>
      <c r="AS655" s="476"/>
      <c r="AT655" s="477"/>
      <c r="AU655" s="475" t="s">
        <v>196</v>
      </c>
      <c r="AV655" s="476"/>
      <c r="AW655" s="476"/>
      <c r="AX655" s="476"/>
      <c r="AY655" s="476"/>
      <c r="AZ655" s="476"/>
      <c r="BA655" s="476"/>
      <c r="BB655" s="477"/>
      <c r="BC655" s="475" t="s">
        <v>91</v>
      </c>
      <c r="BD655" s="476"/>
      <c r="BE655" s="476"/>
      <c r="BF655" s="476"/>
      <c r="BG655" s="476"/>
      <c r="BH655" s="476"/>
      <c r="BI655" s="476"/>
      <c r="BJ655" s="476"/>
      <c r="BK655" s="476"/>
      <c r="BL655" s="476"/>
      <c r="BM655" s="476"/>
      <c r="BN655" s="476"/>
      <c r="BO655" s="476"/>
      <c r="BP655" s="476"/>
      <c r="BQ655" s="476"/>
      <c r="BR655" s="477"/>
      <c r="BS655" s="475" t="s">
        <v>96</v>
      </c>
      <c r="BT655" s="476"/>
      <c r="BU655" s="476"/>
      <c r="BV655" s="476"/>
      <c r="BW655" s="476"/>
      <c r="BX655" s="476"/>
      <c r="BY655" s="476"/>
      <c r="BZ655" s="476"/>
      <c r="CA655" s="476"/>
      <c r="CB655" s="476"/>
      <c r="CC655" s="476"/>
      <c r="CD655" s="476"/>
      <c r="CE655" s="476"/>
      <c r="CF655" s="476"/>
      <c r="CG655" s="476"/>
      <c r="CH655" s="477"/>
      <c r="CI655" s="475" t="s">
        <v>97</v>
      </c>
      <c r="CJ655" s="476"/>
      <c r="CK655" s="476"/>
      <c r="CL655" s="476"/>
      <c r="CM655" s="476"/>
      <c r="CN655" s="476"/>
      <c r="CO655" s="476"/>
      <c r="CP655" s="476"/>
      <c r="CQ655" s="476"/>
      <c r="CR655" s="476"/>
      <c r="CS655" s="476"/>
      <c r="CT655" s="476"/>
      <c r="CU655" s="476"/>
      <c r="CV655" s="476"/>
      <c r="CW655" s="476"/>
      <c r="CX655" s="476"/>
      <c r="CY655" s="476"/>
      <c r="CZ655" s="477"/>
      <c r="DA655" s="218"/>
    </row>
    <row r="656" spans="1:105" s="15" customFormat="1" ht="12.75" customHeight="1" x14ac:dyDescent="0.3">
      <c r="A656" s="661">
        <v>1</v>
      </c>
      <c r="B656" s="662"/>
      <c r="C656" s="662"/>
      <c r="D656" s="662"/>
      <c r="E656" s="662"/>
      <c r="F656" s="662"/>
      <c r="G656" s="663"/>
      <c r="H656" s="661">
        <v>2</v>
      </c>
      <c r="I656" s="662"/>
      <c r="J656" s="662"/>
      <c r="K656" s="662"/>
      <c r="L656" s="662"/>
      <c r="M656" s="662"/>
      <c r="N656" s="662"/>
      <c r="O656" s="662"/>
      <c r="P656" s="662"/>
      <c r="Q656" s="662"/>
      <c r="R656" s="662"/>
      <c r="S656" s="662"/>
      <c r="T656" s="662"/>
      <c r="U656" s="662"/>
      <c r="V656" s="662"/>
      <c r="W656" s="662"/>
      <c r="X656" s="662"/>
      <c r="Y656" s="662"/>
      <c r="Z656" s="662"/>
      <c r="AA656" s="662"/>
      <c r="AB656" s="662"/>
      <c r="AC656" s="662"/>
      <c r="AD656" s="662"/>
      <c r="AE656" s="662"/>
      <c r="AF656" s="662"/>
      <c r="AG656" s="662"/>
      <c r="AH656" s="662"/>
      <c r="AI656" s="662"/>
      <c r="AJ656" s="662"/>
      <c r="AK656" s="662"/>
      <c r="AL656" s="662"/>
      <c r="AM656" s="662"/>
      <c r="AN656" s="662"/>
      <c r="AO656" s="662"/>
      <c r="AP656" s="662"/>
      <c r="AQ656" s="662"/>
      <c r="AR656" s="662"/>
      <c r="AS656" s="662"/>
      <c r="AT656" s="663"/>
      <c r="AU656" s="661">
        <v>3</v>
      </c>
      <c r="AV656" s="662"/>
      <c r="AW656" s="662"/>
      <c r="AX656" s="662"/>
      <c r="AY656" s="662"/>
      <c r="AZ656" s="662"/>
      <c r="BA656" s="662"/>
      <c r="BB656" s="663"/>
      <c r="BC656" s="661">
        <v>4</v>
      </c>
      <c r="BD656" s="662"/>
      <c r="BE656" s="662"/>
      <c r="BF656" s="662"/>
      <c r="BG656" s="662"/>
      <c r="BH656" s="662"/>
      <c r="BI656" s="662"/>
      <c r="BJ656" s="662"/>
      <c r="BK656" s="662"/>
      <c r="BL656" s="662"/>
      <c r="BM656" s="662"/>
      <c r="BN656" s="662"/>
      <c r="BO656" s="662"/>
      <c r="BP656" s="662"/>
      <c r="BQ656" s="662"/>
      <c r="BR656" s="663"/>
      <c r="BS656" s="661">
        <v>5</v>
      </c>
      <c r="BT656" s="662"/>
      <c r="BU656" s="662"/>
      <c r="BV656" s="662"/>
      <c r="BW656" s="662"/>
      <c r="BX656" s="662"/>
      <c r="BY656" s="662"/>
      <c r="BZ656" s="662"/>
      <c r="CA656" s="662"/>
      <c r="CB656" s="662"/>
      <c r="CC656" s="662"/>
      <c r="CD656" s="662"/>
      <c r="CE656" s="662"/>
      <c r="CF656" s="662"/>
      <c r="CG656" s="662"/>
      <c r="CH656" s="663"/>
      <c r="CI656" s="661">
        <v>6</v>
      </c>
      <c r="CJ656" s="662"/>
      <c r="CK656" s="662"/>
      <c r="CL656" s="662"/>
      <c r="CM656" s="662"/>
      <c r="CN656" s="662"/>
      <c r="CO656" s="662"/>
      <c r="CP656" s="662"/>
      <c r="CQ656" s="662"/>
      <c r="CR656" s="662"/>
      <c r="CS656" s="662"/>
      <c r="CT656" s="662"/>
      <c r="CU656" s="662"/>
      <c r="CV656" s="662"/>
      <c r="CW656" s="662"/>
      <c r="CX656" s="662"/>
      <c r="CY656" s="662"/>
      <c r="CZ656" s="663"/>
      <c r="DA656" s="219"/>
    </row>
    <row r="657" spans="1:105" s="16" customFormat="1" ht="15" customHeight="1" x14ac:dyDescent="0.3">
      <c r="A657" s="648" t="s">
        <v>569</v>
      </c>
      <c r="B657" s="649"/>
      <c r="C657" s="649"/>
      <c r="D657" s="649"/>
      <c r="E657" s="649"/>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9"/>
      <c r="AL657" s="649"/>
      <c r="AM657" s="649"/>
      <c r="AN657" s="649"/>
      <c r="AO657" s="649"/>
      <c r="AP657" s="649"/>
      <c r="AQ657" s="649"/>
      <c r="AR657" s="649"/>
      <c r="AS657" s="649"/>
      <c r="AT657" s="649"/>
      <c r="AU657" s="649"/>
      <c r="AV657" s="649"/>
      <c r="AW657" s="649"/>
      <c r="AX657" s="649"/>
      <c r="AY657" s="649"/>
      <c r="AZ657" s="649"/>
      <c r="BA657" s="649"/>
      <c r="BB657" s="649"/>
      <c r="BC657" s="649"/>
      <c r="BD657" s="649"/>
      <c r="BE657" s="649"/>
      <c r="BF657" s="649"/>
      <c r="BG657" s="649"/>
      <c r="BH657" s="649"/>
      <c r="BI657" s="649"/>
      <c r="BJ657" s="649"/>
      <c r="BK657" s="649"/>
      <c r="BL657" s="649"/>
      <c r="BM657" s="649"/>
      <c r="BN657" s="649"/>
      <c r="BO657" s="649"/>
      <c r="BP657" s="649"/>
      <c r="BQ657" s="649"/>
      <c r="BR657" s="649"/>
      <c r="BS657" s="649"/>
      <c r="BT657" s="649"/>
      <c r="BU657" s="649"/>
      <c r="BV657" s="649"/>
      <c r="BW657" s="649"/>
      <c r="BX657" s="649"/>
      <c r="BY657" s="649"/>
      <c r="BZ657" s="649"/>
      <c r="CA657" s="649"/>
      <c r="CB657" s="649"/>
      <c r="CC657" s="649"/>
      <c r="CD657" s="649"/>
      <c r="CE657" s="649"/>
      <c r="CF657" s="649"/>
      <c r="CG657" s="649"/>
      <c r="CH657" s="649"/>
      <c r="CI657" s="649"/>
      <c r="CJ657" s="649"/>
      <c r="CK657" s="649"/>
      <c r="CL657" s="649"/>
      <c r="CM657" s="649"/>
      <c r="CN657" s="649"/>
      <c r="CO657" s="649"/>
      <c r="CP657" s="649"/>
      <c r="CQ657" s="649"/>
      <c r="CR657" s="649"/>
      <c r="CS657" s="649"/>
      <c r="CT657" s="649"/>
      <c r="CU657" s="649"/>
      <c r="CV657" s="649"/>
      <c r="CW657" s="649"/>
      <c r="CX657" s="649"/>
      <c r="CY657" s="649"/>
      <c r="CZ657" s="650"/>
      <c r="DA657" s="214"/>
    </row>
    <row r="658" spans="1:105" s="16" customFormat="1" ht="15" hidden="1" customHeight="1" x14ac:dyDescent="0.3">
      <c r="A658" s="630"/>
      <c r="B658" s="631"/>
      <c r="C658" s="631"/>
      <c r="D658" s="631"/>
      <c r="E658" s="631"/>
      <c r="F658" s="631"/>
      <c r="G658" s="632"/>
      <c r="H658" s="651"/>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52"/>
      <c r="AL658" s="652"/>
      <c r="AM658" s="652"/>
      <c r="AN658" s="652"/>
      <c r="AO658" s="652"/>
      <c r="AP658" s="652"/>
      <c r="AQ658" s="652"/>
      <c r="AR658" s="652"/>
      <c r="AS658" s="652"/>
      <c r="AT658" s="653"/>
      <c r="AU658" s="475"/>
      <c r="AV658" s="476"/>
      <c r="AW658" s="476"/>
      <c r="AX658" s="476"/>
      <c r="AY658" s="476"/>
      <c r="AZ658" s="476"/>
      <c r="BA658" s="476"/>
      <c r="BB658" s="477"/>
      <c r="BC658" s="544"/>
      <c r="BD658" s="545"/>
      <c r="BE658" s="545"/>
      <c r="BF658" s="545"/>
      <c r="BG658" s="545"/>
      <c r="BH658" s="545"/>
      <c r="BI658" s="545"/>
      <c r="BJ658" s="545"/>
      <c r="BK658" s="545"/>
      <c r="BL658" s="545"/>
      <c r="BM658" s="545"/>
      <c r="BN658" s="545"/>
      <c r="BO658" s="545"/>
      <c r="BP658" s="545"/>
      <c r="BQ658" s="545"/>
      <c r="BR658" s="546"/>
      <c r="BS658" s="639"/>
      <c r="BT658" s="640"/>
      <c r="BU658" s="640"/>
      <c r="BV658" s="640"/>
      <c r="BW658" s="640"/>
      <c r="BX658" s="640"/>
      <c r="BY658" s="640"/>
      <c r="BZ658" s="640"/>
      <c r="CA658" s="640"/>
      <c r="CB658" s="640"/>
      <c r="CC658" s="640"/>
      <c r="CD658" s="640"/>
      <c r="CE658" s="640"/>
      <c r="CF658" s="640"/>
      <c r="CG658" s="640"/>
      <c r="CH658" s="641"/>
      <c r="CI658" s="627"/>
      <c r="CJ658" s="628"/>
      <c r="CK658" s="628"/>
      <c r="CL658" s="628"/>
      <c r="CM658" s="628"/>
      <c r="CN658" s="628"/>
      <c r="CO658" s="628"/>
      <c r="CP658" s="628"/>
      <c r="CQ658" s="628"/>
      <c r="CR658" s="628"/>
      <c r="CS658" s="628"/>
      <c r="CT658" s="628"/>
      <c r="CU658" s="628"/>
      <c r="CV658" s="628"/>
      <c r="CW658" s="628"/>
      <c r="CX658" s="628"/>
      <c r="CY658" s="628"/>
      <c r="CZ658" s="629"/>
      <c r="DA658" s="214"/>
    </row>
    <row r="659" spans="1:105" s="16" customFormat="1" ht="15" hidden="1" customHeight="1" x14ac:dyDescent="0.3">
      <c r="A659" s="630"/>
      <c r="B659" s="631"/>
      <c r="C659" s="631"/>
      <c r="D659" s="631"/>
      <c r="E659" s="631"/>
      <c r="F659" s="631"/>
      <c r="G659" s="632"/>
      <c r="H659" s="651" t="s">
        <v>689</v>
      </c>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c r="AI659" s="652"/>
      <c r="AJ659" s="652"/>
      <c r="AK659" s="652"/>
      <c r="AL659" s="652"/>
      <c r="AM659" s="652"/>
      <c r="AN659" s="652"/>
      <c r="AO659" s="652"/>
      <c r="AP659" s="652"/>
      <c r="AQ659" s="652"/>
      <c r="AR659" s="652"/>
      <c r="AS659" s="652"/>
      <c r="AT659" s="653"/>
      <c r="AU659" s="541" t="s">
        <v>690</v>
      </c>
      <c r="AV659" s="542"/>
      <c r="AW659" s="542"/>
      <c r="AX659" s="542"/>
      <c r="AY659" s="542"/>
      <c r="AZ659" s="542"/>
      <c r="BA659" s="542"/>
      <c r="BB659" s="543"/>
      <c r="BC659" s="647">
        <v>0</v>
      </c>
      <c r="BD659" s="637"/>
      <c r="BE659" s="637"/>
      <c r="BF659" s="637"/>
      <c r="BG659" s="637"/>
      <c r="BH659" s="637"/>
      <c r="BI659" s="637"/>
      <c r="BJ659" s="637"/>
      <c r="BK659" s="637"/>
      <c r="BL659" s="637"/>
      <c r="BM659" s="637"/>
      <c r="BN659" s="637"/>
      <c r="BO659" s="637"/>
      <c r="BP659" s="637"/>
      <c r="BQ659" s="637"/>
      <c r="BR659" s="638"/>
      <c r="BS659" s="644">
        <v>0</v>
      </c>
      <c r="BT659" s="645"/>
      <c r="BU659" s="645"/>
      <c r="BV659" s="645"/>
      <c r="BW659" s="645"/>
      <c r="BX659" s="645"/>
      <c r="BY659" s="645"/>
      <c r="BZ659" s="645"/>
      <c r="CA659" s="645"/>
      <c r="CB659" s="645"/>
      <c r="CC659" s="645"/>
      <c r="CD659" s="645"/>
      <c r="CE659" s="645"/>
      <c r="CF659" s="645"/>
      <c r="CG659" s="645"/>
      <c r="CH659" s="646"/>
      <c r="CI659" s="636">
        <f>BC659*BS659</f>
        <v>0</v>
      </c>
      <c r="CJ659" s="654"/>
      <c r="CK659" s="654"/>
      <c r="CL659" s="654"/>
      <c r="CM659" s="654"/>
      <c r="CN659" s="654"/>
      <c r="CO659" s="654"/>
      <c r="CP659" s="654"/>
      <c r="CQ659" s="654"/>
      <c r="CR659" s="654"/>
      <c r="CS659" s="654"/>
      <c r="CT659" s="654"/>
      <c r="CU659" s="654"/>
      <c r="CV659" s="654"/>
      <c r="CW659" s="654"/>
      <c r="CX659" s="654"/>
      <c r="CY659" s="654"/>
      <c r="CZ659" s="655"/>
      <c r="DA659" s="214"/>
    </row>
    <row r="660" spans="1:105" s="16" customFormat="1" ht="15" hidden="1" customHeight="1" x14ac:dyDescent="0.3">
      <c r="A660" s="630"/>
      <c r="B660" s="631"/>
      <c r="C660" s="631"/>
      <c r="D660" s="631"/>
      <c r="E660" s="631"/>
      <c r="F660" s="631"/>
      <c r="G660" s="632"/>
      <c r="H660" s="651"/>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52"/>
      <c r="AL660" s="652"/>
      <c r="AM660" s="652"/>
      <c r="AN660" s="652"/>
      <c r="AO660" s="652"/>
      <c r="AP660" s="652"/>
      <c r="AQ660" s="652"/>
      <c r="AR660" s="652"/>
      <c r="AS660" s="652"/>
      <c r="AT660" s="653"/>
      <c r="AU660" s="475"/>
      <c r="AV660" s="476"/>
      <c r="AW660" s="476"/>
      <c r="AX660" s="476"/>
      <c r="AY660" s="476"/>
      <c r="AZ660" s="476"/>
      <c r="BA660" s="476"/>
      <c r="BB660" s="477"/>
      <c r="BC660" s="544"/>
      <c r="BD660" s="545"/>
      <c r="BE660" s="545"/>
      <c r="BF660" s="545"/>
      <c r="BG660" s="545"/>
      <c r="BH660" s="545"/>
      <c r="BI660" s="545"/>
      <c r="BJ660" s="545"/>
      <c r="BK660" s="545"/>
      <c r="BL660" s="545"/>
      <c r="BM660" s="545"/>
      <c r="BN660" s="545"/>
      <c r="BO660" s="545"/>
      <c r="BP660" s="545"/>
      <c r="BQ660" s="545"/>
      <c r="BR660" s="546"/>
      <c r="BS660" s="639"/>
      <c r="BT660" s="640"/>
      <c r="BU660" s="640"/>
      <c r="BV660" s="640"/>
      <c r="BW660" s="640"/>
      <c r="BX660" s="640"/>
      <c r="BY660" s="640"/>
      <c r="BZ660" s="640"/>
      <c r="CA660" s="640"/>
      <c r="CB660" s="640"/>
      <c r="CC660" s="640"/>
      <c r="CD660" s="640"/>
      <c r="CE660" s="640"/>
      <c r="CF660" s="640"/>
      <c r="CG660" s="640"/>
      <c r="CH660" s="641"/>
      <c r="CI660" s="627"/>
      <c r="CJ660" s="628"/>
      <c r="CK660" s="628"/>
      <c r="CL660" s="628"/>
      <c r="CM660" s="628"/>
      <c r="CN660" s="628"/>
      <c r="CO660" s="628"/>
      <c r="CP660" s="628"/>
      <c r="CQ660" s="628"/>
      <c r="CR660" s="628"/>
      <c r="CS660" s="628"/>
      <c r="CT660" s="628"/>
      <c r="CU660" s="628"/>
      <c r="CV660" s="628"/>
      <c r="CW660" s="628"/>
      <c r="CX660" s="628"/>
      <c r="CY660" s="628"/>
      <c r="CZ660" s="629"/>
      <c r="DA660" s="214"/>
    </row>
    <row r="661" spans="1:105" s="16" customFormat="1" ht="15" hidden="1" customHeight="1" x14ac:dyDescent="0.3">
      <c r="A661" s="630"/>
      <c r="B661" s="631"/>
      <c r="C661" s="631"/>
      <c r="D661" s="631"/>
      <c r="E661" s="631"/>
      <c r="F661" s="631"/>
      <c r="G661" s="632"/>
      <c r="H661" s="651" t="s">
        <v>691</v>
      </c>
      <c r="I661" s="652"/>
      <c r="J661" s="652"/>
      <c r="K661" s="652"/>
      <c r="L661" s="652"/>
      <c r="M661" s="652"/>
      <c r="N661" s="652"/>
      <c r="O661" s="652"/>
      <c r="P661" s="652"/>
      <c r="Q661" s="652"/>
      <c r="R661" s="652"/>
      <c r="S661" s="652"/>
      <c r="T661" s="652"/>
      <c r="U661" s="652"/>
      <c r="V661" s="652"/>
      <c r="W661" s="652"/>
      <c r="X661" s="652"/>
      <c r="Y661" s="652"/>
      <c r="Z661" s="652"/>
      <c r="AA661" s="652"/>
      <c r="AB661" s="652"/>
      <c r="AC661" s="652"/>
      <c r="AD661" s="652"/>
      <c r="AE661" s="652"/>
      <c r="AF661" s="652"/>
      <c r="AG661" s="652"/>
      <c r="AH661" s="652"/>
      <c r="AI661" s="652"/>
      <c r="AJ661" s="652"/>
      <c r="AK661" s="652"/>
      <c r="AL661" s="652"/>
      <c r="AM661" s="652"/>
      <c r="AN661" s="652"/>
      <c r="AO661" s="652"/>
      <c r="AP661" s="652"/>
      <c r="AQ661" s="652"/>
      <c r="AR661" s="652"/>
      <c r="AS661" s="652"/>
      <c r="AT661" s="653"/>
      <c r="AU661" s="475"/>
      <c r="AV661" s="476"/>
      <c r="AW661" s="476"/>
      <c r="AX661" s="476"/>
      <c r="AY661" s="476"/>
      <c r="AZ661" s="476"/>
      <c r="BA661" s="476"/>
      <c r="BB661" s="477"/>
      <c r="BC661" s="647">
        <f>BC662+BC663+BC664+BC665+BC666+BC667+BC668+BC669+BC670+BC671+BC672+BC673+BC674+BC675+BC676+BC677+BC678</f>
        <v>0</v>
      </c>
      <c r="BD661" s="637"/>
      <c r="BE661" s="637"/>
      <c r="BF661" s="637"/>
      <c r="BG661" s="637"/>
      <c r="BH661" s="637"/>
      <c r="BI661" s="637"/>
      <c r="BJ661" s="637"/>
      <c r="BK661" s="637"/>
      <c r="BL661" s="637"/>
      <c r="BM661" s="637"/>
      <c r="BN661" s="637"/>
      <c r="BO661" s="637"/>
      <c r="BP661" s="637"/>
      <c r="BQ661" s="637"/>
      <c r="BR661" s="638"/>
      <c r="BS661" s="644">
        <v>0</v>
      </c>
      <c r="BT661" s="645"/>
      <c r="BU661" s="645"/>
      <c r="BV661" s="645"/>
      <c r="BW661" s="645"/>
      <c r="BX661" s="645"/>
      <c r="BY661" s="645"/>
      <c r="BZ661" s="645"/>
      <c r="CA661" s="645"/>
      <c r="CB661" s="645"/>
      <c r="CC661" s="645"/>
      <c r="CD661" s="645"/>
      <c r="CE661" s="645"/>
      <c r="CF661" s="645"/>
      <c r="CG661" s="645"/>
      <c r="CH661" s="646"/>
      <c r="CI661" s="636">
        <f>CI662+CI663+CI664+CI665+CI666+CI667+CI668+CI669+CI670+CI671+CI672+CI673+CI674+CI675+CI676+CI677+CI678</f>
        <v>0</v>
      </c>
      <c r="CJ661" s="654"/>
      <c r="CK661" s="654"/>
      <c r="CL661" s="654"/>
      <c r="CM661" s="654"/>
      <c r="CN661" s="654"/>
      <c r="CO661" s="654"/>
      <c r="CP661" s="654"/>
      <c r="CQ661" s="654"/>
      <c r="CR661" s="654"/>
      <c r="CS661" s="654"/>
      <c r="CT661" s="654"/>
      <c r="CU661" s="654"/>
      <c r="CV661" s="654"/>
      <c r="CW661" s="654"/>
      <c r="CX661" s="654"/>
      <c r="CY661" s="654"/>
      <c r="CZ661" s="655"/>
      <c r="DA661" s="214"/>
    </row>
    <row r="662" spans="1:105" s="16" customFormat="1" ht="15" hidden="1" customHeight="1" x14ac:dyDescent="0.3">
      <c r="A662" s="630" t="s">
        <v>441</v>
      </c>
      <c r="B662" s="631"/>
      <c r="C662" s="631"/>
      <c r="D662" s="631"/>
      <c r="E662" s="631"/>
      <c r="F662" s="631"/>
      <c r="G662" s="632"/>
      <c r="H662" s="584" t="s">
        <v>692</v>
      </c>
      <c r="I662" s="585"/>
      <c r="J662" s="585"/>
      <c r="K662" s="585"/>
      <c r="L662" s="585"/>
      <c r="M662" s="585"/>
      <c r="N662" s="585"/>
      <c r="O662" s="585"/>
      <c r="P662" s="585"/>
      <c r="Q662" s="585"/>
      <c r="R662" s="585"/>
      <c r="S662" s="585"/>
      <c r="T662" s="585"/>
      <c r="U662" s="585"/>
      <c r="V662" s="585"/>
      <c r="W662" s="585"/>
      <c r="X662" s="585"/>
      <c r="Y662" s="585"/>
      <c r="Z662" s="585"/>
      <c r="AA662" s="585"/>
      <c r="AB662" s="585"/>
      <c r="AC662" s="585"/>
      <c r="AD662" s="585"/>
      <c r="AE662" s="585"/>
      <c r="AF662" s="585"/>
      <c r="AG662" s="585"/>
      <c r="AH662" s="585"/>
      <c r="AI662" s="585"/>
      <c r="AJ662" s="585"/>
      <c r="AK662" s="585"/>
      <c r="AL662" s="585"/>
      <c r="AM662" s="585"/>
      <c r="AN662" s="585"/>
      <c r="AO662" s="585"/>
      <c r="AP662" s="585"/>
      <c r="AQ662" s="585"/>
      <c r="AR662" s="585"/>
      <c r="AS662" s="585"/>
      <c r="AT662" s="586"/>
      <c r="AU662" s="475" t="s">
        <v>459</v>
      </c>
      <c r="AV662" s="476"/>
      <c r="AW662" s="476"/>
      <c r="AX662" s="476"/>
      <c r="AY662" s="476"/>
      <c r="AZ662" s="476"/>
      <c r="BA662" s="476"/>
      <c r="BB662" s="477"/>
      <c r="BC662" s="544"/>
      <c r="BD662" s="545"/>
      <c r="BE662" s="545"/>
      <c r="BF662" s="545"/>
      <c r="BG662" s="545"/>
      <c r="BH662" s="545"/>
      <c r="BI662" s="545"/>
      <c r="BJ662" s="545"/>
      <c r="BK662" s="545"/>
      <c r="BL662" s="545"/>
      <c r="BM662" s="545"/>
      <c r="BN662" s="545"/>
      <c r="BO662" s="545"/>
      <c r="BP662" s="545"/>
      <c r="BQ662" s="545"/>
      <c r="BR662" s="546"/>
      <c r="BS662" s="639"/>
      <c r="BT662" s="640"/>
      <c r="BU662" s="640"/>
      <c r="BV662" s="640"/>
      <c r="BW662" s="640"/>
      <c r="BX662" s="640"/>
      <c r="BY662" s="640"/>
      <c r="BZ662" s="640"/>
      <c r="CA662" s="640"/>
      <c r="CB662" s="640"/>
      <c r="CC662" s="640"/>
      <c r="CD662" s="640"/>
      <c r="CE662" s="640"/>
      <c r="CF662" s="640"/>
      <c r="CG662" s="640"/>
      <c r="CH662" s="641"/>
      <c r="CI662" s="627"/>
      <c r="CJ662" s="628"/>
      <c r="CK662" s="628"/>
      <c r="CL662" s="628"/>
      <c r="CM662" s="628"/>
      <c r="CN662" s="628"/>
      <c r="CO662" s="628"/>
      <c r="CP662" s="628"/>
      <c r="CQ662" s="628"/>
      <c r="CR662" s="628"/>
      <c r="CS662" s="628"/>
      <c r="CT662" s="628"/>
      <c r="CU662" s="628"/>
      <c r="CV662" s="628"/>
      <c r="CW662" s="628"/>
      <c r="CX662" s="628"/>
      <c r="CY662" s="628"/>
      <c r="CZ662" s="629"/>
      <c r="DA662" s="214"/>
    </row>
    <row r="663" spans="1:105" s="16" customFormat="1" ht="15" hidden="1" customHeight="1" x14ac:dyDescent="0.3">
      <c r="A663" s="630" t="s">
        <v>444</v>
      </c>
      <c r="B663" s="631"/>
      <c r="C663" s="631"/>
      <c r="D663" s="631"/>
      <c r="E663" s="631"/>
      <c r="F663" s="631"/>
      <c r="G663" s="632"/>
      <c r="H663" s="584" t="s">
        <v>693</v>
      </c>
      <c r="I663" s="585"/>
      <c r="J663" s="585"/>
      <c r="K663" s="585"/>
      <c r="L663" s="585"/>
      <c r="M663" s="585"/>
      <c r="N663" s="585"/>
      <c r="O663" s="585"/>
      <c r="P663" s="585"/>
      <c r="Q663" s="585"/>
      <c r="R663" s="585"/>
      <c r="S663" s="585"/>
      <c r="T663" s="585"/>
      <c r="U663" s="585"/>
      <c r="V663" s="585"/>
      <c r="W663" s="585"/>
      <c r="X663" s="585"/>
      <c r="Y663" s="585"/>
      <c r="Z663" s="585"/>
      <c r="AA663" s="585"/>
      <c r="AB663" s="585"/>
      <c r="AC663" s="585"/>
      <c r="AD663" s="585"/>
      <c r="AE663" s="585"/>
      <c r="AF663" s="585"/>
      <c r="AG663" s="585"/>
      <c r="AH663" s="585"/>
      <c r="AI663" s="585"/>
      <c r="AJ663" s="585"/>
      <c r="AK663" s="585"/>
      <c r="AL663" s="585"/>
      <c r="AM663" s="585"/>
      <c r="AN663" s="585"/>
      <c r="AO663" s="585"/>
      <c r="AP663" s="585"/>
      <c r="AQ663" s="585"/>
      <c r="AR663" s="585"/>
      <c r="AS663" s="585"/>
      <c r="AT663" s="586"/>
      <c r="AU663" s="475" t="s">
        <v>459</v>
      </c>
      <c r="AV663" s="476"/>
      <c r="AW663" s="476"/>
      <c r="AX663" s="476"/>
      <c r="AY663" s="476"/>
      <c r="AZ663" s="476"/>
      <c r="BA663" s="476"/>
      <c r="BB663" s="477"/>
      <c r="BC663" s="544"/>
      <c r="BD663" s="545"/>
      <c r="BE663" s="545"/>
      <c r="BF663" s="545"/>
      <c r="BG663" s="545"/>
      <c r="BH663" s="545"/>
      <c r="BI663" s="545"/>
      <c r="BJ663" s="545"/>
      <c r="BK663" s="545"/>
      <c r="BL663" s="545"/>
      <c r="BM663" s="545"/>
      <c r="BN663" s="545"/>
      <c r="BO663" s="545"/>
      <c r="BP663" s="545"/>
      <c r="BQ663" s="545"/>
      <c r="BR663" s="546"/>
      <c r="BS663" s="639"/>
      <c r="BT663" s="640"/>
      <c r="BU663" s="640"/>
      <c r="BV663" s="640"/>
      <c r="BW663" s="640"/>
      <c r="BX663" s="640"/>
      <c r="BY663" s="640"/>
      <c r="BZ663" s="640"/>
      <c r="CA663" s="640"/>
      <c r="CB663" s="640"/>
      <c r="CC663" s="640"/>
      <c r="CD663" s="640"/>
      <c r="CE663" s="640"/>
      <c r="CF663" s="640"/>
      <c r="CG663" s="640"/>
      <c r="CH663" s="641"/>
      <c r="CI663" s="627"/>
      <c r="CJ663" s="628"/>
      <c r="CK663" s="628"/>
      <c r="CL663" s="628"/>
      <c r="CM663" s="628"/>
      <c r="CN663" s="628"/>
      <c r="CO663" s="628"/>
      <c r="CP663" s="628"/>
      <c r="CQ663" s="628"/>
      <c r="CR663" s="628"/>
      <c r="CS663" s="628"/>
      <c r="CT663" s="628"/>
      <c r="CU663" s="628"/>
      <c r="CV663" s="628"/>
      <c r="CW663" s="628"/>
      <c r="CX663" s="628"/>
      <c r="CY663" s="628"/>
      <c r="CZ663" s="629"/>
      <c r="DA663" s="214"/>
    </row>
    <row r="664" spans="1:105" s="16" customFormat="1" ht="15" hidden="1" customHeight="1" x14ac:dyDescent="0.3">
      <c r="A664" s="630" t="s">
        <v>446</v>
      </c>
      <c r="B664" s="631"/>
      <c r="C664" s="631"/>
      <c r="D664" s="631"/>
      <c r="E664" s="631"/>
      <c r="F664" s="631"/>
      <c r="G664" s="632"/>
      <c r="H664" s="584" t="s">
        <v>694</v>
      </c>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5"/>
      <c r="AL664" s="585"/>
      <c r="AM664" s="585"/>
      <c r="AN664" s="585"/>
      <c r="AO664" s="585"/>
      <c r="AP664" s="585"/>
      <c r="AQ664" s="585"/>
      <c r="AR664" s="585"/>
      <c r="AS664" s="585"/>
      <c r="AT664" s="586"/>
      <c r="AU664" s="475" t="s">
        <v>459</v>
      </c>
      <c r="AV664" s="476"/>
      <c r="AW664" s="476"/>
      <c r="AX664" s="476"/>
      <c r="AY664" s="476"/>
      <c r="AZ664" s="476"/>
      <c r="BA664" s="476"/>
      <c r="BB664" s="477"/>
      <c r="BC664" s="544"/>
      <c r="BD664" s="545"/>
      <c r="BE664" s="545"/>
      <c r="BF664" s="545"/>
      <c r="BG664" s="545"/>
      <c r="BH664" s="545"/>
      <c r="BI664" s="545"/>
      <c r="BJ664" s="545"/>
      <c r="BK664" s="545"/>
      <c r="BL664" s="545"/>
      <c r="BM664" s="545"/>
      <c r="BN664" s="545"/>
      <c r="BO664" s="545"/>
      <c r="BP664" s="545"/>
      <c r="BQ664" s="545"/>
      <c r="BR664" s="546"/>
      <c r="BS664" s="639"/>
      <c r="BT664" s="640"/>
      <c r="BU664" s="640"/>
      <c r="BV664" s="640"/>
      <c r="BW664" s="640"/>
      <c r="BX664" s="640"/>
      <c r="BY664" s="640"/>
      <c r="BZ664" s="640"/>
      <c r="CA664" s="640"/>
      <c r="CB664" s="640"/>
      <c r="CC664" s="640"/>
      <c r="CD664" s="640"/>
      <c r="CE664" s="640"/>
      <c r="CF664" s="640"/>
      <c r="CG664" s="640"/>
      <c r="CH664" s="641"/>
      <c r="CI664" s="627"/>
      <c r="CJ664" s="628"/>
      <c r="CK664" s="628"/>
      <c r="CL664" s="628"/>
      <c r="CM664" s="628"/>
      <c r="CN664" s="628"/>
      <c r="CO664" s="628"/>
      <c r="CP664" s="628"/>
      <c r="CQ664" s="628"/>
      <c r="CR664" s="628"/>
      <c r="CS664" s="628"/>
      <c r="CT664" s="628"/>
      <c r="CU664" s="628"/>
      <c r="CV664" s="628"/>
      <c r="CW664" s="628"/>
      <c r="CX664" s="628"/>
      <c r="CY664" s="628"/>
      <c r="CZ664" s="629"/>
      <c r="DA664" s="214"/>
    </row>
    <row r="665" spans="1:105" s="16" customFormat="1" ht="15" hidden="1" customHeight="1" x14ac:dyDescent="0.3">
      <c r="A665" s="630" t="s">
        <v>551</v>
      </c>
      <c r="B665" s="631"/>
      <c r="C665" s="631"/>
      <c r="D665" s="631"/>
      <c r="E665" s="631"/>
      <c r="F665" s="631"/>
      <c r="G665" s="632"/>
      <c r="H665" s="584" t="s">
        <v>695</v>
      </c>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5"/>
      <c r="AL665" s="585"/>
      <c r="AM665" s="585"/>
      <c r="AN665" s="585"/>
      <c r="AO665" s="585"/>
      <c r="AP665" s="585"/>
      <c r="AQ665" s="585"/>
      <c r="AR665" s="585"/>
      <c r="AS665" s="585"/>
      <c r="AT665" s="586"/>
      <c r="AU665" s="475" t="s">
        <v>459</v>
      </c>
      <c r="AV665" s="476"/>
      <c r="AW665" s="476"/>
      <c r="AX665" s="476"/>
      <c r="AY665" s="476"/>
      <c r="AZ665" s="476"/>
      <c r="BA665" s="476"/>
      <c r="BB665" s="477"/>
      <c r="BC665" s="544"/>
      <c r="BD665" s="545"/>
      <c r="BE665" s="545"/>
      <c r="BF665" s="545"/>
      <c r="BG665" s="545"/>
      <c r="BH665" s="545"/>
      <c r="BI665" s="545"/>
      <c r="BJ665" s="545"/>
      <c r="BK665" s="545"/>
      <c r="BL665" s="545"/>
      <c r="BM665" s="545"/>
      <c r="BN665" s="545"/>
      <c r="BO665" s="545"/>
      <c r="BP665" s="545"/>
      <c r="BQ665" s="545"/>
      <c r="BR665" s="546"/>
      <c r="BS665" s="639"/>
      <c r="BT665" s="640"/>
      <c r="BU665" s="640"/>
      <c r="BV665" s="640"/>
      <c r="BW665" s="640"/>
      <c r="BX665" s="640"/>
      <c r="BY665" s="640"/>
      <c r="BZ665" s="640"/>
      <c r="CA665" s="640"/>
      <c r="CB665" s="640"/>
      <c r="CC665" s="640"/>
      <c r="CD665" s="640"/>
      <c r="CE665" s="640"/>
      <c r="CF665" s="640"/>
      <c r="CG665" s="640"/>
      <c r="CH665" s="641"/>
      <c r="CI665" s="627"/>
      <c r="CJ665" s="628"/>
      <c r="CK665" s="628"/>
      <c r="CL665" s="628"/>
      <c r="CM665" s="628"/>
      <c r="CN665" s="628"/>
      <c r="CO665" s="628"/>
      <c r="CP665" s="628"/>
      <c r="CQ665" s="628"/>
      <c r="CR665" s="628"/>
      <c r="CS665" s="628"/>
      <c r="CT665" s="628"/>
      <c r="CU665" s="628"/>
      <c r="CV665" s="628"/>
      <c r="CW665" s="628"/>
      <c r="CX665" s="628"/>
      <c r="CY665" s="628"/>
      <c r="CZ665" s="629"/>
      <c r="DA665" s="214"/>
    </row>
    <row r="666" spans="1:105" s="16" customFormat="1" ht="15" hidden="1" customHeight="1" x14ac:dyDescent="0.3">
      <c r="A666" s="630" t="s">
        <v>599</v>
      </c>
      <c r="B666" s="631"/>
      <c r="C666" s="631"/>
      <c r="D666" s="631"/>
      <c r="E666" s="631"/>
      <c r="F666" s="631"/>
      <c r="G666" s="632"/>
      <c r="H666" s="584" t="s">
        <v>696</v>
      </c>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5"/>
      <c r="AL666" s="585"/>
      <c r="AM666" s="585"/>
      <c r="AN666" s="585"/>
      <c r="AO666" s="585"/>
      <c r="AP666" s="585"/>
      <c r="AQ666" s="585"/>
      <c r="AR666" s="585"/>
      <c r="AS666" s="585"/>
      <c r="AT666" s="586"/>
      <c r="AU666" s="475" t="s">
        <v>697</v>
      </c>
      <c r="AV666" s="476"/>
      <c r="AW666" s="476"/>
      <c r="AX666" s="476"/>
      <c r="AY666" s="476"/>
      <c r="AZ666" s="476"/>
      <c r="BA666" s="476"/>
      <c r="BB666" s="477"/>
      <c r="BC666" s="544"/>
      <c r="BD666" s="545"/>
      <c r="BE666" s="545"/>
      <c r="BF666" s="545"/>
      <c r="BG666" s="545"/>
      <c r="BH666" s="545"/>
      <c r="BI666" s="545"/>
      <c r="BJ666" s="545"/>
      <c r="BK666" s="545"/>
      <c r="BL666" s="545"/>
      <c r="BM666" s="545"/>
      <c r="BN666" s="545"/>
      <c r="BO666" s="545"/>
      <c r="BP666" s="545"/>
      <c r="BQ666" s="545"/>
      <c r="BR666" s="546"/>
      <c r="BS666" s="639"/>
      <c r="BT666" s="640"/>
      <c r="BU666" s="640"/>
      <c r="BV666" s="640"/>
      <c r="BW666" s="640"/>
      <c r="BX666" s="640"/>
      <c r="BY666" s="640"/>
      <c r="BZ666" s="640"/>
      <c r="CA666" s="640"/>
      <c r="CB666" s="640"/>
      <c r="CC666" s="640"/>
      <c r="CD666" s="640"/>
      <c r="CE666" s="640"/>
      <c r="CF666" s="640"/>
      <c r="CG666" s="640"/>
      <c r="CH666" s="641"/>
      <c r="CI666" s="627"/>
      <c r="CJ666" s="628"/>
      <c r="CK666" s="628"/>
      <c r="CL666" s="628"/>
      <c r="CM666" s="628"/>
      <c r="CN666" s="628"/>
      <c r="CO666" s="628"/>
      <c r="CP666" s="628"/>
      <c r="CQ666" s="628"/>
      <c r="CR666" s="628"/>
      <c r="CS666" s="628"/>
      <c r="CT666" s="628"/>
      <c r="CU666" s="628"/>
      <c r="CV666" s="628"/>
      <c r="CW666" s="628"/>
      <c r="CX666" s="628"/>
      <c r="CY666" s="628"/>
      <c r="CZ666" s="629"/>
      <c r="DA666" s="214"/>
    </row>
    <row r="667" spans="1:105" s="16" customFormat="1" ht="15" hidden="1" customHeight="1" x14ac:dyDescent="0.3">
      <c r="A667" s="630" t="s">
        <v>642</v>
      </c>
      <c r="B667" s="631"/>
      <c r="C667" s="631"/>
      <c r="D667" s="631"/>
      <c r="E667" s="631"/>
      <c r="F667" s="631"/>
      <c r="G667" s="632"/>
      <c r="H667" s="584" t="s">
        <v>698</v>
      </c>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5"/>
      <c r="AL667" s="585"/>
      <c r="AM667" s="585"/>
      <c r="AN667" s="585"/>
      <c r="AO667" s="585"/>
      <c r="AP667" s="585"/>
      <c r="AQ667" s="585"/>
      <c r="AR667" s="585"/>
      <c r="AS667" s="585"/>
      <c r="AT667" s="586"/>
      <c r="AU667" s="475" t="s">
        <v>459</v>
      </c>
      <c r="AV667" s="476"/>
      <c r="AW667" s="476"/>
      <c r="AX667" s="476"/>
      <c r="AY667" s="476"/>
      <c r="AZ667" s="476"/>
      <c r="BA667" s="476"/>
      <c r="BB667" s="477"/>
      <c r="BC667" s="544"/>
      <c r="BD667" s="545"/>
      <c r="BE667" s="545"/>
      <c r="BF667" s="545"/>
      <c r="BG667" s="545"/>
      <c r="BH667" s="545"/>
      <c r="BI667" s="545"/>
      <c r="BJ667" s="545"/>
      <c r="BK667" s="545"/>
      <c r="BL667" s="545"/>
      <c r="BM667" s="545"/>
      <c r="BN667" s="545"/>
      <c r="BO667" s="545"/>
      <c r="BP667" s="545"/>
      <c r="BQ667" s="545"/>
      <c r="BR667" s="546"/>
      <c r="BS667" s="639"/>
      <c r="BT667" s="640"/>
      <c r="BU667" s="640"/>
      <c r="BV667" s="640"/>
      <c r="BW667" s="640"/>
      <c r="BX667" s="640"/>
      <c r="BY667" s="640"/>
      <c r="BZ667" s="640"/>
      <c r="CA667" s="640"/>
      <c r="CB667" s="640"/>
      <c r="CC667" s="640"/>
      <c r="CD667" s="640"/>
      <c r="CE667" s="640"/>
      <c r="CF667" s="640"/>
      <c r="CG667" s="640"/>
      <c r="CH667" s="641"/>
      <c r="CI667" s="627"/>
      <c r="CJ667" s="628"/>
      <c r="CK667" s="628"/>
      <c r="CL667" s="628"/>
      <c r="CM667" s="628"/>
      <c r="CN667" s="628"/>
      <c r="CO667" s="628"/>
      <c r="CP667" s="628"/>
      <c r="CQ667" s="628"/>
      <c r="CR667" s="628"/>
      <c r="CS667" s="628"/>
      <c r="CT667" s="628"/>
      <c r="CU667" s="628"/>
      <c r="CV667" s="628"/>
      <c r="CW667" s="628"/>
      <c r="CX667" s="628"/>
      <c r="CY667" s="628"/>
      <c r="CZ667" s="629"/>
      <c r="DA667" s="214"/>
    </row>
    <row r="668" spans="1:105" s="16" customFormat="1" ht="15" hidden="1" customHeight="1" x14ac:dyDescent="0.3">
      <c r="A668" s="630" t="s">
        <v>648</v>
      </c>
      <c r="B668" s="631"/>
      <c r="C668" s="631"/>
      <c r="D668" s="631"/>
      <c r="E668" s="631"/>
      <c r="F668" s="631"/>
      <c r="G668" s="632"/>
      <c r="H668" s="584" t="s">
        <v>699</v>
      </c>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5"/>
      <c r="AL668" s="585"/>
      <c r="AM668" s="585"/>
      <c r="AN668" s="585"/>
      <c r="AO668" s="585"/>
      <c r="AP668" s="585"/>
      <c r="AQ668" s="585"/>
      <c r="AR668" s="585"/>
      <c r="AS668" s="585"/>
      <c r="AT668" s="586"/>
      <c r="AU668" s="475" t="s">
        <v>459</v>
      </c>
      <c r="AV668" s="476"/>
      <c r="AW668" s="476"/>
      <c r="AX668" s="476"/>
      <c r="AY668" s="476"/>
      <c r="AZ668" s="476"/>
      <c r="BA668" s="476"/>
      <c r="BB668" s="477"/>
      <c r="BC668" s="544"/>
      <c r="BD668" s="545"/>
      <c r="BE668" s="545"/>
      <c r="BF668" s="545"/>
      <c r="BG668" s="545"/>
      <c r="BH668" s="545"/>
      <c r="BI668" s="545"/>
      <c r="BJ668" s="545"/>
      <c r="BK668" s="545"/>
      <c r="BL668" s="545"/>
      <c r="BM668" s="545"/>
      <c r="BN668" s="545"/>
      <c r="BO668" s="545"/>
      <c r="BP668" s="545"/>
      <c r="BQ668" s="545"/>
      <c r="BR668" s="546"/>
      <c r="BS668" s="639"/>
      <c r="BT668" s="640"/>
      <c r="BU668" s="640"/>
      <c r="BV668" s="640"/>
      <c r="BW668" s="640"/>
      <c r="BX668" s="640"/>
      <c r="BY668" s="640"/>
      <c r="BZ668" s="640"/>
      <c r="CA668" s="640"/>
      <c r="CB668" s="640"/>
      <c r="CC668" s="640"/>
      <c r="CD668" s="640"/>
      <c r="CE668" s="640"/>
      <c r="CF668" s="640"/>
      <c r="CG668" s="640"/>
      <c r="CH668" s="641"/>
      <c r="CI668" s="627"/>
      <c r="CJ668" s="628"/>
      <c r="CK668" s="628"/>
      <c r="CL668" s="628"/>
      <c r="CM668" s="628"/>
      <c r="CN668" s="628"/>
      <c r="CO668" s="628"/>
      <c r="CP668" s="628"/>
      <c r="CQ668" s="628"/>
      <c r="CR668" s="628"/>
      <c r="CS668" s="628"/>
      <c r="CT668" s="628"/>
      <c r="CU668" s="628"/>
      <c r="CV668" s="628"/>
      <c r="CW668" s="628"/>
      <c r="CX668" s="628"/>
      <c r="CY668" s="628"/>
      <c r="CZ668" s="629"/>
      <c r="DA668" s="214"/>
    </row>
    <row r="669" spans="1:105" s="16" customFormat="1" ht="15" hidden="1" customHeight="1" x14ac:dyDescent="0.3">
      <c r="A669" s="630" t="s">
        <v>650</v>
      </c>
      <c r="B669" s="631"/>
      <c r="C669" s="631"/>
      <c r="D669" s="631"/>
      <c r="E669" s="631"/>
      <c r="F669" s="631"/>
      <c r="G669" s="632"/>
      <c r="H669" s="584" t="s">
        <v>700</v>
      </c>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5"/>
      <c r="AL669" s="585"/>
      <c r="AM669" s="585"/>
      <c r="AN669" s="585"/>
      <c r="AO669" s="585"/>
      <c r="AP669" s="585"/>
      <c r="AQ669" s="585"/>
      <c r="AR669" s="585"/>
      <c r="AS669" s="585"/>
      <c r="AT669" s="586"/>
      <c r="AU669" s="475" t="s">
        <v>459</v>
      </c>
      <c r="AV669" s="476"/>
      <c r="AW669" s="476"/>
      <c r="AX669" s="476"/>
      <c r="AY669" s="476"/>
      <c r="AZ669" s="476"/>
      <c r="BA669" s="476"/>
      <c r="BB669" s="477"/>
      <c r="BC669" s="544"/>
      <c r="BD669" s="545"/>
      <c r="BE669" s="545"/>
      <c r="BF669" s="545"/>
      <c r="BG669" s="545"/>
      <c r="BH669" s="545"/>
      <c r="BI669" s="545"/>
      <c r="BJ669" s="545"/>
      <c r="BK669" s="545"/>
      <c r="BL669" s="545"/>
      <c r="BM669" s="545"/>
      <c r="BN669" s="545"/>
      <c r="BO669" s="545"/>
      <c r="BP669" s="545"/>
      <c r="BQ669" s="545"/>
      <c r="BR669" s="546"/>
      <c r="BS669" s="639"/>
      <c r="BT669" s="640"/>
      <c r="BU669" s="640"/>
      <c r="BV669" s="640"/>
      <c r="BW669" s="640"/>
      <c r="BX669" s="640"/>
      <c r="BY669" s="640"/>
      <c r="BZ669" s="640"/>
      <c r="CA669" s="640"/>
      <c r="CB669" s="640"/>
      <c r="CC669" s="640"/>
      <c r="CD669" s="640"/>
      <c r="CE669" s="640"/>
      <c r="CF669" s="640"/>
      <c r="CG669" s="640"/>
      <c r="CH669" s="641"/>
      <c r="CI669" s="627"/>
      <c r="CJ669" s="628"/>
      <c r="CK669" s="628"/>
      <c r="CL669" s="628"/>
      <c r="CM669" s="628"/>
      <c r="CN669" s="628"/>
      <c r="CO669" s="628"/>
      <c r="CP669" s="628"/>
      <c r="CQ669" s="628"/>
      <c r="CR669" s="628"/>
      <c r="CS669" s="628"/>
      <c r="CT669" s="628"/>
      <c r="CU669" s="628"/>
      <c r="CV669" s="628"/>
      <c r="CW669" s="628"/>
      <c r="CX669" s="628"/>
      <c r="CY669" s="628"/>
      <c r="CZ669" s="629"/>
      <c r="DA669" s="214"/>
    </row>
    <row r="670" spans="1:105" s="16" customFormat="1" ht="15" hidden="1" customHeight="1" x14ac:dyDescent="0.3">
      <c r="A670" s="630" t="s">
        <v>651</v>
      </c>
      <c r="B670" s="631"/>
      <c r="C670" s="631"/>
      <c r="D670" s="631"/>
      <c r="E670" s="631"/>
      <c r="F670" s="631"/>
      <c r="G670" s="632"/>
      <c r="H670" s="584" t="s">
        <v>701</v>
      </c>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5"/>
      <c r="AL670" s="585"/>
      <c r="AM670" s="585"/>
      <c r="AN670" s="585"/>
      <c r="AO670" s="585"/>
      <c r="AP670" s="585"/>
      <c r="AQ670" s="585"/>
      <c r="AR670" s="585"/>
      <c r="AS670" s="585"/>
      <c r="AT670" s="586"/>
      <c r="AU670" s="475" t="s">
        <v>459</v>
      </c>
      <c r="AV670" s="476"/>
      <c r="AW670" s="476"/>
      <c r="AX670" s="476"/>
      <c r="AY670" s="476"/>
      <c r="AZ670" s="476"/>
      <c r="BA670" s="476"/>
      <c r="BB670" s="477"/>
      <c r="BC670" s="544"/>
      <c r="BD670" s="545"/>
      <c r="BE670" s="545"/>
      <c r="BF670" s="545"/>
      <c r="BG670" s="545"/>
      <c r="BH670" s="545"/>
      <c r="BI670" s="545"/>
      <c r="BJ670" s="545"/>
      <c r="BK670" s="545"/>
      <c r="BL670" s="545"/>
      <c r="BM670" s="545"/>
      <c r="BN670" s="545"/>
      <c r="BO670" s="545"/>
      <c r="BP670" s="545"/>
      <c r="BQ670" s="545"/>
      <c r="BR670" s="546"/>
      <c r="BS670" s="639"/>
      <c r="BT670" s="640"/>
      <c r="BU670" s="640"/>
      <c r="BV670" s="640"/>
      <c r="BW670" s="640"/>
      <c r="BX670" s="640"/>
      <c r="BY670" s="640"/>
      <c r="BZ670" s="640"/>
      <c r="CA670" s="640"/>
      <c r="CB670" s="640"/>
      <c r="CC670" s="640"/>
      <c r="CD670" s="640"/>
      <c r="CE670" s="640"/>
      <c r="CF670" s="640"/>
      <c r="CG670" s="640"/>
      <c r="CH670" s="641"/>
      <c r="CI670" s="627"/>
      <c r="CJ670" s="628"/>
      <c r="CK670" s="628"/>
      <c r="CL670" s="628"/>
      <c r="CM670" s="628"/>
      <c r="CN670" s="628"/>
      <c r="CO670" s="628"/>
      <c r="CP670" s="628"/>
      <c r="CQ670" s="628"/>
      <c r="CR670" s="628"/>
      <c r="CS670" s="628"/>
      <c r="CT670" s="628"/>
      <c r="CU670" s="628"/>
      <c r="CV670" s="628"/>
      <c r="CW670" s="628"/>
      <c r="CX670" s="628"/>
      <c r="CY670" s="628"/>
      <c r="CZ670" s="629"/>
      <c r="DA670" s="214"/>
    </row>
    <row r="671" spans="1:105" s="16" customFormat="1" ht="15" hidden="1" customHeight="1" x14ac:dyDescent="0.3">
      <c r="A671" s="630" t="s">
        <v>653</v>
      </c>
      <c r="B671" s="631"/>
      <c r="C671" s="631"/>
      <c r="D671" s="631"/>
      <c r="E671" s="631"/>
      <c r="F671" s="631"/>
      <c r="G671" s="632"/>
      <c r="H671" s="584" t="s">
        <v>702</v>
      </c>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5"/>
      <c r="AL671" s="585"/>
      <c r="AM671" s="585"/>
      <c r="AN671" s="585"/>
      <c r="AO671" s="585"/>
      <c r="AP671" s="585"/>
      <c r="AQ671" s="585"/>
      <c r="AR671" s="585"/>
      <c r="AS671" s="585"/>
      <c r="AT671" s="586"/>
      <c r="AU671" s="475" t="s">
        <v>459</v>
      </c>
      <c r="AV671" s="476"/>
      <c r="AW671" s="476"/>
      <c r="AX671" s="476"/>
      <c r="AY671" s="476"/>
      <c r="AZ671" s="476"/>
      <c r="BA671" s="476"/>
      <c r="BB671" s="477"/>
      <c r="BC671" s="544"/>
      <c r="BD671" s="545"/>
      <c r="BE671" s="545"/>
      <c r="BF671" s="545"/>
      <c r="BG671" s="545"/>
      <c r="BH671" s="545"/>
      <c r="BI671" s="545"/>
      <c r="BJ671" s="545"/>
      <c r="BK671" s="545"/>
      <c r="BL671" s="545"/>
      <c r="BM671" s="545"/>
      <c r="BN671" s="545"/>
      <c r="BO671" s="545"/>
      <c r="BP671" s="545"/>
      <c r="BQ671" s="545"/>
      <c r="BR671" s="546"/>
      <c r="BS671" s="639"/>
      <c r="BT671" s="640"/>
      <c r="BU671" s="640"/>
      <c r="BV671" s="640"/>
      <c r="BW671" s="640"/>
      <c r="BX671" s="640"/>
      <c r="BY671" s="640"/>
      <c r="BZ671" s="640"/>
      <c r="CA671" s="640"/>
      <c r="CB671" s="640"/>
      <c r="CC671" s="640"/>
      <c r="CD671" s="640"/>
      <c r="CE671" s="640"/>
      <c r="CF671" s="640"/>
      <c r="CG671" s="640"/>
      <c r="CH671" s="641"/>
      <c r="CI671" s="627"/>
      <c r="CJ671" s="628"/>
      <c r="CK671" s="628"/>
      <c r="CL671" s="628"/>
      <c r="CM671" s="628"/>
      <c r="CN671" s="628"/>
      <c r="CO671" s="628"/>
      <c r="CP671" s="628"/>
      <c r="CQ671" s="628"/>
      <c r="CR671" s="628"/>
      <c r="CS671" s="628"/>
      <c r="CT671" s="628"/>
      <c r="CU671" s="628"/>
      <c r="CV671" s="628"/>
      <c r="CW671" s="628"/>
      <c r="CX671" s="628"/>
      <c r="CY671" s="628"/>
      <c r="CZ671" s="629"/>
      <c r="DA671" s="214"/>
    </row>
    <row r="672" spans="1:105" s="16" customFormat="1" ht="15" hidden="1" customHeight="1" x14ac:dyDescent="0.3">
      <c r="A672" s="630" t="s">
        <v>654</v>
      </c>
      <c r="B672" s="631"/>
      <c r="C672" s="631"/>
      <c r="D672" s="631"/>
      <c r="E672" s="631"/>
      <c r="F672" s="631"/>
      <c r="G672" s="632"/>
      <c r="H672" s="584" t="s">
        <v>703</v>
      </c>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5"/>
      <c r="AL672" s="585"/>
      <c r="AM672" s="585"/>
      <c r="AN672" s="585"/>
      <c r="AO672" s="585"/>
      <c r="AP672" s="585"/>
      <c r="AQ672" s="585"/>
      <c r="AR672" s="585"/>
      <c r="AS672" s="585"/>
      <c r="AT672" s="586"/>
      <c r="AU672" s="475" t="s">
        <v>697</v>
      </c>
      <c r="AV672" s="476"/>
      <c r="AW672" s="476"/>
      <c r="AX672" s="476"/>
      <c r="AY672" s="476"/>
      <c r="AZ672" s="476"/>
      <c r="BA672" s="476"/>
      <c r="BB672" s="477"/>
      <c r="BC672" s="544"/>
      <c r="BD672" s="545"/>
      <c r="BE672" s="545"/>
      <c r="BF672" s="545"/>
      <c r="BG672" s="545"/>
      <c r="BH672" s="545"/>
      <c r="BI672" s="545"/>
      <c r="BJ672" s="545"/>
      <c r="BK672" s="545"/>
      <c r="BL672" s="545"/>
      <c r="BM672" s="545"/>
      <c r="BN672" s="545"/>
      <c r="BO672" s="545"/>
      <c r="BP672" s="545"/>
      <c r="BQ672" s="545"/>
      <c r="BR672" s="546"/>
      <c r="BS672" s="639"/>
      <c r="BT672" s="640"/>
      <c r="BU672" s="640"/>
      <c r="BV672" s="640"/>
      <c r="BW672" s="640"/>
      <c r="BX672" s="640"/>
      <c r="BY672" s="640"/>
      <c r="BZ672" s="640"/>
      <c r="CA672" s="640"/>
      <c r="CB672" s="640"/>
      <c r="CC672" s="640"/>
      <c r="CD672" s="640"/>
      <c r="CE672" s="640"/>
      <c r="CF672" s="640"/>
      <c r="CG672" s="640"/>
      <c r="CH672" s="641"/>
      <c r="CI672" s="627"/>
      <c r="CJ672" s="628"/>
      <c r="CK672" s="628"/>
      <c r="CL672" s="628"/>
      <c r="CM672" s="628"/>
      <c r="CN672" s="628"/>
      <c r="CO672" s="628"/>
      <c r="CP672" s="628"/>
      <c r="CQ672" s="628"/>
      <c r="CR672" s="628"/>
      <c r="CS672" s="628"/>
      <c r="CT672" s="628"/>
      <c r="CU672" s="628"/>
      <c r="CV672" s="628"/>
      <c r="CW672" s="628"/>
      <c r="CX672" s="628"/>
      <c r="CY672" s="628"/>
      <c r="CZ672" s="629"/>
      <c r="DA672" s="214"/>
    </row>
    <row r="673" spans="1:105" s="16" customFormat="1" ht="15" hidden="1" customHeight="1" x14ac:dyDescent="0.3">
      <c r="A673" s="630" t="s">
        <v>655</v>
      </c>
      <c r="B673" s="631"/>
      <c r="C673" s="631"/>
      <c r="D673" s="631"/>
      <c r="E673" s="631"/>
      <c r="F673" s="631"/>
      <c r="G673" s="632"/>
      <c r="H673" s="584" t="s">
        <v>704</v>
      </c>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5"/>
      <c r="AL673" s="585"/>
      <c r="AM673" s="585"/>
      <c r="AN673" s="585"/>
      <c r="AO673" s="585"/>
      <c r="AP673" s="585"/>
      <c r="AQ673" s="585"/>
      <c r="AR673" s="585"/>
      <c r="AS673" s="585"/>
      <c r="AT673" s="586"/>
      <c r="AU673" s="475" t="s">
        <v>459</v>
      </c>
      <c r="AV673" s="476"/>
      <c r="AW673" s="476"/>
      <c r="AX673" s="476"/>
      <c r="AY673" s="476"/>
      <c r="AZ673" s="476"/>
      <c r="BA673" s="476"/>
      <c r="BB673" s="477"/>
      <c r="BC673" s="544"/>
      <c r="BD673" s="545"/>
      <c r="BE673" s="545"/>
      <c r="BF673" s="545"/>
      <c r="BG673" s="545"/>
      <c r="BH673" s="545"/>
      <c r="BI673" s="545"/>
      <c r="BJ673" s="545"/>
      <c r="BK673" s="545"/>
      <c r="BL673" s="545"/>
      <c r="BM673" s="545"/>
      <c r="BN673" s="545"/>
      <c r="BO673" s="545"/>
      <c r="BP673" s="545"/>
      <c r="BQ673" s="545"/>
      <c r="BR673" s="546"/>
      <c r="BS673" s="681"/>
      <c r="BT673" s="681"/>
      <c r="BU673" s="681"/>
      <c r="BV673" s="681"/>
      <c r="BW673" s="681"/>
      <c r="BX673" s="681"/>
      <c r="BY673" s="681"/>
      <c r="BZ673" s="681"/>
      <c r="CA673" s="681"/>
      <c r="CB673" s="681"/>
      <c r="CC673" s="681"/>
      <c r="CD673" s="681"/>
      <c r="CE673" s="681"/>
      <c r="CF673" s="681"/>
      <c r="CG673" s="681"/>
      <c r="CH673" s="681"/>
      <c r="CI673" s="627"/>
      <c r="CJ673" s="628"/>
      <c r="CK673" s="628"/>
      <c r="CL673" s="628"/>
      <c r="CM673" s="628"/>
      <c r="CN673" s="628"/>
      <c r="CO673" s="628"/>
      <c r="CP673" s="628"/>
      <c r="CQ673" s="628"/>
      <c r="CR673" s="628"/>
      <c r="CS673" s="628"/>
      <c r="CT673" s="628"/>
      <c r="CU673" s="628"/>
      <c r="CV673" s="628"/>
      <c r="CW673" s="628"/>
      <c r="CX673" s="628"/>
      <c r="CY673" s="628"/>
      <c r="CZ673" s="629"/>
      <c r="DA673" s="214"/>
    </row>
    <row r="674" spans="1:105" s="16" customFormat="1" ht="15" hidden="1" customHeight="1" x14ac:dyDescent="0.3">
      <c r="A674" s="630" t="s">
        <v>656</v>
      </c>
      <c r="B674" s="631"/>
      <c r="C674" s="631"/>
      <c r="D674" s="631"/>
      <c r="E674" s="631"/>
      <c r="F674" s="631"/>
      <c r="G674" s="632"/>
      <c r="H674" s="584" t="s">
        <v>705</v>
      </c>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5"/>
      <c r="AL674" s="585"/>
      <c r="AM674" s="585"/>
      <c r="AN674" s="585"/>
      <c r="AO674" s="585"/>
      <c r="AP674" s="585"/>
      <c r="AQ674" s="585"/>
      <c r="AR674" s="585"/>
      <c r="AS674" s="585"/>
      <c r="AT674" s="586"/>
      <c r="AU674" s="475" t="s">
        <v>459</v>
      </c>
      <c r="AV674" s="476"/>
      <c r="AW674" s="476"/>
      <c r="AX674" s="476"/>
      <c r="AY674" s="476"/>
      <c r="AZ674" s="476"/>
      <c r="BA674" s="476"/>
      <c r="BB674" s="477"/>
      <c r="BC674" s="544"/>
      <c r="BD674" s="545"/>
      <c r="BE674" s="545"/>
      <c r="BF674" s="545"/>
      <c r="BG674" s="545"/>
      <c r="BH674" s="545"/>
      <c r="BI674" s="545"/>
      <c r="BJ674" s="545"/>
      <c r="BK674" s="545"/>
      <c r="BL674" s="545"/>
      <c r="BM674" s="545"/>
      <c r="BN674" s="545"/>
      <c r="BO674" s="545"/>
      <c r="BP674" s="545"/>
      <c r="BQ674" s="545"/>
      <c r="BR674" s="546"/>
      <c r="BS674" s="681"/>
      <c r="BT674" s="681"/>
      <c r="BU674" s="681"/>
      <c r="BV674" s="681"/>
      <c r="BW674" s="681"/>
      <c r="BX674" s="681"/>
      <c r="BY674" s="681"/>
      <c r="BZ674" s="681"/>
      <c r="CA674" s="681"/>
      <c r="CB674" s="681"/>
      <c r="CC674" s="681"/>
      <c r="CD674" s="681"/>
      <c r="CE674" s="681"/>
      <c r="CF674" s="681"/>
      <c r="CG674" s="681"/>
      <c r="CH674" s="681"/>
      <c r="CI674" s="627"/>
      <c r="CJ674" s="628"/>
      <c r="CK674" s="628"/>
      <c r="CL674" s="628"/>
      <c r="CM674" s="628"/>
      <c r="CN674" s="628"/>
      <c r="CO674" s="628"/>
      <c r="CP674" s="628"/>
      <c r="CQ674" s="628"/>
      <c r="CR674" s="628"/>
      <c r="CS674" s="628"/>
      <c r="CT674" s="628"/>
      <c r="CU674" s="628"/>
      <c r="CV674" s="628"/>
      <c r="CW674" s="628"/>
      <c r="CX674" s="628"/>
      <c r="CY674" s="628"/>
      <c r="CZ674" s="629"/>
      <c r="DA674" s="214"/>
    </row>
    <row r="675" spans="1:105" s="16" customFormat="1" ht="22.5" hidden="1" customHeight="1" x14ac:dyDescent="0.3">
      <c r="A675" s="630" t="s">
        <v>657</v>
      </c>
      <c r="B675" s="631"/>
      <c r="C675" s="631"/>
      <c r="D675" s="631"/>
      <c r="E675" s="631"/>
      <c r="F675" s="631"/>
      <c r="G675" s="632"/>
      <c r="H675" s="584" t="s">
        <v>706</v>
      </c>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5"/>
      <c r="AL675" s="585"/>
      <c r="AM675" s="585"/>
      <c r="AN675" s="585"/>
      <c r="AO675" s="585"/>
      <c r="AP675" s="585"/>
      <c r="AQ675" s="585"/>
      <c r="AR675" s="585"/>
      <c r="AS675" s="585"/>
      <c r="AT675" s="586"/>
      <c r="AU675" s="475" t="s">
        <v>459</v>
      </c>
      <c r="AV675" s="476"/>
      <c r="AW675" s="476"/>
      <c r="AX675" s="476"/>
      <c r="AY675" s="476"/>
      <c r="AZ675" s="476"/>
      <c r="BA675" s="476"/>
      <c r="BB675" s="477"/>
      <c r="BC675" s="544"/>
      <c r="BD675" s="545"/>
      <c r="BE675" s="545"/>
      <c r="BF675" s="545"/>
      <c r="BG675" s="545"/>
      <c r="BH675" s="545"/>
      <c r="BI675" s="545"/>
      <c r="BJ675" s="545"/>
      <c r="BK675" s="545"/>
      <c r="BL675" s="545"/>
      <c r="BM675" s="545"/>
      <c r="BN675" s="545"/>
      <c r="BO675" s="545"/>
      <c r="BP675" s="545"/>
      <c r="BQ675" s="545"/>
      <c r="BR675" s="546"/>
      <c r="BS675" s="681"/>
      <c r="BT675" s="681"/>
      <c r="BU675" s="681"/>
      <c r="BV675" s="681"/>
      <c r="BW675" s="681"/>
      <c r="BX675" s="681"/>
      <c r="BY675" s="681"/>
      <c r="BZ675" s="681"/>
      <c r="CA675" s="681"/>
      <c r="CB675" s="681"/>
      <c r="CC675" s="681"/>
      <c r="CD675" s="681"/>
      <c r="CE675" s="681"/>
      <c r="CF675" s="681"/>
      <c r="CG675" s="681"/>
      <c r="CH675" s="681"/>
      <c r="CI675" s="627"/>
      <c r="CJ675" s="628"/>
      <c r="CK675" s="628"/>
      <c r="CL675" s="628"/>
      <c r="CM675" s="628"/>
      <c r="CN675" s="628"/>
      <c r="CO675" s="628"/>
      <c r="CP675" s="628"/>
      <c r="CQ675" s="628"/>
      <c r="CR675" s="628"/>
      <c r="CS675" s="628"/>
      <c r="CT675" s="628"/>
      <c r="CU675" s="628"/>
      <c r="CV675" s="628"/>
      <c r="CW675" s="628"/>
      <c r="CX675" s="628"/>
      <c r="CY675" s="628"/>
      <c r="CZ675" s="629"/>
      <c r="DA675" s="214"/>
    </row>
    <row r="676" spans="1:105" s="16" customFormat="1" ht="15" hidden="1" customHeight="1" x14ac:dyDescent="0.3">
      <c r="A676" s="630" t="s">
        <v>659</v>
      </c>
      <c r="B676" s="631"/>
      <c r="C676" s="631"/>
      <c r="D676" s="631"/>
      <c r="E676" s="631"/>
      <c r="F676" s="631"/>
      <c r="G676" s="632"/>
      <c r="H676" s="584" t="s">
        <v>707</v>
      </c>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5"/>
      <c r="AL676" s="585"/>
      <c r="AM676" s="585"/>
      <c r="AN676" s="585"/>
      <c r="AO676" s="585"/>
      <c r="AP676" s="585"/>
      <c r="AQ676" s="585"/>
      <c r="AR676" s="585"/>
      <c r="AS676" s="585"/>
      <c r="AT676" s="586"/>
      <c r="AU676" s="475" t="s">
        <v>690</v>
      </c>
      <c r="AV676" s="476"/>
      <c r="AW676" s="476"/>
      <c r="AX676" s="476"/>
      <c r="AY676" s="476"/>
      <c r="AZ676" s="476"/>
      <c r="BA676" s="476"/>
      <c r="BB676" s="477"/>
      <c r="BC676" s="544"/>
      <c r="BD676" s="545"/>
      <c r="BE676" s="545"/>
      <c r="BF676" s="545"/>
      <c r="BG676" s="545"/>
      <c r="BH676" s="545"/>
      <c r="BI676" s="545"/>
      <c r="BJ676" s="545"/>
      <c r="BK676" s="545"/>
      <c r="BL676" s="545"/>
      <c r="BM676" s="545"/>
      <c r="BN676" s="545"/>
      <c r="BO676" s="545"/>
      <c r="BP676" s="545"/>
      <c r="BQ676" s="545"/>
      <c r="BR676" s="546"/>
      <c r="BS676" s="681"/>
      <c r="BT676" s="681"/>
      <c r="BU676" s="681"/>
      <c r="BV676" s="681"/>
      <c r="BW676" s="681"/>
      <c r="BX676" s="681"/>
      <c r="BY676" s="681"/>
      <c r="BZ676" s="681"/>
      <c r="CA676" s="681"/>
      <c r="CB676" s="681"/>
      <c r="CC676" s="681"/>
      <c r="CD676" s="681"/>
      <c r="CE676" s="681"/>
      <c r="CF676" s="681"/>
      <c r="CG676" s="681"/>
      <c r="CH676" s="681"/>
      <c r="CI676" s="627"/>
      <c r="CJ676" s="628"/>
      <c r="CK676" s="628"/>
      <c r="CL676" s="628"/>
      <c r="CM676" s="628"/>
      <c r="CN676" s="628"/>
      <c r="CO676" s="628"/>
      <c r="CP676" s="628"/>
      <c r="CQ676" s="628"/>
      <c r="CR676" s="628"/>
      <c r="CS676" s="628"/>
      <c r="CT676" s="628"/>
      <c r="CU676" s="628"/>
      <c r="CV676" s="628"/>
      <c r="CW676" s="628"/>
      <c r="CX676" s="628"/>
      <c r="CY676" s="628"/>
      <c r="CZ676" s="629"/>
      <c r="DA676" s="214"/>
    </row>
    <row r="677" spans="1:105" s="16" customFormat="1" ht="15" hidden="1" customHeight="1" x14ac:dyDescent="0.3">
      <c r="A677" s="630" t="s">
        <v>664</v>
      </c>
      <c r="B677" s="631"/>
      <c r="C677" s="631"/>
      <c r="D677" s="631"/>
      <c r="E677" s="631"/>
      <c r="F677" s="631"/>
      <c r="G677" s="632"/>
      <c r="H677" s="584" t="s">
        <v>708</v>
      </c>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5"/>
      <c r="AL677" s="585"/>
      <c r="AM677" s="585"/>
      <c r="AN677" s="585"/>
      <c r="AO677" s="585"/>
      <c r="AP677" s="585"/>
      <c r="AQ677" s="585"/>
      <c r="AR677" s="585"/>
      <c r="AS677" s="585"/>
      <c r="AT677" s="586"/>
      <c r="AU677" s="475" t="s">
        <v>459</v>
      </c>
      <c r="AV677" s="476"/>
      <c r="AW677" s="476"/>
      <c r="AX677" s="476"/>
      <c r="AY677" s="476"/>
      <c r="AZ677" s="476"/>
      <c r="BA677" s="476"/>
      <c r="BB677" s="477"/>
      <c r="BC677" s="544"/>
      <c r="BD677" s="545"/>
      <c r="BE677" s="545"/>
      <c r="BF677" s="545"/>
      <c r="BG677" s="545"/>
      <c r="BH677" s="545"/>
      <c r="BI677" s="545"/>
      <c r="BJ677" s="545"/>
      <c r="BK677" s="545"/>
      <c r="BL677" s="545"/>
      <c r="BM677" s="545"/>
      <c r="BN677" s="545"/>
      <c r="BO677" s="545"/>
      <c r="BP677" s="545"/>
      <c r="BQ677" s="545"/>
      <c r="BR677" s="546"/>
      <c r="BS677" s="681"/>
      <c r="BT677" s="681"/>
      <c r="BU677" s="681"/>
      <c r="BV677" s="681"/>
      <c r="BW677" s="681"/>
      <c r="BX677" s="681"/>
      <c r="BY677" s="681"/>
      <c r="BZ677" s="681"/>
      <c r="CA677" s="681"/>
      <c r="CB677" s="681"/>
      <c r="CC677" s="681"/>
      <c r="CD677" s="681"/>
      <c r="CE677" s="681"/>
      <c r="CF677" s="681"/>
      <c r="CG677" s="681"/>
      <c r="CH677" s="681"/>
      <c r="CI677" s="627"/>
      <c r="CJ677" s="628"/>
      <c r="CK677" s="628"/>
      <c r="CL677" s="628"/>
      <c r="CM677" s="628"/>
      <c r="CN677" s="628"/>
      <c r="CO677" s="628"/>
      <c r="CP677" s="628"/>
      <c r="CQ677" s="628"/>
      <c r="CR677" s="628"/>
      <c r="CS677" s="628"/>
      <c r="CT677" s="628"/>
      <c r="CU677" s="628"/>
      <c r="CV677" s="628"/>
      <c r="CW677" s="628"/>
      <c r="CX677" s="628"/>
      <c r="CY677" s="628"/>
      <c r="CZ677" s="629"/>
      <c r="DA677" s="214"/>
    </row>
    <row r="678" spans="1:105" s="16" customFormat="1" ht="15" hidden="1" customHeight="1" x14ac:dyDescent="0.3">
      <c r="A678" s="630" t="s">
        <v>662</v>
      </c>
      <c r="B678" s="631"/>
      <c r="C678" s="631"/>
      <c r="D678" s="631"/>
      <c r="E678" s="631"/>
      <c r="F678" s="631"/>
      <c r="G678" s="632"/>
      <c r="H678" s="584" t="s">
        <v>709</v>
      </c>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5"/>
      <c r="AL678" s="585"/>
      <c r="AM678" s="585"/>
      <c r="AN678" s="585"/>
      <c r="AO678" s="585"/>
      <c r="AP678" s="585"/>
      <c r="AQ678" s="585"/>
      <c r="AR678" s="585"/>
      <c r="AS678" s="585"/>
      <c r="AT678" s="586"/>
      <c r="AU678" s="475" t="s">
        <v>690</v>
      </c>
      <c r="AV678" s="476"/>
      <c r="AW678" s="476"/>
      <c r="AX678" s="476"/>
      <c r="AY678" s="476"/>
      <c r="AZ678" s="476"/>
      <c r="BA678" s="476"/>
      <c r="BB678" s="477"/>
      <c r="BC678" s="544"/>
      <c r="BD678" s="545"/>
      <c r="BE678" s="545"/>
      <c r="BF678" s="545"/>
      <c r="BG678" s="545"/>
      <c r="BH678" s="545"/>
      <c r="BI678" s="545"/>
      <c r="BJ678" s="545"/>
      <c r="BK678" s="545"/>
      <c r="BL678" s="545"/>
      <c r="BM678" s="545"/>
      <c r="BN678" s="545"/>
      <c r="BO678" s="545"/>
      <c r="BP678" s="545"/>
      <c r="BQ678" s="545"/>
      <c r="BR678" s="546"/>
      <c r="BS678" s="681"/>
      <c r="BT678" s="681"/>
      <c r="BU678" s="681"/>
      <c r="BV678" s="681"/>
      <c r="BW678" s="681"/>
      <c r="BX678" s="681"/>
      <c r="BY678" s="681"/>
      <c r="BZ678" s="681"/>
      <c r="CA678" s="681"/>
      <c r="CB678" s="681"/>
      <c r="CC678" s="681"/>
      <c r="CD678" s="681"/>
      <c r="CE678" s="681"/>
      <c r="CF678" s="681"/>
      <c r="CG678" s="681"/>
      <c r="CH678" s="681"/>
      <c r="CI678" s="627"/>
      <c r="CJ678" s="628"/>
      <c r="CK678" s="628"/>
      <c r="CL678" s="628"/>
      <c r="CM678" s="628"/>
      <c r="CN678" s="628"/>
      <c r="CO678" s="628"/>
      <c r="CP678" s="628"/>
      <c r="CQ678" s="628"/>
      <c r="CR678" s="628"/>
      <c r="CS678" s="628"/>
      <c r="CT678" s="628"/>
      <c r="CU678" s="628"/>
      <c r="CV678" s="628"/>
      <c r="CW678" s="628"/>
      <c r="CX678" s="628"/>
      <c r="CY678" s="628"/>
      <c r="CZ678" s="629"/>
      <c r="DA678" s="214"/>
    </row>
    <row r="679" spans="1:105" s="16" customFormat="1" ht="15" customHeight="1" x14ac:dyDescent="0.3">
      <c r="A679" s="630"/>
      <c r="B679" s="631"/>
      <c r="C679" s="631"/>
      <c r="D679" s="631"/>
      <c r="E679" s="631"/>
      <c r="F679" s="631"/>
      <c r="G679" s="632"/>
      <c r="H679" s="584"/>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5"/>
      <c r="AL679" s="585"/>
      <c r="AM679" s="585"/>
      <c r="AN679" s="585"/>
      <c r="AO679" s="585"/>
      <c r="AP679" s="585"/>
      <c r="AQ679" s="585"/>
      <c r="AR679" s="585"/>
      <c r="AS679" s="585"/>
      <c r="AT679" s="586"/>
      <c r="AU679" s="475"/>
      <c r="AV679" s="476"/>
      <c r="AW679" s="476"/>
      <c r="AX679" s="476"/>
      <c r="AY679" s="476"/>
      <c r="AZ679" s="476"/>
      <c r="BA679" s="476"/>
      <c r="BB679" s="477"/>
      <c r="BC679" s="544"/>
      <c r="BD679" s="545"/>
      <c r="BE679" s="545"/>
      <c r="BF679" s="545"/>
      <c r="BG679" s="545"/>
      <c r="BH679" s="545"/>
      <c r="BI679" s="545"/>
      <c r="BJ679" s="545"/>
      <c r="BK679" s="545"/>
      <c r="BL679" s="545"/>
      <c r="BM679" s="545"/>
      <c r="BN679" s="545"/>
      <c r="BO679" s="545"/>
      <c r="BP679" s="545"/>
      <c r="BQ679" s="545"/>
      <c r="BR679" s="546"/>
      <c r="BS679" s="639"/>
      <c r="BT679" s="640"/>
      <c r="BU679" s="640"/>
      <c r="BV679" s="640"/>
      <c r="BW679" s="640"/>
      <c r="BX679" s="640"/>
      <c r="BY679" s="640"/>
      <c r="BZ679" s="640"/>
      <c r="CA679" s="640"/>
      <c r="CB679" s="640"/>
      <c r="CC679" s="640"/>
      <c r="CD679" s="640"/>
      <c r="CE679" s="640"/>
      <c r="CF679" s="640"/>
      <c r="CG679" s="640"/>
      <c r="CH679" s="641"/>
      <c r="CI679" s="627"/>
      <c r="CJ679" s="628"/>
      <c r="CK679" s="628"/>
      <c r="CL679" s="628"/>
      <c r="CM679" s="628"/>
      <c r="CN679" s="628"/>
      <c r="CO679" s="628"/>
      <c r="CP679" s="628"/>
      <c r="CQ679" s="628"/>
      <c r="CR679" s="628"/>
      <c r="CS679" s="628"/>
      <c r="CT679" s="628"/>
      <c r="CU679" s="628"/>
      <c r="CV679" s="628"/>
      <c r="CW679" s="628"/>
      <c r="CX679" s="628"/>
      <c r="CY679" s="628"/>
      <c r="CZ679" s="629"/>
      <c r="DA679" s="214"/>
    </row>
    <row r="680" spans="1:105" s="16" customFormat="1" ht="15" customHeight="1" x14ac:dyDescent="0.3">
      <c r="A680" s="630"/>
      <c r="B680" s="631"/>
      <c r="C680" s="631"/>
      <c r="D680" s="631"/>
      <c r="E680" s="631"/>
      <c r="F680" s="631"/>
      <c r="G680" s="632"/>
      <c r="H680" s="651" t="s">
        <v>710</v>
      </c>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52"/>
      <c r="AL680" s="652"/>
      <c r="AM680" s="652"/>
      <c r="AN680" s="652"/>
      <c r="AO680" s="652"/>
      <c r="AP680" s="652"/>
      <c r="AQ680" s="652"/>
      <c r="AR680" s="652"/>
      <c r="AS680" s="652"/>
      <c r="AT680" s="653"/>
      <c r="AU680" s="541" t="s">
        <v>697</v>
      </c>
      <c r="AV680" s="542"/>
      <c r="AW680" s="542"/>
      <c r="AX680" s="542"/>
      <c r="AY680" s="542"/>
      <c r="AZ680" s="542"/>
      <c r="BA680" s="542"/>
      <c r="BB680" s="543"/>
      <c r="BC680" s="644">
        <v>1000</v>
      </c>
      <c r="BD680" s="645"/>
      <c r="BE680" s="645"/>
      <c r="BF680" s="645"/>
      <c r="BG680" s="645"/>
      <c r="BH680" s="645"/>
      <c r="BI680" s="645"/>
      <c r="BJ680" s="645"/>
      <c r="BK680" s="645"/>
      <c r="BL680" s="645"/>
      <c r="BM680" s="645"/>
      <c r="BN680" s="645"/>
      <c r="BO680" s="645"/>
      <c r="BP680" s="645"/>
      <c r="BQ680" s="645"/>
      <c r="BR680" s="646"/>
      <c r="BS680" s="644">
        <f>CI680/BC680</f>
        <v>50</v>
      </c>
      <c r="BT680" s="645"/>
      <c r="BU680" s="645"/>
      <c r="BV680" s="645"/>
      <c r="BW680" s="645"/>
      <c r="BX680" s="645"/>
      <c r="BY680" s="645"/>
      <c r="BZ680" s="645"/>
      <c r="CA680" s="645"/>
      <c r="CB680" s="645"/>
      <c r="CC680" s="645"/>
      <c r="CD680" s="645"/>
      <c r="CE680" s="645"/>
      <c r="CF680" s="645"/>
      <c r="CG680" s="645"/>
      <c r="CH680" s="646"/>
      <c r="CI680" s="636">
        <v>50000</v>
      </c>
      <c r="CJ680" s="654"/>
      <c r="CK680" s="654"/>
      <c r="CL680" s="654"/>
      <c r="CM680" s="654"/>
      <c r="CN680" s="654"/>
      <c r="CO680" s="654"/>
      <c r="CP680" s="654"/>
      <c r="CQ680" s="654"/>
      <c r="CR680" s="654"/>
      <c r="CS680" s="654"/>
      <c r="CT680" s="654"/>
      <c r="CU680" s="654"/>
      <c r="CV680" s="654"/>
      <c r="CW680" s="654"/>
      <c r="CX680" s="654"/>
      <c r="CY680" s="654"/>
      <c r="CZ680" s="655"/>
      <c r="DA680" s="214"/>
    </row>
    <row r="681" spans="1:105" s="16" customFormat="1" ht="15" customHeight="1" x14ac:dyDescent="0.3">
      <c r="A681" s="630"/>
      <c r="B681" s="631"/>
      <c r="C681" s="631"/>
      <c r="D681" s="631"/>
      <c r="E681" s="631"/>
      <c r="F681" s="631"/>
      <c r="G681" s="632"/>
      <c r="H681" s="584"/>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5"/>
      <c r="AL681" s="585"/>
      <c r="AM681" s="585"/>
      <c r="AN681" s="585"/>
      <c r="AO681" s="585"/>
      <c r="AP681" s="585"/>
      <c r="AQ681" s="585"/>
      <c r="AR681" s="585"/>
      <c r="AS681" s="585"/>
      <c r="AT681" s="586"/>
      <c r="AU681" s="475"/>
      <c r="AV681" s="476"/>
      <c r="AW681" s="476"/>
      <c r="AX681" s="476"/>
      <c r="AY681" s="476"/>
      <c r="AZ681" s="476"/>
      <c r="BA681" s="476"/>
      <c r="BB681" s="477"/>
      <c r="BC681" s="544"/>
      <c r="BD681" s="545"/>
      <c r="BE681" s="545"/>
      <c r="BF681" s="545"/>
      <c r="BG681" s="545"/>
      <c r="BH681" s="545"/>
      <c r="BI681" s="545"/>
      <c r="BJ681" s="545"/>
      <c r="BK681" s="545"/>
      <c r="BL681" s="545"/>
      <c r="BM681" s="545"/>
      <c r="BN681" s="545"/>
      <c r="BO681" s="545"/>
      <c r="BP681" s="545"/>
      <c r="BQ681" s="545"/>
      <c r="BR681" s="546"/>
      <c r="BS681" s="639"/>
      <c r="BT681" s="640"/>
      <c r="BU681" s="640"/>
      <c r="BV681" s="640"/>
      <c r="BW681" s="640"/>
      <c r="BX681" s="640"/>
      <c r="BY681" s="640"/>
      <c r="BZ681" s="640"/>
      <c r="CA681" s="640"/>
      <c r="CB681" s="640"/>
      <c r="CC681" s="640"/>
      <c r="CD681" s="640"/>
      <c r="CE681" s="640"/>
      <c r="CF681" s="640"/>
      <c r="CG681" s="640"/>
      <c r="CH681" s="641"/>
      <c r="CI681" s="627"/>
      <c r="CJ681" s="628"/>
      <c r="CK681" s="628"/>
      <c r="CL681" s="628"/>
      <c r="CM681" s="628"/>
      <c r="CN681" s="628"/>
      <c r="CO681" s="628"/>
      <c r="CP681" s="628"/>
      <c r="CQ681" s="628"/>
      <c r="CR681" s="628"/>
      <c r="CS681" s="628"/>
      <c r="CT681" s="628"/>
      <c r="CU681" s="628"/>
      <c r="CV681" s="628"/>
      <c r="CW681" s="628"/>
      <c r="CX681" s="628"/>
      <c r="CY681" s="628"/>
      <c r="CZ681" s="629"/>
      <c r="DA681" s="214"/>
    </row>
    <row r="682" spans="1:105" s="16" customFormat="1" ht="13.2" x14ac:dyDescent="0.3">
      <c r="A682" s="630"/>
      <c r="B682" s="631"/>
      <c r="C682" s="631"/>
      <c r="D682" s="631"/>
      <c r="E682" s="631"/>
      <c r="F682" s="631"/>
      <c r="G682" s="632"/>
      <c r="H682" s="651" t="s">
        <v>711</v>
      </c>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52"/>
      <c r="AL682" s="652"/>
      <c r="AM682" s="652"/>
      <c r="AN682" s="652"/>
      <c r="AO682" s="652"/>
      <c r="AP682" s="652"/>
      <c r="AQ682" s="652"/>
      <c r="AR682" s="652"/>
      <c r="AS682" s="652"/>
      <c r="AT682" s="653"/>
      <c r="AU682" s="475"/>
      <c r="AV682" s="476"/>
      <c r="AW682" s="476"/>
      <c r="AX682" s="476"/>
      <c r="AY682" s="476"/>
      <c r="AZ682" s="476"/>
      <c r="BA682" s="476"/>
      <c r="BB682" s="477"/>
      <c r="BC682" s="647">
        <f>SUM(BC683:BR695)</f>
        <v>232</v>
      </c>
      <c r="BD682" s="637"/>
      <c r="BE682" s="637"/>
      <c r="BF682" s="637"/>
      <c r="BG682" s="637"/>
      <c r="BH682" s="637"/>
      <c r="BI682" s="637"/>
      <c r="BJ682" s="637"/>
      <c r="BK682" s="637"/>
      <c r="BL682" s="637"/>
      <c r="BM682" s="637"/>
      <c r="BN682" s="637"/>
      <c r="BO682" s="637"/>
      <c r="BP682" s="637"/>
      <c r="BQ682" s="637"/>
      <c r="BR682" s="638"/>
      <c r="BS682" s="644">
        <f>CI682/BC682</f>
        <v>146.55172413793105</v>
      </c>
      <c r="BT682" s="645"/>
      <c r="BU682" s="645"/>
      <c r="BV682" s="645"/>
      <c r="BW682" s="645"/>
      <c r="BX682" s="645"/>
      <c r="BY682" s="645"/>
      <c r="BZ682" s="645"/>
      <c r="CA682" s="645"/>
      <c r="CB682" s="645"/>
      <c r="CC682" s="645"/>
      <c r="CD682" s="645"/>
      <c r="CE682" s="645"/>
      <c r="CF682" s="645"/>
      <c r="CG682" s="645"/>
      <c r="CH682" s="646"/>
      <c r="CI682" s="636">
        <f>SUM(CI683:CZ695)</f>
        <v>34000</v>
      </c>
      <c r="CJ682" s="637"/>
      <c r="CK682" s="637"/>
      <c r="CL682" s="637"/>
      <c r="CM682" s="637"/>
      <c r="CN682" s="637"/>
      <c r="CO682" s="637"/>
      <c r="CP682" s="637"/>
      <c r="CQ682" s="637"/>
      <c r="CR682" s="637"/>
      <c r="CS682" s="637"/>
      <c r="CT682" s="637"/>
      <c r="CU682" s="637"/>
      <c r="CV682" s="637"/>
      <c r="CW682" s="637"/>
      <c r="CX682" s="637"/>
      <c r="CY682" s="637"/>
      <c r="CZ682" s="638"/>
      <c r="DA682" s="214"/>
    </row>
    <row r="683" spans="1:105" s="16" customFormat="1" ht="13.2" hidden="1" x14ac:dyDescent="0.3">
      <c r="A683" s="630" t="s">
        <v>441</v>
      </c>
      <c r="B683" s="631"/>
      <c r="C683" s="631"/>
      <c r="D683" s="631"/>
      <c r="E683" s="631"/>
      <c r="F683" s="631"/>
      <c r="G683" s="632"/>
      <c r="H683" s="584" t="s">
        <v>712</v>
      </c>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5"/>
      <c r="AL683" s="585"/>
      <c r="AM683" s="585"/>
      <c r="AN683" s="585"/>
      <c r="AO683" s="585"/>
      <c r="AP683" s="585"/>
      <c r="AQ683" s="585"/>
      <c r="AR683" s="585"/>
      <c r="AS683" s="585"/>
      <c r="AT683" s="586"/>
      <c r="AU683" s="475" t="s">
        <v>690</v>
      </c>
      <c r="AV683" s="476"/>
      <c r="AW683" s="476"/>
      <c r="AX683" s="476"/>
      <c r="AY683" s="476"/>
      <c r="AZ683" s="476"/>
      <c r="BA683" s="476"/>
      <c r="BB683" s="477"/>
      <c r="BC683" s="544">
        <v>2</v>
      </c>
      <c r="BD683" s="545"/>
      <c r="BE683" s="545"/>
      <c r="BF683" s="545"/>
      <c r="BG683" s="545"/>
      <c r="BH683" s="545"/>
      <c r="BI683" s="545"/>
      <c r="BJ683" s="545"/>
      <c r="BK683" s="545"/>
      <c r="BL683" s="545"/>
      <c r="BM683" s="545"/>
      <c r="BN683" s="545"/>
      <c r="BO683" s="545"/>
      <c r="BP683" s="545"/>
      <c r="BQ683" s="545"/>
      <c r="BR683" s="546"/>
      <c r="BS683" s="639">
        <f>CI683/BC683</f>
        <v>0</v>
      </c>
      <c r="BT683" s="640"/>
      <c r="BU683" s="640"/>
      <c r="BV683" s="640"/>
      <c r="BW683" s="640"/>
      <c r="BX683" s="640"/>
      <c r="BY683" s="640"/>
      <c r="BZ683" s="640"/>
      <c r="CA683" s="640"/>
      <c r="CB683" s="640"/>
      <c r="CC683" s="640"/>
      <c r="CD683" s="640"/>
      <c r="CE683" s="640"/>
      <c r="CF683" s="640"/>
      <c r="CG683" s="640"/>
      <c r="CH683" s="641"/>
      <c r="CI683" s="627"/>
      <c r="CJ683" s="628"/>
      <c r="CK683" s="628"/>
      <c r="CL683" s="628"/>
      <c r="CM683" s="628"/>
      <c r="CN683" s="628"/>
      <c r="CO683" s="628"/>
      <c r="CP683" s="628"/>
      <c r="CQ683" s="628"/>
      <c r="CR683" s="628"/>
      <c r="CS683" s="628"/>
      <c r="CT683" s="628"/>
      <c r="CU683" s="628"/>
      <c r="CV683" s="628"/>
      <c r="CW683" s="628"/>
      <c r="CX683" s="628"/>
      <c r="CY683" s="628"/>
      <c r="CZ683" s="629"/>
      <c r="DA683" s="214"/>
    </row>
    <row r="684" spans="1:105" s="16" customFormat="1" ht="13.2" hidden="1" x14ac:dyDescent="0.3">
      <c r="A684" s="630" t="s">
        <v>444</v>
      </c>
      <c r="B684" s="631"/>
      <c r="C684" s="631"/>
      <c r="D684" s="631"/>
      <c r="E684" s="631"/>
      <c r="F684" s="631"/>
      <c r="G684" s="632"/>
      <c r="H684" s="584" t="s">
        <v>973</v>
      </c>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5"/>
      <c r="AL684" s="585"/>
      <c r="AM684" s="585"/>
      <c r="AN684" s="585"/>
      <c r="AO684" s="585"/>
      <c r="AP684" s="585"/>
      <c r="AQ684" s="585"/>
      <c r="AR684" s="585"/>
      <c r="AS684" s="585"/>
      <c r="AT684" s="586"/>
      <c r="AU684" s="475" t="s">
        <v>690</v>
      </c>
      <c r="AV684" s="476"/>
      <c r="AW684" s="476"/>
      <c r="AX684" s="476"/>
      <c r="AY684" s="476"/>
      <c r="AZ684" s="476"/>
      <c r="BA684" s="476"/>
      <c r="BB684" s="477"/>
      <c r="BC684" s="544">
        <v>5</v>
      </c>
      <c r="BD684" s="545"/>
      <c r="BE684" s="545"/>
      <c r="BF684" s="545"/>
      <c r="BG684" s="545"/>
      <c r="BH684" s="545"/>
      <c r="BI684" s="545"/>
      <c r="BJ684" s="545"/>
      <c r="BK684" s="545"/>
      <c r="BL684" s="545"/>
      <c r="BM684" s="545"/>
      <c r="BN684" s="545"/>
      <c r="BO684" s="545"/>
      <c r="BP684" s="545"/>
      <c r="BQ684" s="545"/>
      <c r="BR684" s="546"/>
      <c r="BS684" s="639">
        <f t="shared" ref="BS684:BS695" si="10">CI684/BC684</f>
        <v>0</v>
      </c>
      <c r="BT684" s="640"/>
      <c r="BU684" s="640"/>
      <c r="BV684" s="640"/>
      <c r="BW684" s="640"/>
      <c r="BX684" s="640"/>
      <c r="BY684" s="640"/>
      <c r="BZ684" s="640"/>
      <c r="CA684" s="640"/>
      <c r="CB684" s="640"/>
      <c r="CC684" s="640"/>
      <c r="CD684" s="640"/>
      <c r="CE684" s="640"/>
      <c r="CF684" s="640"/>
      <c r="CG684" s="640"/>
      <c r="CH684" s="641"/>
      <c r="CI684" s="627"/>
      <c r="CJ684" s="628"/>
      <c r="CK684" s="628"/>
      <c r="CL684" s="628"/>
      <c r="CM684" s="628"/>
      <c r="CN684" s="628"/>
      <c r="CO684" s="628"/>
      <c r="CP684" s="628"/>
      <c r="CQ684" s="628"/>
      <c r="CR684" s="628"/>
      <c r="CS684" s="628"/>
      <c r="CT684" s="628"/>
      <c r="CU684" s="628"/>
      <c r="CV684" s="628"/>
      <c r="CW684" s="628"/>
      <c r="CX684" s="628"/>
      <c r="CY684" s="628"/>
      <c r="CZ684" s="629"/>
      <c r="DA684" s="214"/>
    </row>
    <row r="685" spans="1:105" s="16" customFormat="1" ht="13.2" x14ac:dyDescent="0.3">
      <c r="A685" s="630" t="s">
        <v>67</v>
      </c>
      <c r="B685" s="631"/>
      <c r="C685" s="631"/>
      <c r="D685" s="631"/>
      <c r="E685" s="631"/>
      <c r="F685" s="631"/>
      <c r="G685" s="632"/>
      <c r="H685" s="584" t="s">
        <v>918</v>
      </c>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5"/>
      <c r="AL685" s="585"/>
      <c r="AM685" s="585"/>
      <c r="AN685" s="585"/>
      <c r="AO685" s="585"/>
      <c r="AP685" s="585"/>
      <c r="AQ685" s="585"/>
      <c r="AR685" s="585"/>
      <c r="AS685" s="585"/>
      <c r="AT685" s="586"/>
      <c r="AU685" s="475" t="s">
        <v>690</v>
      </c>
      <c r="AV685" s="476"/>
      <c r="AW685" s="476"/>
      <c r="AX685" s="476"/>
      <c r="AY685" s="476"/>
      <c r="AZ685" s="476"/>
      <c r="BA685" s="476"/>
      <c r="BB685" s="477"/>
      <c r="BC685" s="544">
        <v>45</v>
      </c>
      <c r="BD685" s="545"/>
      <c r="BE685" s="545"/>
      <c r="BF685" s="545"/>
      <c r="BG685" s="545"/>
      <c r="BH685" s="545"/>
      <c r="BI685" s="545"/>
      <c r="BJ685" s="545"/>
      <c r="BK685" s="545"/>
      <c r="BL685" s="545"/>
      <c r="BM685" s="545"/>
      <c r="BN685" s="545"/>
      <c r="BO685" s="545"/>
      <c r="BP685" s="545"/>
      <c r="BQ685" s="545"/>
      <c r="BR685" s="546"/>
      <c r="BS685" s="639">
        <f t="shared" si="10"/>
        <v>755.55555555555554</v>
      </c>
      <c r="BT685" s="640"/>
      <c r="BU685" s="640"/>
      <c r="BV685" s="640"/>
      <c r="BW685" s="640"/>
      <c r="BX685" s="640"/>
      <c r="BY685" s="640"/>
      <c r="BZ685" s="640"/>
      <c r="CA685" s="640"/>
      <c r="CB685" s="640"/>
      <c r="CC685" s="640"/>
      <c r="CD685" s="640"/>
      <c r="CE685" s="640"/>
      <c r="CF685" s="640"/>
      <c r="CG685" s="640"/>
      <c r="CH685" s="641"/>
      <c r="CI685" s="627">
        <v>34000</v>
      </c>
      <c r="CJ685" s="628"/>
      <c r="CK685" s="628"/>
      <c r="CL685" s="628"/>
      <c r="CM685" s="628"/>
      <c r="CN685" s="628"/>
      <c r="CO685" s="628"/>
      <c r="CP685" s="628"/>
      <c r="CQ685" s="628"/>
      <c r="CR685" s="628"/>
      <c r="CS685" s="628"/>
      <c r="CT685" s="628"/>
      <c r="CU685" s="628"/>
      <c r="CV685" s="628"/>
      <c r="CW685" s="628"/>
      <c r="CX685" s="628"/>
      <c r="CY685" s="628"/>
      <c r="CZ685" s="629"/>
      <c r="DA685" s="214"/>
    </row>
    <row r="686" spans="1:105" s="16" customFormat="1" ht="13.2" hidden="1" x14ac:dyDescent="0.3">
      <c r="A686" s="630" t="s">
        <v>551</v>
      </c>
      <c r="B686" s="631"/>
      <c r="C686" s="631"/>
      <c r="D686" s="631"/>
      <c r="E686" s="631"/>
      <c r="F686" s="631"/>
      <c r="G686" s="632"/>
      <c r="H686" s="584" t="s">
        <v>974</v>
      </c>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5"/>
      <c r="AL686" s="585"/>
      <c r="AM686" s="585"/>
      <c r="AN686" s="585"/>
      <c r="AO686" s="585"/>
      <c r="AP686" s="585"/>
      <c r="AQ686" s="585"/>
      <c r="AR686" s="585"/>
      <c r="AS686" s="585"/>
      <c r="AT686" s="586"/>
      <c r="AU686" s="475" t="s">
        <v>690</v>
      </c>
      <c r="AV686" s="476"/>
      <c r="AW686" s="476"/>
      <c r="AX686" s="476"/>
      <c r="AY686" s="476"/>
      <c r="AZ686" s="476"/>
      <c r="BA686" s="476"/>
      <c r="BB686" s="477"/>
      <c r="BC686" s="544">
        <v>35</v>
      </c>
      <c r="BD686" s="545"/>
      <c r="BE686" s="545"/>
      <c r="BF686" s="545"/>
      <c r="BG686" s="545"/>
      <c r="BH686" s="545"/>
      <c r="BI686" s="545"/>
      <c r="BJ686" s="545"/>
      <c r="BK686" s="545"/>
      <c r="BL686" s="545"/>
      <c r="BM686" s="545"/>
      <c r="BN686" s="545"/>
      <c r="BO686" s="545"/>
      <c r="BP686" s="545"/>
      <c r="BQ686" s="545"/>
      <c r="BR686" s="546"/>
      <c r="BS686" s="639">
        <f t="shared" si="10"/>
        <v>0</v>
      </c>
      <c r="BT686" s="640"/>
      <c r="BU686" s="640"/>
      <c r="BV686" s="640"/>
      <c r="BW686" s="640"/>
      <c r="BX686" s="640"/>
      <c r="BY686" s="640"/>
      <c r="BZ686" s="640"/>
      <c r="CA686" s="640"/>
      <c r="CB686" s="640"/>
      <c r="CC686" s="640"/>
      <c r="CD686" s="640"/>
      <c r="CE686" s="640"/>
      <c r="CF686" s="640"/>
      <c r="CG686" s="640"/>
      <c r="CH686" s="641"/>
      <c r="CI686" s="627"/>
      <c r="CJ686" s="628"/>
      <c r="CK686" s="628"/>
      <c r="CL686" s="628"/>
      <c r="CM686" s="628"/>
      <c r="CN686" s="628"/>
      <c r="CO686" s="628"/>
      <c r="CP686" s="628"/>
      <c r="CQ686" s="628"/>
      <c r="CR686" s="628"/>
      <c r="CS686" s="628"/>
      <c r="CT686" s="628"/>
      <c r="CU686" s="628"/>
      <c r="CV686" s="628"/>
      <c r="CW686" s="628"/>
      <c r="CX686" s="628"/>
      <c r="CY686" s="628"/>
      <c r="CZ686" s="629"/>
      <c r="DA686" s="214"/>
    </row>
    <row r="687" spans="1:105" s="16" customFormat="1" ht="13.2" hidden="1" x14ac:dyDescent="0.3">
      <c r="A687" s="630" t="s">
        <v>599</v>
      </c>
      <c r="B687" s="631"/>
      <c r="C687" s="631"/>
      <c r="D687" s="631"/>
      <c r="E687" s="631"/>
      <c r="F687" s="631"/>
      <c r="G687" s="632"/>
      <c r="H687" s="584" t="s">
        <v>975</v>
      </c>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5"/>
      <c r="AL687" s="585"/>
      <c r="AM687" s="585"/>
      <c r="AN687" s="585"/>
      <c r="AO687" s="585"/>
      <c r="AP687" s="585"/>
      <c r="AQ687" s="585"/>
      <c r="AR687" s="585"/>
      <c r="AS687" s="585"/>
      <c r="AT687" s="586"/>
      <c r="AU687" s="475" t="s">
        <v>690</v>
      </c>
      <c r="AV687" s="476"/>
      <c r="AW687" s="476"/>
      <c r="AX687" s="476"/>
      <c r="AY687" s="476"/>
      <c r="AZ687" s="476"/>
      <c r="BA687" s="476"/>
      <c r="BB687" s="477"/>
      <c r="BC687" s="544">
        <v>30</v>
      </c>
      <c r="BD687" s="545"/>
      <c r="BE687" s="545"/>
      <c r="BF687" s="545"/>
      <c r="BG687" s="545"/>
      <c r="BH687" s="545"/>
      <c r="BI687" s="545"/>
      <c r="BJ687" s="545"/>
      <c r="BK687" s="545"/>
      <c r="BL687" s="545"/>
      <c r="BM687" s="545"/>
      <c r="BN687" s="545"/>
      <c r="BO687" s="545"/>
      <c r="BP687" s="545"/>
      <c r="BQ687" s="545"/>
      <c r="BR687" s="546"/>
      <c r="BS687" s="639">
        <f t="shared" si="10"/>
        <v>0</v>
      </c>
      <c r="BT687" s="640"/>
      <c r="BU687" s="640"/>
      <c r="BV687" s="640"/>
      <c r="BW687" s="640"/>
      <c r="BX687" s="640"/>
      <c r="BY687" s="640"/>
      <c r="BZ687" s="640"/>
      <c r="CA687" s="640"/>
      <c r="CB687" s="640"/>
      <c r="CC687" s="640"/>
      <c r="CD687" s="640"/>
      <c r="CE687" s="640"/>
      <c r="CF687" s="640"/>
      <c r="CG687" s="640"/>
      <c r="CH687" s="641"/>
      <c r="CI687" s="627"/>
      <c r="CJ687" s="628"/>
      <c r="CK687" s="628"/>
      <c r="CL687" s="628"/>
      <c r="CM687" s="628"/>
      <c r="CN687" s="628"/>
      <c r="CO687" s="628"/>
      <c r="CP687" s="628"/>
      <c r="CQ687" s="628"/>
      <c r="CR687" s="628"/>
      <c r="CS687" s="628"/>
      <c r="CT687" s="628"/>
      <c r="CU687" s="628"/>
      <c r="CV687" s="628"/>
      <c r="CW687" s="628"/>
      <c r="CX687" s="628"/>
      <c r="CY687" s="628"/>
      <c r="CZ687" s="629"/>
      <c r="DA687" s="214"/>
    </row>
    <row r="688" spans="1:105" s="16" customFormat="1" ht="13.2" hidden="1" x14ac:dyDescent="0.3">
      <c r="A688" s="630" t="s">
        <v>642</v>
      </c>
      <c r="B688" s="631"/>
      <c r="C688" s="631"/>
      <c r="D688" s="631"/>
      <c r="E688" s="631"/>
      <c r="F688" s="631"/>
      <c r="G688" s="632"/>
      <c r="H688" s="584" t="s">
        <v>922</v>
      </c>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5"/>
      <c r="AL688" s="585"/>
      <c r="AM688" s="585"/>
      <c r="AN688" s="585"/>
      <c r="AO688" s="585"/>
      <c r="AP688" s="585"/>
      <c r="AQ688" s="585"/>
      <c r="AR688" s="585"/>
      <c r="AS688" s="585"/>
      <c r="AT688" s="586"/>
      <c r="AU688" s="475" t="s">
        <v>690</v>
      </c>
      <c r="AV688" s="476"/>
      <c r="AW688" s="476"/>
      <c r="AX688" s="476"/>
      <c r="AY688" s="476"/>
      <c r="AZ688" s="476"/>
      <c r="BA688" s="476"/>
      <c r="BB688" s="477"/>
      <c r="BC688" s="544">
        <v>85</v>
      </c>
      <c r="BD688" s="545"/>
      <c r="BE688" s="545"/>
      <c r="BF688" s="545"/>
      <c r="BG688" s="545"/>
      <c r="BH688" s="545"/>
      <c r="BI688" s="545"/>
      <c r="BJ688" s="545"/>
      <c r="BK688" s="545"/>
      <c r="BL688" s="545"/>
      <c r="BM688" s="545"/>
      <c r="BN688" s="545"/>
      <c r="BO688" s="545"/>
      <c r="BP688" s="545"/>
      <c r="BQ688" s="545"/>
      <c r="BR688" s="546"/>
      <c r="BS688" s="639">
        <f t="shared" si="10"/>
        <v>0</v>
      </c>
      <c r="BT688" s="640"/>
      <c r="BU688" s="640"/>
      <c r="BV688" s="640"/>
      <c r="BW688" s="640"/>
      <c r="BX688" s="640"/>
      <c r="BY688" s="640"/>
      <c r="BZ688" s="640"/>
      <c r="CA688" s="640"/>
      <c r="CB688" s="640"/>
      <c r="CC688" s="640"/>
      <c r="CD688" s="640"/>
      <c r="CE688" s="640"/>
      <c r="CF688" s="640"/>
      <c r="CG688" s="640"/>
      <c r="CH688" s="641"/>
      <c r="CI688" s="627"/>
      <c r="CJ688" s="628"/>
      <c r="CK688" s="628"/>
      <c r="CL688" s="628"/>
      <c r="CM688" s="628"/>
      <c r="CN688" s="628"/>
      <c r="CO688" s="628"/>
      <c r="CP688" s="628"/>
      <c r="CQ688" s="628"/>
      <c r="CR688" s="628"/>
      <c r="CS688" s="628"/>
      <c r="CT688" s="628"/>
      <c r="CU688" s="628"/>
      <c r="CV688" s="628"/>
      <c r="CW688" s="628"/>
      <c r="CX688" s="628"/>
      <c r="CY688" s="628"/>
      <c r="CZ688" s="629"/>
      <c r="DA688" s="214"/>
    </row>
    <row r="689" spans="1:105" s="16" customFormat="1" ht="13.2" hidden="1" x14ac:dyDescent="0.3">
      <c r="A689" s="630" t="s">
        <v>648</v>
      </c>
      <c r="B689" s="631"/>
      <c r="C689" s="631"/>
      <c r="D689" s="631"/>
      <c r="E689" s="631"/>
      <c r="F689" s="631"/>
      <c r="G689" s="632"/>
      <c r="H689" s="584" t="s">
        <v>980</v>
      </c>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5"/>
      <c r="AL689" s="585"/>
      <c r="AM689" s="585"/>
      <c r="AN689" s="585"/>
      <c r="AO689" s="585"/>
      <c r="AP689" s="585"/>
      <c r="AQ689" s="585"/>
      <c r="AR689" s="585"/>
      <c r="AS689" s="585"/>
      <c r="AT689" s="586"/>
      <c r="AU689" s="475" t="s">
        <v>690</v>
      </c>
      <c r="AV689" s="476"/>
      <c r="AW689" s="476"/>
      <c r="AX689" s="476"/>
      <c r="AY689" s="476"/>
      <c r="AZ689" s="476"/>
      <c r="BA689" s="476"/>
      <c r="BB689" s="477"/>
      <c r="BC689" s="544">
        <v>30</v>
      </c>
      <c r="BD689" s="545"/>
      <c r="BE689" s="545"/>
      <c r="BF689" s="545"/>
      <c r="BG689" s="545"/>
      <c r="BH689" s="545"/>
      <c r="BI689" s="545"/>
      <c r="BJ689" s="545"/>
      <c r="BK689" s="545"/>
      <c r="BL689" s="545"/>
      <c r="BM689" s="545"/>
      <c r="BN689" s="545"/>
      <c r="BO689" s="545"/>
      <c r="BP689" s="545"/>
      <c r="BQ689" s="545"/>
      <c r="BR689" s="546"/>
      <c r="BS689" s="639">
        <f t="shared" si="10"/>
        <v>0</v>
      </c>
      <c r="BT689" s="640"/>
      <c r="BU689" s="640"/>
      <c r="BV689" s="640"/>
      <c r="BW689" s="640"/>
      <c r="BX689" s="640"/>
      <c r="BY689" s="640"/>
      <c r="BZ689" s="640"/>
      <c r="CA689" s="640"/>
      <c r="CB689" s="640"/>
      <c r="CC689" s="640"/>
      <c r="CD689" s="640"/>
      <c r="CE689" s="640"/>
      <c r="CF689" s="640"/>
      <c r="CG689" s="640"/>
      <c r="CH689" s="641"/>
      <c r="CI689" s="627"/>
      <c r="CJ689" s="628"/>
      <c r="CK689" s="628"/>
      <c r="CL689" s="628"/>
      <c r="CM689" s="628"/>
      <c r="CN689" s="628"/>
      <c r="CO689" s="628"/>
      <c r="CP689" s="628"/>
      <c r="CQ689" s="628"/>
      <c r="CR689" s="628"/>
      <c r="CS689" s="628"/>
      <c r="CT689" s="628"/>
      <c r="CU689" s="628"/>
      <c r="CV689" s="628"/>
      <c r="CW689" s="628"/>
      <c r="CX689" s="628"/>
      <c r="CY689" s="628"/>
      <c r="CZ689" s="629"/>
      <c r="DA689" s="214"/>
    </row>
    <row r="690" spans="1:105" s="16" customFormat="1" ht="13.2" hidden="1" x14ac:dyDescent="0.3">
      <c r="A690" s="630" t="s">
        <v>650</v>
      </c>
      <c r="B690" s="631"/>
      <c r="C690" s="631"/>
      <c r="D690" s="631"/>
      <c r="E690" s="631"/>
      <c r="F690" s="631"/>
      <c r="G690" s="632"/>
      <c r="H690" s="584" t="s">
        <v>981</v>
      </c>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5"/>
      <c r="AL690" s="585"/>
      <c r="AM690" s="585"/>
      <c r="AN690" s="585"/>
      <c r="AO690" s="585"/>
      <c r="AP690" s="585"/>
      <c r="AQ690" s="585"/>
      <c r="AR690" s="585"/>
      <c r="AS690" s="585"/>
      <c r="AT690" s="586"/>
      <c r="AU690" s="475" t="s">
        <v>690</v>
      </c>
      <c r="AV690" s="476"/>
      <c r="AW690" s="476"/>
      <c r="AX690" s="476"/>
      <c r="AY690" s="476"/>
      <c r="AZ690" s="476"/>
      <c r="BA690" s="476"/>
      <c r="BB690" s="477"/>
      <c r="BC690" s="544"/>
      <c r="BD690" s="545"/>
      <c r="BE690" s="545"/>
      <c r="BF690" s="545"/>
      <c r="BG690" s="545"/>
      <c r="BH690" s="545"/>
      <c r="BI690" s="545"/>
      <c r="BJ690" s="545"/>
      <c r="BK690" s="545"/>
      <c r="BL690" s="545"/>
      <c r="BM690" s="545"/>
      <c r="BN690" s="545"/>
      <c r="BO690" s="545"/>
      <c r="BP690" s="545"/>
      <c r="BQ690" s="545"/>
      <c r="BR690" s="546"/>
      <c r="BS690" s="639" t="e">
        <f t="shared" si="10"/>
        <v>#DIV/0!</v>
      </c>
      <c r="BT690" s="640"/>
      <c r="BU690" s="640"/>
      <c r="BV690" s="640"/>
      <c r="BW690" s="640"/>
      <c r="BX690" s="640"/>
      <c r="BY690" s="640"/>
      <c r="BZ690" s="640"/>
      <c r="CA690" s="640"/>
      <c r="CB690" s="640"/>
      <c r="CC690" s="640"/>
      <c r="CD690" s="640"/>
      <c r="CE690" s="640"/>
      <c r="CF690" s="640"/>
      <c r="CG690" s="640"/>
      <c r="CH690" s="641"/>
      <c r="CI690" s="627"/>
      <c r="CJ690" s="628"/>
      <c r="CK690" s="628"/>
      <c r="CL690" s="628"/>
      <c r="CM690" s="628"/>
      <c r="CN690" s="628"/>
      <c r="CO690" s="628"/>
      <c r="CP690" s="628"/>
      <c r="CQ690" s="628"/>
      <c r="CR690" s="628"/>
      <c r="CS690" s="628"/>
      <c r="CT690" s="628"/>
      <c r="CU690" s="628"/>
      <c r="CV690" s="628"/>
      <c r="CW690" s="628"/>
      <c r="CX690" s="628"/>
      <c r="CY690" s="628"/>
      <c r="CZ690" s="629"/>
      <c r="DA690" s="214"/>
    </row>
    <row r="691" spans="1:105" s="16" customFormat="1" ht="13.2" hidden="1" x14ac:dyDescent="0.3">
      <c r="A691" s="630" t="s">
        <v>650</v>
      </c>
      <c r="B691" s="631"/>
      <c r="C691" s="631"/>
      <c r="D691" s="631"/>
      <c r="E691" s="631"/>
      <c r="F691" s="631"/>
      <c r="G691" s="632"/>
      <c r="H691" s="584" t="s">
        <v>976</v>
      </c>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5"/>
      <c r="AL691" s="585"/>
      <c r="AM691" s="585"/>
      <c r="AN691" s="585"/>
      <c r="AO691" s="585"/>
      <c r="AP691" s="585"/>
      <c r="AQ691" s="585"/>
      <c r="AR691" s="585"/>
      <c r="AS691" s="585"/>
      <c r="AT691" s="586"/>
      <c r="AU691" s="475" t="s">
        <v>690</v>
      </c>
      <c r="AV691" s="476"/>
      <c r="AW691" s="476"/>
      <c r="AX691" s="476"/>
      <c r="AY691" s="476"/>
      <c r="AZ691" s="476"/>
      <c r="BA691" s="476"/>
      <c r="BB691" s="477"/>
      <c r="BC691" s="544"/>
      <c r="BD691" s="545"/>
      <c r="BE691" s="545"/>
      <c r="BF691" s="545"/>
      <c r="BG691" s="545"/>
      <c r="BH691" s="545"/>
      <c r="BI691" s="545"/>
      <c r="BJ691" s="545"/>
      <c r="BK691" s="545"/>
      <c r="BL691" s="545"/>
      <c r="BM691" s="545"/>
      <c r="BN691" s="545"/>
      <c r="BO691" s="545"/>
      <c r="BP691" s="545"/>
      <c r="BQ691" s="545"/>
      <c r="BR691" s="546"/>
      <c r="BS691" s="639" t="e">
        <f t="shared" si="10"/>
        <v>#DIV/0!</v>
      </c>
      <c r="BT691" s="640"/>
      <c r="BU691" s="640"/>
      <c r="BV691" s="640"/>
      <c r="BW691" s="640"/>
      <c r="BX691" s="640"/>
      <c r="BY691" s="640"/>
      <c r="BZ691" s="640"/>
      <c r="CA691" s="640"/>
      <c r="CB691" s="640"/>
      <c r="CC691" s="640"/>
      <c r="CD691" s="640"/>
      <c r="CE691" s="640"/>
      <c r="CF691" s="640"/>
      <c r="CG691" s="640"/>
      <c r="CH691" s="641"/>
      <c r="CI691" s="627"/>
      <c r="CJ691" s="628"/>
      <c r="CK691" s="628"/>
      <c r="CL691" s="628"/>
      <c r="CM691" s="628"/>
      <c r="CN691" s="628"/>
      <c r="CO691" s="628"/>
      <c r="CP691" s="628"/>
      <c r="CQ691" s="628"/>
      <c r="CR691" s="628"/>
      <c r="CS691" s="628"/>
      <c r="CT691" s="628"/>
      <c r="CU691" s="628"/>
      <c r="CV691" s="628"/>
      <c r="CW691" s="628"/>
      <c r="CX691" s="628"/>
      <c r="CY691" s="628"/>
      <c r="CZ691" s="629"/>
      <c r="DA691" s="214"/>
    </row>
    <row r="692" spans="1:105" s="16" customFormat="1" ht="13.2" hidden="1" x14ac:dyDescent="0.3">
      <c r="A692" s="630" t="s">
        <v>651</v>
      </c>
      <c r="B692" s="631"/>
      <c r="C692" s="631"/>
      <c r="D692" s="631"/>
      <c r="E692" s="631"/>
      <c r="F692" s="631"/>
      <c r="G692" s="632"/>
      <c r="H692" s="584" t="s">
        <v>977</v>
      </c>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5"/>
      <c r="AL692" s="585"/>
      <c r="AM692" s="585"/>
      <c r="AN692" s="585"/>
      <c r="AO692" s="585"/>
      <c r="AP692" s="585"/>
      <c r="AQ692" s="585"/>
      <c r="AR692" s="585"/>
      <c r="AS692" s="585"/>
      <c r="AT692" s="586"/>
      <c r="AU692" s="475" t="s">
        <v>690</v>
      </c>
      <c r="AV692" s="476"/>
      <c r="AW692" s="476"/>
      <c r="AX692" s="476"/>
      <c r="AY692" s="476"/>
      <c r="AZ692" s="476"/>
      <c r="BA692" s="476"/>
      <c r="BB692" s="477"/>
      <c r="BC692" s="544"/>
      <c r="BD692" s="545"/>
      <c r="BE692" s="545"/>
      <c r="BF692" s="545"/>
      <c r="BG692" s="545"/>
      <c r="BH692" s="545"/>
      <c r="BI692" s="545"/>
      <c r="BJ692" s="545"/>
      <c r="BK692" s="545"/>
      <c r="BL692" s="545"/>
      <c r="BM692" s="545"/>
      <c r="BN692" s="545"/>
      <c r="BO692" s="545"/>
      <c r="BP692" s="545"/>
      <c r="BQ692" s="545"/>
      <c r="BR692" s="546"/>
      <c r="BS692" s="639" t="e">
        <f t="shared" si="10"/>
        <v>#DIV/0!</v>
      </c>
      <c r="BT692" s="640"/>
      <c r="BU692" s="640"/>
      <c r="BV692" s="640"/>
      <c r="BW692" s="640"/>
      <c r="BX692" s="640"/>
      <c r="BY692" s="640"/>
      <c r="BZ692" s="640"/>
      <c r="CA692" s="640"/>
      <c r="CB692" s="640"/>
      <c r="CC692" s="640"/>
      <c r="CD692" s="640"/>
      <c r="CE692" s="640"/>
      <c r="CF692" s="640"/>
      <c r="CG692" s="640"/>
      <c r="CH692" s="641"/>
      <c r="CI692" s="627"/>
      <c r="CJ692" s="628"/>
      <c r="CK692" s="628"/>
      <c r="CL692" s="628"/>
      <c r="CM692" s="628"/>
      <c r="CN692" s="628"/>
      <c r="CO692" s="628"/>
      <c r="CP692" s="628"/>
      <c r="CQ692" s="628"/>
      <c r="CR692" s="628"/>
      <c r="CS692" s="628"/>
      <c r="CT692" s="628"/>
      <c r="CU692" s="628"/>
      <c r="CV692" s="628"/>
      <c r="CW692" s="628"/>
      <c r="CX692" s="628"/>
      <c r="CY692" s="628"/>
      <c r="CZ692" s="629"/>
      <c r="DA692" s="214"/>
    </row>
    <row r="693" spans="1:105" s="16" customFormat="1" ht="13.2" hidden="1" x14ac:dyDescent="0.3">
      <c r="A693" s="630" t="s">
        <v>651</v>
      </c>
      <c r="B693" s="631"/>
      <c r="C693" s="631"/>
      <c r="D693" s="631"/>
      <c r="E693" s="631"/>
      <c r="F693" s="631"/>
      <c r="G693" s="632"/>
      <c r="H693" s="584" t="s">
        <v>972</v>
      </c>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5"/>
      <c r="AL693" s="585"/>
      <c r="AM693" s="585"/>
      <c r="AN693" s="585"/>
      <c r="AO693" s="585"/>
      <c r="AP693" s="585"/>
      <c r="AQ693" s="585"/>
      <c r="AR693" s="585"/>
      <c r="AS693" s="585"/>
      <c r="AT693" s="586"/>
      <c r="AU693" s="475" t="s">
        <v>690</v>
      </c>
      <c r="AV693" s="476"/>
      <c r="AW693" s="476"/>
      <c r="AX693" s="476"/>
      <c r="AY693" s="476"/>
      <c r="AZ693" s="476"/>
      <c r="BA693" s="476"/>
      <c r="BB693" s="477"/>
      <c r="BC693" s="544"/>
      <c r="BD693" s="545"/>
      <c r="BE693" s="545"/>
      <c r="BF693" s="545"/>
      <c r="BG693" s="545"/>
      <c r="BH693" s="545"/>
      <c r="BI693" s="545"/>
      <c r="BJ693" s="545"/>
      <c r="BK693" s="545"/>
      <c r="BL693" s="545"/>
      <c r="BM693" s="545"/>
      <c r="BN693" s="545"/>
      <c r="BO693" s="545"/>
      <c r="BP693" s="545"/>
      <c r="BQ693" s="545"/>
      <c r="BR693" s="546"/>
      <c r="BS693" s="639" t="e">
        <f t="shared" si="10"/>
        <v>#DIV/0!</v>
      </c>
      <c r="BT693" s="640"/>
      <c r="BU693" s="640"/>
      <c r="BV693" s="640"/>
      <c r="BW693" s="640"/>
      <c r="BX693" s="640"/>
      <c r="BY693" s="640"/>
      <c r="BZ693" s="640"/>
      <c r="CA693" s="640"/>
      <c r="CB693" s="640"/>
      <c r="CC693" s="640"/>
      <c r="CD693" s="640"/>
      <c r="CE693" s="640"/>
      <c r="CF693" s="640"/>
      <c r="CG693" s="640"/>
      <c r="CH693" s="641"/>
      <c r="CI693" s="627"/>
      <c r="CJ693" s="628"/>
      <c r="CK693" s="628"/>
      <c r="CL693" s="628"/>
      <c r="CM693" s="628"/>
      <c r="CN693" s="628"/>
      <c r="CO693" s="628"/>
      <c r="CP693" s="628"/>
      <c r="CQ693" s="628"/>
      <c r="CR693" s="628"/>
      <c r="CS693" s="628"/>
      <c r="CT693" s="628"/>
      <c r="CU693" s="628"/>
      <c r="CV693" s="628"/>
      <c r="CW693" s="628"/>
      <c r="CX693" s="628"/>
      <c r="CY693" s="628"/>
      <c r="CZ693" s="629"/>
      <c r="DA693" s="214"/>
    </row>
    <row r="694" spans="1:105" s="16" customFormat="1" ht="13.2" hidden="1" x14ac:dyDescent="0.3">
      <c r="A694" s="630" t="s">
        <v>651</v>
      </c>
      <c r="B694" s="631"/>
      <c r="C694" s="631"/>
      <c r="D694" s="631"/>
      <c r="E694" s="631"/>
      <c r="F694" s="631"/>
      <c r="G694" s="632"/>
      <c r="H694" s="584" t="s">
        <v>978</v>
      </c>
      <c r="I694" s="585"/>
      <c r="J694" s="585"/>
      <c r="K694" s="585"/>
      <c r="L694" s="585"/>
      <c r="M694" s="585"/>
      <c r="N694" s="585"/>
      <c r="O694" s="585"/>
      <c r="P694" s="585"/>
      <c r="Q694" s="585"/>
      <c r="R694" s="585"/>
      <c r="S694" s="585"/>
      <c r="T694" s="585"/>
      <c r="U694" s="585"/>
      <c r="V694" s="585"/>
      <c r="W694" s="585"/>
      <c r="X694" s="585"/>
      <c r="Y694" s="585"/>
      <c r="Z694" s="585"/>
      <c r="AA694" s="585"/>
      <c r="AB694" s="585"/>
      <c r="AC694" s="585"/>
      <c r="AD694" s="585"/>
      <c r="AE694" s="585"/>
      <c r="AF694" s="585"/>
      <c r="AG694" s="585"/>
      <c r="AH694" s="585"/>
      <c r="AI694" s="585"/>
      <c r="AJ694" s="585"/>
      <c r="AK694" s="585"/>
      <c r="AL694" s="585"/>
      <c r="AM694" s="585"/>
      <c r="AN694" s="585"/>
      <c r="AO694" s="585"/>
      <c r="AP694" s="585"/>
      <c r="AQ694" s="585"/>
      <c r="AR694" s="585"/>
      <c r="AS694" s="585"/>
      <c r="AT694" s="586"/>
      <c r="AU694" s="475" t="s">
        <v>690</v>
      </c>
      <c r="AV694" s="476"/>
      <c r="AW694" s="476"/>
      <c r="AX694" s="476"/>
      <c r="AY694" s="476"/>
      <c r="AZ694" s="476"/>
      <c r="BA694" s="476"/>
      <c r="BB694" s="477"/>
      <c r="BC694" s="544"/>
      <c r="BD694" s="545"/>
      <c r="BE694" s="545"/>
      <c r="BF694" s="545"/>
      <c r="BG694" s="545"/>
      <c r="BH694" s="545"/>
      <c r="BI694" s="545"/>
      <c r="BJ694" s="545"/>
      <c r="BK694" s="545"/>
      <c r="BL694" s="545"/>
      <c r="BM694" s="545"/>
      <c r="BN694" s="545"/>
      <c r="BO694" s="545"/>
      <c r="BP694" s="545"/>
      <c r="BQ694" s="545"/>
      <c r="BR694" s="546"/>
      <c r="BS694" s="639" t="e">
        <f t="shared" si="10"/>
        <v>#DIV/0!</v>
      </c>
      <c r="BT694" s="640"/>
      <c r="BU694" s="640"/>
      <c r="BV694" s="640"/>
      <c r="BW694" s="640"/>
      <c r="BX694" s="640"/>
      <c r="BY694" s="640"/>
      <c r="BZ694" s="640"/>
      <c r="CA694" s="640"/>
      <c r="CB694" s="640"/>
      <c r="CC694" s="640"/>
      <c r="CD694" s="640"/>
      <c r="CE694" s="640"/>
      <c r="CF694" s="640"/>
      <c r="CG694" s="640"/>
      <c r="CH694" s="641"/>
      <c r="CI694" s="627"/>
      <c r="CJ694" s="628"/>
      <c r="CK694" s="628"/>
      <c r="CL694" s="628"/>
      <c r="CM694" s="628"/>
      <c r="CN694" s="628"/>
      <c r="CO694" s="628"/>
      <c r="CP694" s="628"/>
      <c r="CQ694" s="628"/>
      <c r="CR694" s="628"/>
      <c r="CS694" s="628"/>
      <c r="CT694" s="628"/>
      <c r="CU694" s="628"/>
      <c r="CV694" s="628"/>
      <c r="CW694" s="628"/>
      <c r="CX694" s="628"/>
      <c r="CY694" s="628"/>
      <c r="CZ694" s="629"/>
      <c r="DA694" s="214"/>
    </row>
    <row r="695" spans="1:105" s="16" customFormat="1" ht="13.2" hidden="1" x14ac:dyDescent="0.3">
      <c r="A695" s="630" t="s">
        <v>651</v>
      </c>
      <c r="B695" s="631"/>
      <c r="C695" s="631"/>
      <c r="D695" s="631"/>
      <c r="E695" s="631"/>
      <c r="F695" s="631"/>
      <c r="G695" s="632"/>
      <c r="H695" s="584" t="s">
        <v>979</v>
      </c>
      <c r="I695" s="585"/>
      <c r="J695" s="585"/>
      <c r="K695" s="585"/>
      <c r="L695" s="585"/>
      <c r="M695" s="585"/>
      <c r="N695" s="585"/>
      <c r="O695" s="585"/>
      <c r="P695" s="585"/>
      <c r="Q695" s="585"/>
      <c r="R695" s="585"/>
      <c r="S695" s="585"/>
      <c r="T695" s="585"/>
      <c r="U695" s="585"/>
      <c r="V695" s="585"/>
      <c r="W695" s="585"/>
      <c r="X695" s="585"/>
      <c r="Y695" s="585"/>
      <c r="Z695" s="585"/>
      <c r="AA695" s="585"/>
      <c r="AB695" s="585"/>
      <c r="AC695" s="585"/>
      <c r="AD695" s="585"/>
      <c r="AE695" s="585"/>
      <c r="AF695" s="585"/>
      <c r="AG695" s="585"/>
      <c r="AH695" s="585"/>
      <c r="AI695" s="585"/>
      <c r="AJ695" s="585"/>
      <c r="AK695" s="585"/>
      <c r="AL695" s="585"/>
      <c r="AM695" s="585"/>
      <c r="AN695" s="585"/>
      <c r="AO695" s="585"/>
      <c r="AP695" s="585"/>
      <c r="AQ695" s="585"/>
      <c r="AR695" s="585"/>
      <c r="AS695" s="585"/>
      <c r="AT695" s="586"/>
      <c r="AU695" s="475" t="s">
        <v>690</v>
      </c>
      <c r="AV695" s="476"/>
      <c r="AW695" s="476"/>
      <c r="AX695" s="476"/>
      <c r="AY695" s="476"/>
      <c r="AZ695" s="476"/>
      <c r="BA695" s="476"/>
      <c r="BB695" s="477"/>
      <c r="BC695" s="544"/>
      <c r="BD695" s="545"/>
      <c r="BE695" s="545"/>
      <c r="BF695" s="545"/>
      <c r="BG695" s="545"/>
      <c r="BH695" s="545"/>
      <c r="BI695" s="545"/>
      <c r="BJ695" s="545"/>
      <c r="BK695" s="545"/>
      <c r="BL695" s="545"/>
      <c r="BM695" s="545"/>
      <c r="BN695" s="545"/>
      <c r="BO695" s="545"/>
      <c r="BP695" s="545"/>
      <c r="BQ695" s="545"/>
      <c r="BR695" s="546"/>
      <c r="BS695" s="639" t="e">
        <f t="shared" si="10"/>
        <v>#DIV/0!</v>
      </c>
      <c r="BT695" s="640"/>
      <c r="BU695" s="640"/>
      <c r="BV695" s="640"/>
      <c r="BW695" s="640"/>
      <c r="BX695" s="640"/>
      <c r="BY695" s="640"/>
      <c r="BZ695" s="640"/>
      <c r="CA695" s="640"/>
      <c r="CB695" s="640"/>
      <c r="CC695" s="640"/>
      <c r="CD695" s="640"/>
      <c r="CE695" s="640"/>
      <c r="CF695" s="640"/>
      <c r="CG695" s="640"/>
      <c r="CH695" s="641"/>
      <c r="CI695" s="627"/>
      <c r="CJ695" s="628"/>
      <c r="CK695" s="628"/>
      <c r="CL695" s="628"/>
      <c r="CM695" s="628"/>
      <c r="CN695" s="628"/>
      <c r="CO695" s="628"/>
      <c r="CP695" s="628"/>
      <c r="CQ695" s="628"/>
      <c r="CR695" s="628"/>
      <c r="CS695" s="628"/>
      <c r="CT695" s="628"/>
      <c r="CU695" s="628"/>
      <c r="CV695" s="628"/>
      <c r="CW695" s="628"/>
      <c r="CX695" s="628"/>
      <c r="CY695" s="628"/>
      <c r="CZ695" s="629"/>
      <c r="DA695" s="214"/>
    </row>
    <row r="696" spans="1:105" s="16" customFormat="1" ht="31.5" customHeight="1" x14ac:dyDescent="0.3">
      <c r="A696" s="630"/>
      <c r="B696" s="631"/>
      <c r="C696" s="631"/>
      <c r="D696" s="631"/>
      <c r="E696" s="631"/>
      <c r="F696" s="631"/>
      <c r="G696" s="632"/>
      <c r="H696" s="584" t="s">
        <v>713</v>
      </c>
      <c r="I696" s="585"/>
      <c r="J696" s="585"/>
      <c r="K696" s="585"/>
      <c r="L696" s="585"/>
      <c r="M696" s="585"/>
      <c r="N696" s="585"/>
      <c r="O696" s="585"/>
      <c r="P696" s="585"/>
      <c r="Q696" s="585"/>
      <c r="R696" s="585"/>
      <c r="S696" s="585"/>
      <c r="T696" s="585"/>
      <c r="U696" s="585"/>
      <c r="V696" s="585"/>
      <c r="W696" s="585"/>
      <c r="X696" s="585"/>
      <c r="Y696" s="585"/>
      <c r="Z696" s="585"/>
      <c r="AA696" s="585"/>
      <c r="AB696" s="585"/>
      <c r="AC696" s="585"/>
      <c r="AD696" s="585"/>
      <c r="AE696" s="585"/>
      <c r="AF696" s="585"/>
      <c r="AG696" s="585"/>
      <c r="AH696" s="585"/>
      <c r="AI696" s="585"/>
      <c r="AJ696" s="585"/>
      <c r="AK696" s="585"/>
      <c r="AL696" s="585"/>
      <c r="AM696" s="585"/>
      <c r="AN696" s="585"/>
      <c r="AO696" s="585"/>
      <c r="AP696" s="585"/>
      <c r="AQ696" s="585"/>
      <c r="AR696" s="585"/>
      <c r="AS696" s="585"/>
      <c r="AT696" s="586"/>
      <c r="AU696" s="475"/>
      <c r="AV696" s="476"/>
      <c r="AW696" s="476"/>
      <c r="AX696" s="476"/>
      <c r="AY696" s="476"/>
      <c r="AZ696" s="476"/>
      <c r="BA696" s="476"/>
      <c r="BB696" s="477"/>
      <c r="BC696" s="647">
        <f>SUM(BC697:BR709)</f>
        <v>1039</v>
      </c>
      <c r="BD696" s="637"/>
      <c r="BE696" s="637"/>
      <c r="BF696" s="637"/>
      <c r="BG696" s="637"/>
      <c r="BH696" s="637"/>
      <c r="BI696" s="637"/>
      <c r="BJ696" s="637"/>
      <c r="BK696" s="637"/>
      <c r="BL696" s="637"/>
      <c r="BM696" s="637"/>
      <c r="BN696" s="637"/>
      <c r="BO696" s="637"/>
      <c r="BP696" s="637"/>
      <c r="BQ696" s="637"/>
      <c r="BR696" s="638"/>
      <c r="BS696" s="644">
        <f>BS707</f>
        <v>0</v>
      </c>
      <c r="BT696" s="645"/>
      <c r="BU696" s="645"/>
      <c r="BV696" s="645"/>
      <c r="BW696" s="645"/>
      <c r="BX696" s="645"/>
      <c r="BY696" s="645"/>
      <c r="BZ696" s="645"/>
      <c r="CA696" s="645"/>
      <c r="CB696" s="645"/>
      <c r="CC696" s="645"/>
      <c r="CD696" s="645"/>
      <c r="CE696" s="645"/>
      <c r="CF696" s="645"/>
      <c r="CG696" s="645"/>
      <c r="CH696" s="646"/>
      <c r="CI696" s="636">
        <f>SUM(CI697:CZ709)</f>
        <v>10000</v>
      </c>
      <c r="CJ696" s="654"/>
      <c r="CK696" s="654"/>
      <c r="CL696" s="654"/>
      <c r="CM696" s="654"/>
      <c r="CN696" s="654"/>
      <c r="CO696" s="654"/>
      <c r="CP696" s="654"/>
      <c r="CQ696" s="654"/>
      <c r="CR696" s="654"/>
      <c r="CS696" s="654"/>
      <c r="CT696" s="654"/>
      <c r="CU696" s="654"/>
      <c r="CV696" s="654"/>
      <c r="CW696" s="654"/>
      <c r="CX696" s="654"/>
      <c r="CY696" s="654"/>
      <c r="CZ696" s="655"/>
      <c r="DA696" s="214"/>
    </row>
    <row r="697" spans="1:105" s="16" customFormat="1" ht="13.2" x14ac:dyDescent="0.3">
      <c r="A697" s="630" t="s">
        <v>441</v>
      </c>
      <c r="B697" s="631"/>
      <c r="C697" s="631"/>
      <c r="D697" s="631"/>
      <c r="E697" s="631"/>
      <c r="F697" s="631"/>
      <c r="G697" s="632"/>
      <c r="H697" s="584" t="s">
        <v>920</v>
      </c>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5"/>
      <c r="AL697" s="585"/>
      <c r="AM697" s="585"/>
      <c r="AN697" s="585"/>
      <c r="AO697" s="585"/>
      <c r="AP697" s="585"/>
      <c r="AQ697" s="585"/>
      <c r="AR697" s="585"/>
      <c r="AS697" s="585"/>
      <c r="AT697" s="586"/>
      <c r="AU697" s="475" t="s">
        <v>690</v>
      </c>
      <c r="AV697" s="476"/>
      <c r="AW697" s="476"/>
      <c r="AX697" s="476"/>
      <c r="AY697" s="476"/>
      <c r="AZ697" s="476"/>
      <c r="BA697" s="476"/>
      <c r="BB697" s="477"/>
      <c r="BC697" s="544">
        <v>96</v>
      </c>
      <c r="BD697" s="545"/>
      <c r="BE697" s="545"/>
      <c r="BF697" s="545"/>
      <c r="BG697" s="545"/>
      <c r="BH697" s="545"/>
      <c r="BI697" s="545"/>
      <c r="BJ697" s="545"/>
      <c r="BK697" s="545"/>
      <c r="BL697" s="545"/>
      <c r="BM697" s="545"/>
      <c r="BN697" s="545"/>
      <c r="BO697" s="545"/>
      <c r="BP697" s="545"/>
      <c r="BQ697" s="545"/>
      <c r="BR697" s="546"/>
      <c r="BS697" s="639">
        <f>CI697/BC697</f>
        <v>104.16666666666667</v>
      </c>
      <c r="BT697" s="640"/>
      <c r="BU697" s="640"/>
      <c r="BV697" s="640"/>
      <c r="BW697" s="640"/>
      <c r="BX697" s="640"/>
      <c r="BY697" s="640"/>
      <c r="BZ697" s="640"/>
      <c r="CA697" s="640"/>
      <c r="CB697" s="640"/>
      <c r="CC697" s="640"/>
      <c r="CD697" s="640"/>
      <c r="CE697" s="640"/>
      <c r="CF697" s="640"/>
      <c r="CG697" s="640"/>
      <c r="CH697" s="641"/>
      <c r="CI697" s="627">
        <v>10000</v>
      </c>
      <c r="CJ697" s="628"/>
      <c r="CK697" s="628"/>
      <c r="CL697" s="628"/>
      <c r="CM697" s="628"/>
      <c r="CN697" s="628"/>
      <c r="CO697" s="628"/>
      <c r="CP697" s="628"/>
      <c r="CQ697" s="628"/>
      <c r="CR697" s="628"/>
      <c r="CS697" s="628"/>
      <c r="CT697" s="628"/>
      <c r="CU697" s="628"/>
      <c r="CV697" s="628"/>
      <c r="CW697" s="628"/>
      <c r="CX697" s="628"/>
      <c r="CY697" s="628"/>
      <c r="CZ697" s="629"/>
      <c r="DA697" s="214"/>
    </row>
    <row r="698" spans="1:105" s="16" customFormat="1" ht="13.2" hidden="1" x14ac:dyDescent="0.3">
      <c r="A698" s="630" t="s">
        <v>444</v>
      </c>
      <c r="B698" s="631"/>
      <c r="C698" s="631"/>
      <c r="D698" s="631"/>
      <c r="E698" s="631"/>
      <c r="F698" s="631"/>
      <c r="G698" s="632"/>
      <c r="H698" s="584" t="s">
        <v>921</v>
      </c>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5"/>
      <c r="AL698" s="585"/>
      <c r="AM698" s="585"/>
      <c r="AN698" s="585"/>
      <c r="AO698" s="585"/>
      <c r="AP698" s="585"/>
      <c r="AQ698" s="585"/>
      <c r="AR698" s="585"/>
      <c r="AS698" s="585"/>
      <c r="AT698" s="586"/>
      <c r="AU698" s="475" t="s">
        <v>690</v>
      </c>
      <c r="AV698" s="476"/>
      <c r="AW698" s="476"/>
      <c r="AX698" s="476"/>
      <c r="AY698" s="476"/>
      <c r="AZ698" s="476"/>
      <c r="BA698" s="476"/>
      <c r="BB698" s="477"/>
      <c r="BC698" s="544">
        <f>72+17</f>
        <v>89</v>
      </c>
      <c r="BD698" s="545"/>
      <c r="BE698" s="545"/>
      <c r="BF698" s="545"/>
      <c r="BG698" s="545"/>
      <c r="BH698" s="545"/>
      <c r="BI698" s="545"/>
      <c r="BJ698" s="545"/>
      <c r="BK698" s="545"/>
      <c r="BL698" s="545"/>
      <c r="BM698" s="545"/>
      <c r="BN698" s="545"/>
      <c r="BO698" s="545"/>
      <c r="BP698" s="545"/>
      <c r="BQ698" s="545"/>
      <c r="BR698" s="546"/>
      <c r="BS698" s="639">
        <f>CI698/BC698</f>
        <v>0</v>
      </c>
      <c r="BT698" s="640"/>
      <c r="BU698" s="640"/>
      <c r="BV698" s="640"/>
      <c r="BW698" s="640"/>
      <c r="BX698" s="640"/>
      <c r="BY698" s="640"/>
      <c r="BZ698" s="640"/>
      <c r="CA698" s="640"/>
      <c r="CB698" s="640"/>
      <c r="CC698" s="640"/>
      <c r="CD698" s="640"/>
      <c r="CE698" s="640"/>
      <c r="CF698" s="640"/>
      <c r="CG698" s="640"/>
      <c r="CH698" s="641"/>
      <c r="CI698" s="627"/>
      <c r="CJ698" s="628"/>
      <c r="CK698" s="628"/>
      <c r="CL698" s="628"/>
      <c r="CM698" s="628"/>
      <c r="CN698" s="628"/>
      <c r="CO698" s="628"/>
      <c r="CP698" s="628"/>
      <c r="CQ698" s="628"/>
      <c r="CR698" s="628"/>
      <c r="CS698" s="628"/>
      <c r="CT698" s="628"/>
      <c r="CU698" s="628"/>
      <c r="CV698" s="628"/>
      <c r="CW698" s="628"/>
      <c r="CX698" s="628"/>
      <c r="CY698" s="628"/>
      <c r="CZ698" s="629"/>
      <c r="DA698" s="214"/>
    </row>
    <row r="699" spans="1:105" s="16" customFormat="1" ht="13.2" hidden="1" x14ac:dyDescent="0.3">
      <c r="A699" s="630" t="s">
        <v>446</v>
      </c>
      <c r="B699" s="631"/>
      <c r="C699" s="631"/>
      <c r="D699" s="631"/>
      <c r="E699" s="631"/>
      <c r="F699" s="631"/>
      <c r="G699" s="632"/>
      <c r="H699" s="584" t="s">
        <v>986</v>
      </c>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5"/>
      <c r="AL699" s="585"/>
      <c r="AM699" s="585"/>
      <c r="AN699" s="585"/>
      <c r="AO699" s="585"/>
      <c r="AP699" s="585"/>
      <c r="AQ699" s="585"/>
      <c r="AR699" s="585"/>
      <c r="AS699" s="585"/>
      <c r="AT699" s="586"/>
      <c r="AU699" s="475" t="s">
        <v>690</v>
      </c>
      <c r="AV699" s="476"/>
      <c r="AW699" s="476"/>
      <c r="AX699" s="476"/>
      <c r="AY699" s="476"/>
      <c r="AZ699" s="476"/>
      <c r="BA699" s="476"/>
      <c r="BB699" s="477"/>
      <c r="BC699" s="544">
        <v>210</v>
      </c>
      <c r="BD699" s="545"/>
      <c r="BE699" s="545"/>
      <c r="BF699" s="545"/>
      <c r="BG699" s="545"/>
      <c r="BH699" s="545"/>
      <c r="BI699" s="545"/>
      <c r="BJ699" s="545"/>
      <c r="BK699" s="545"/>
      <c r="BL699" s="545"/>
      <c r="BM699" s="545"/>
      <c r="BN699" s="545"/>
      <c r="BO699" s="545"/>
      <c r="BP699" s="545"/>
      <c r="BQ699" s="545"/>
      <c r="BR699" s="546"/>
      <c r="BS699" s="639">
        <f t="shared" ref="BS699:BS706" si="11">CI699/BC699</f>
        <v>0</v>
      </c>
      <c r="BT699" s="640"/>
      <c r="BU699" s="640"/>
      <c r="BV699" s="640"/>
      <c r="BW699" s="640"/>
      <c r="BX699" s="640"/>
      <c r="BY699" s="640"/>
      <c r="BZ699" s="640"/>
      <c r="CA699" s="640"/>
      <c r="CB699" s="640"/>
      <c r="CC699" s="640"/>
      <c r="CD699" s="640"/>
      <c r="CE699" s="640"/>
      <c r="CF699" s="640"/>
      <c r="CG699" s="640"/>
      <c r="CH699" s="641"/>
      <c r="CI699" s="627"/>
      <c r="CJ699" s="628"/>
      <c r="CK699" s="628"/>
      <c r="CL699" s="628"/>
      <c r="CM699" s="628"/>
      <c r="CN699" s="628"/>
      <c r="CO699" s="628"/>
      <c r="CP699" s="628"/>
      <c r="CQ699" s="628"/>
      <c r="CR699" s="628"/>
      <c r="CS699" s="628"/>
      <c r="CT699" s="628"/>
      <c r="CU699" s="628"/>
      <c r="CV699" s="628"/>
      <c r="CW699" s="628"/>
      <c r="CX699" s="628"/>
      <c r="CY699" s="628"/>
      <c r="CZ699" s="629"/>
      <c r="DA699" s="214"/>
    </row>
    <row r="700" spans="1:105" s="16" customFormat="1" ht="13.2" hidden="1" x14ac:dyDescent="0.3">
      <c r="A700" s="630" t="s">
        <v>551</v>
      </c>
      <c r="B700" s="631"/>
      <c r="C700" s="631"/>
      <c r="D700" s="631"/>
      <c r="E700" s="631"/>
      <c r="F700" s="631"/>
      <c r="G700" s="632"/>
      <c r="H700" s="584" t="s">
        <v>994</v>
      </c>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5"/>
      <c r="AL700" s="585"/>
      <c r="AM700" s="585"/>
      <c r="AN700" s="585"/>
      <c r="AO700" s="585"/>
      <c r="AP700" s="585"/>
      <c r="AQ700" s="585"/>
      <c r="AR700" s="585"/>
      <c r="AS700" s="585"/>
      <c r="AT700" s="586"/>
      <c r="AU700" s="475" t="s">
        <v>690</v>
      </c>
      <c r="AV700" s="476"/>
      <c r="AW700" s="476"/>
      <c r="AX700" s="476"/>
      <c r="AY700" s="476"/>
      <c r="AZ700" s="476"/>
      <c r="BA700" s="476"/>
      <c r="BB700" s="477"/>
      <c r="BC700" s="544">
        <v>2</v>
      </c>
      <c r="BD700" s="545"/>
      <c r="BE700" s="545"/>
      <c r="BF700" s="545"/>
      <c r="BG700" s="545"/>
      <c r="BH700" s="545"/>
      <c r="BI700" s="545"/>
      <c r="BJ700" s="545"/>
      <c r="BK700" s="545"/>
      <c r="BL700" s="545"/>
      <c r="BM700" s="545"/>
      <c r="BN700" s="545"/>
      <c r="BO700" s="545"/>
      <c r="BP700" s="545"/>
      <c r="BQ700" s="545"/>
      <c r="BR700" s="546"/>
      <c r="BS700" s="639">
        <f t="shared" si="11"/>
        <v>0</v>
      </c>
      <c r="BT700" s="640"/>
      <c r="BU700" s="640"/>
      <c r="BV700" s="640"/>
      <c r="BW700" s="640"/>
      <c r="BX700" s="640"/>
      <c r="BY700" s="640"/>
      <c r="BZ700" s="640"/>
      <c r="CA700" s="640"/>
      <c r="CB700" s="640"/>
      <c r="CC700" s="640"/>
      <c r="CD700" s="640"/>
      <c r="CE700" s="640"/>
      <c r="CF700" s="640"/>
      <c r="CG700" s="640"/>
      <c r="CH700" s="641"/>
      <c r="CI700" s="627"/>
      <c r="CJ700" s="628"/>
      <c r="CK700" s="628"/>
      <c r="CL700" s="628"/>
      <c r="CM700" s="628"/>
      <c r="CN700" s="628"/>
      <c r="CO700" s="628"/>
      <c r="CP700" s="628"/>
      <c r="CQ700" s="628"/>
      <c r="CR700" s="628"/>
      <c r="CS700" s="628"/>
      <c r="CT700" s="628"/>
      <c r="CU700" s="628"/>
      <c r="CV700" s="628"/>
      <c r="CW700" s="628"/>
      <c r="CX700" s="628"/>
      <c r="CY700" s="628"/>
      <c r="CZ700" s="629"/>
      <c r="DA700" s="214"/>
    </row>
    <row r="701" spans="1:105" s="16" customFormat="1" ht="13.2" hidden="1" x14ac:dyDescent="0.3">
      <c r="A701" s="630" t="s">
        <v>599</v>
      </c>
      <c r="B701" s="631"/>
      <c r="C701" s="631"/>
      <c r="D701" s="631"/>
      <c r="E701" s="631"/>
      <c r="F701" s="631"/>
      <c r="G701" s="632"/>
      <c r="H701" s="584" t="s">
        <v>922</v>
      </c>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5"/>
      <c r="AL701" s="585"/>
      <c r="AM701" s="585"/>
      <c r="AN701" s="585"/>
      <c r="AO701" s="585"/>
      <c r="AP701" s="585"/>
      <c r="AQ701" s="585"/>
      <c r="AR701" s="585"/>
      <c r="AS701" s="585"/>
      <c r="AT701" s="586"/>
      <c r="AU701" s="475" t="s">
        <v>690</v>
      </c>
      <c r="AV701" s="476"/>
      <c r="AW701" s="476"/>
      <c r="AX701" s="476"/>
      <c r="AY701" s="476"/>
      <c r="AZ701" s="476"/>
      <c r="BA701" s="476"/>
      <c r="BB701" s="477"/>
      <c r="BC701" s="544">
        <v>255</v>
      </c>
      <c r="BD701" s="545"/>
      <c r="BE701" s="545"/>
      <c r="BF701" s="545"/>
      <c r="BG701" s="545"/>
      <c r="BH701" s="545"/>
      <c r="BI701" s="545"/>
      <c r="BJ701" s="545"/>
      <c r="BK701" s="545"/>
      <c r="BL701" s="545"/>
      <c r="BM701" s="545"/>
      <c r="BN701" s="545"/>
      <c r="BO701" s="545"/>
      <c r="BP701" s="545"/>
      <c r="BQ701" s="545"/>
      <c r="BR701" s="546"/>
      <c r="BS701" s="639">
        <f t="shared" si="11"/>
        <v>0</v>
      </c>
      <c r="BT701" s="640"/>
      <c r="BU701" s="640"/>
      <c r="BV701" s="640"/>
      <c r="BW701" s="640"/>
      <c r="BX701" s="640"/>
      <c r="BY701" s="640"/>
      <c r="BZ701" s="640"/>
      <c r="CA701" s="640"/>
      <c r="CB701" s="640"/>
      <c r="CC701" s="640"/>
      <c r="CD701" s="640"/>
      <c r="CE701" s="640"/>
      <c r="CF701" s="640"/>
      <c r="CG701" s="640"/>
      <c r="CH701" s="641"/>
      <c r="CI701" s="627"/>
      <c r="CJ701" s="628"/>
      <c r="CK701" s="628"/>
      <c r="CL701" s="628"/>
      <c r="CM701" s="628"/>
      <c r="CN701" s="628"/>
      <c r="CO701" s="628"/>
      <c r="CP701" s="628"/>
      <c r="CQ701" s="628"/>
      <c r="CR701" s="628"/>
      <c r="CS701" s="628"/>
      <c r="CT701" s="628"/>
      <c r="CU701" s="628"/>
      <c r="CV701" s="628"/>
      <c r="CW701" s="628"/>
      <c r="CX701" s="628"/>
      <c r="CY701" s="628"/>
      <c r="CZ701" s="629"/>
      <c r="DA701" s="214"/>
    </row>
    <row r="702" spans="1:105" s="16" customFormat="1" ht="13.2" hidden="1" customHeight="1" x14ac:dyDescent="0.3">
      <c r="A702" s="630" t="s">
        <v>642</v>
      </c>
      <c r="B702" s="631"/>
      <c r="C702" s="631"/>
      <c r="D702" s="631"/>
      <c r="E702" s="631"/>
      <c r="F702" s="631"/>
      <c r="G702" s="632"/>
      <c r="H702" s="584" t="s">
        <v>714</v>
      </c>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5"/>
      <c r="AL702" s="585"/>
      <c r="AM702" s="585"/>
      <c r="AN702" s="585"/>
      <c r="AO702" s="585"/>
      <c r="AP702" s="585"/>
      <c r="AQ702" s="585"/>
      <c r="AR702" s="585"/>
      <c r="AS702" s="585"/>
      <c r="AT702" s="586"/>
      <c r="AU702" s="475" t="s">
        <v>715</v>
      </c>
      <c r="AV702" s="476"/>
      <c r="AW702" s="476"/>
      <c r="AX702" s="476"/>
      <c r="AY702" s="476"/>
      <c r="AZ702" s="476"/>
      <c r="BA702" s="476"/>
      <c r="BB702" s="477"/>
      <c r="BC702" s="544"/>
      <c r="BD702" s="545"/>
      <c r="BE702" s="545"/>
      <c r="BF702" s="545"/>
      <c r="BG702" s="545"/>
      <c r="BH702" s="545"/>
      <c r="BI702" s="545"/>
      <c r="BJ702" s="545"/>
      <c r="BK702" s="545"/>
      <c r="BL702" s="545"/>
      <c r="BM702" s="545"/>
      <c r="BN702" s="545"/>
      <c r="BO702" s="545"/>
      <c r="BP702" s="545"/>
      <c r="BQ702" s="545"/>
      <c r="BR702" s="546"/>
      <c r="BS702" s="639"/>
      <c r="BT702" s="640"/>
      <c r="BU702" s="640"/>
      <c r="BV702" s="640"/>
      <c r="BW702" s="640"/>
      <c r="BX702" s="640"/>
      <c r="BY702" s="640"/>
      <c r="BZ702" s="640"/>
      <c r="CA702" s="640"/>
      <c r="CB702" s="640"/>
      <c r="CC702" s="640"/>
      <c r="CD702" s="640"/>
      <c r="CE702" s="640"/>
      <c r="CF702" s="640"/>
      <c r="CG702" s="640"/>
      <c r="CH702" s="641"/>
      <c r="CI702" s="627"/>
      <c r="CJ702" s="628"/>
      <c r="CK702" s="628"/>
      <c r="CL702" s="628"/>
      <c r="CM702" s="628"/>
      <c r="CN702" s="628"/>
      <c r="CO702" s="628"/>
      <c r="CP702" s="628"/>
      <c r="CQ702" s="628"/>
      <c r="CR702" s="628"/>
      <c r="CS702" s="628"/>
      <c r="CT702" s="628"/>
      <c r="CU702" s="628"/>
      <c r="CV702" s="628"/>
      <c r="CW702" s="628"/>
      <c r="CX702" s="628"/>
      <c r="CY702" s="628"/>
      <c r="CZ702" s="629"/>
      <c r="DA702" s="214"/>
    </row>
    <row r="703" spans="1:105" s="16" customFormat="1" ht="13.2" hidden="1" x14ac:dyDescent="0.3">
      <c r="A703" s="630" t="s">
        <v>648</v>
      </c>
      <c r="B703" s="631"/>
      <c r="C703" s="631"/>
      <c r="D703" s="631"/>
      <c r="E703" s="631"/>
      <c r="F703" s="631"/>
      <c r="G703" s="632"/>
      <c r="H703" s="584" t="s">
        <v>923</v>
      </c>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5"/>
      <c r="AL703" s="585"/>
      <c r="AM703" s="585"/>
      <c r="AN703" s="585"/>
      <c r="AO703" s="585"/>
      <c r="AP703" s="585"/>
      <c r="AQ703" s="585"/>
      <c r="AR703" s="585"/>
      <c r="AS703" s="585"/>
      <c r="AT703" s="586"/>
      <c r="AU703" s="475" t="s">
        <v>690</v>
      </c>
      <c r="AV703" s="476"/>
      <c r="AW703" s="476"/>
      <c r="AX703" s="476"/>
      <c r="AY703" s="476"/>
      <c r="AZ703" s="476"/>
      <c r="BA703" s="476"/>
      <c r="BB703" s="477"/>
      <c r="BC703" s="544">
        <v>49</v>
      </c>
      <c r="BD703" s="545"/>
      <c r="BE703" s="545"/>
      <c r="BF703" s="545"/>
      <c r="BG703" s="545"/>
      <c r="BH703" s="545"/>
      <c r="BI703" s="545"/>
      <c r="BJ703" s="545"/>
      <c r="BK703" s="545"/>
      <c r="BL703" s="545"/>
      <c r="BM703" s="545"/>
      <c r="BN703" s="545"/>
      <c r="BO703" s="545"/>
      <c r="BP703" s="545"/>
      <c r="BQ703" s="545"/>
      <c r="BR703" s="546"/>
      <c r="BS703" s="639">
        <f t="shared" si="11"/>
        <v>0</v>
      </c>
      <c r="BT703" s="640"/>
      <c r="BU703" s="640"/>
      <c r="BV703" s="640"/>
      <c r="BW703" s="640"/>
      <c r="BX703" s="640"/>
      <c r="BY703" s="640"/>
      <c r="BZ703" s="640"/>
      <c r="CA703" s="640"/>
      <c r="CB703" s="640"/>
      <c r="CC703" s="640"/>
      <c r="CD703" s="640"/>
      <c r="CE703" s="640"/>
      <c r="CF703" s="640"/>
      <c r="CG703" s="640"/>
      <c r="CH703" s="641"/>
      <c r="CI703" s="627"/>
      <c r="CJ703" s="628"/>
      <c r="CK703" s="628"/>
      <c r="CL703" s="628"/>
      <c r="CM703" s="628"/>
      <c r="CN703" s="628"/>
      <c r="CO703" s="628"/>
      <c r="CP703" s="628"/>
      <c r="CQ703" s="628"/>
      <c r="CR703" s="628"/>
      <c r="CS703" s="628"/>
      <c r="CT703" s="628"/>
      <c r="CU703" s="628"/>
      <c r="CV703" s="628"/>
      <c r="CW703" s="628"/>
      <c r="CX703" s="628"/>
      <c r="CY703" s="628"/>
      <c r="CZ703" s="629"/>
      <c r="DA703" s="214"/>
    </row>
    <row r="704" spans="1:105" s="16" customFormat="1" ht="13.2" hidden="1" customHeight="1" x14ac:dyDescent="0.3">
      <c r="A704" s="630" t="s">
        <v>650</v>
      </c>
      <c r="B704" s="631"/>
      <c r="C704" s="631"/>
      <c r="D704" s="631"/>
      <c r="E704" s="631"/>
      <c r="F704" s="631"/>
      <c r="G704" s="632"/>
      <c r="H704" s="584" t="s">
        <v>924</v>
      </c>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5"/>
      <c r="AL704" s="585"/>
      <c r="AM704" s="585"/>
      <c r="AN704" s="585"/>
      <c r="AO704" s="585"/>
      <c r="AP704" s="585"/>
      <c r="AQ704" s="585"/>
      <c r="AR704" s="585"/>
      <c r="AS704" s="585"/>
      <c r="AT704" s="586"/>
      <c r="AU704" s="475" t="s">
        <v>690</v>
      </c>
      <c r="AV704" s="476"/>
      <c r="AW704" s="476"/>
      <c r="AX704" s="476"/>
      <c r="AY704" s="476"/>
      <c r="AZ704" s="476"/>
      <c r="BA704" s="476"/>
      <c r="BB704" s="477"/>
      <c r="BC704" s="544"/>
      <c r="BD704" s="545"/>
      <c r="BE704" s="545"/>
      <c r="BF704" s="545"/>
      <c r="BG704" s="545"/>
      <c r="BH704" s="545"/>
      <c r="BI704" s="545"/>
      <c r="BJ704" s="545"/>
      <c r="BK704" s="545"/>
      <c r="BL704" s="545"/>
      <c r="BM704" s="545"/>
      <c r="BN704" s="545"/>
      <c r="BO704" s="545"/>
      <c r="BP704" s="545"/>
      <c r="BQ704" s="545"/>
      <c r="BR704" s="546"/>
      <c r="BS704" s="639"/>
      <c r="BT704" s="640"/>
      <c r="BU704" s="640"/>
      <c r="BV704" s="640"/>
      <c r="BW704" s="640"/>
      <c r="BX704" s="640"/>
      <c r="BY704" s="640"/>
      <c r="BZ704" s="640"/>
      <c r="CA704" s="640"/>
      <c r="CB704" s="640"/>
      <c r="CC704" s="640"/>
      <c r="CD704" s="640"/>
      <c r="CE704" s="640"/>
      <c r="CF704" s="640"/>
      <c r="CG704" s="640"/>
      <c r="CH704" s="641"/>
      <c r="CI704" s="627"/>
      <c r="CJ704" s="628"/>
      <c r="CK704" s="628"/>
      <c r="CL704" s="628"/>
      <c r="CM704" s="628"/>
      <c r="CN704" s="628"/>
      <c r="CO704" s="628"/>
      <c r="CP704" s="628"/>
      <c r="CQ704" s="628"/>
      <c r="CR704" s="628"/>
      <c r="CS704" s="628"/>
      <c r="CT704" s="628"/>
      <c r="CU704" s="628"/>
      <c r="CV704" s="628"/>
      <c r="CW704" s="628"/>
      <c r="CX704" s="628"/>
      <c r="CY704" s="628"/>
      <c r="CZ704" s="629"/>
      <c r="DA704" s="214"/>
    </row>
    <row r="705" spans="1:105" s="16" customFormat="1" ht="13.2" hidden="1" x14ac:dyDescent="0.3">
      <c r="A705" s="630" t="s">
        <v>651</v>
      </c>
      <c r="B705" s="631"/>
      <c r="C705" s="631"/>
      <c r="D705" s="631"/>
      <c r="E705" s="631"/>
      <c r="F705" s="631"/>
      <c r="G705" s="632"/>
      <c r="H705" s="584" t="s">
        <v>991</v>
      </c>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5"/>
      <c r="AL705" s="585"/>
      <c r="AM705" s="585"/>
      <c r="AN705" s="585"/>
      <c r="AO705" s="585"/>
      <c r="AP705" s="585"/>
      <c r="AQ705" s="585"/>
      <c r="AR705" s="585"/>
      <c r="AS705" s="585"/>
      <c r="AT705" s="586"/>
      <c r="AU705" s="475" t="s">
        <v>690</v>
      </c>
      <c r="AV705" s="476"/>
      <c r="AW705" s="476"/>
      <c r="AX705" s="476"/>
      <c r="AY705" s="476"/>
      <c r="AZ705" s="476"/>
      <c r="BA705" s="476"/>
      <c r="BB705" s="477"/>
      <c r="BC705" s="544">
        <v>45</v>
      </c>
      <c r="BD705" s="545"/>
      <c r="BE705" s="545"/>
      <c r="BF705" s="545"/>
      <c r="BG705" s="545"/>
      <c r="BH705" s="545"/>
      <c r="BI705" s="545"/>
      <c r="BJ705" s="545"/>
      <c r="BK705" s="545"/>
      <c r="BL705" s="545"/>
      <c r="BM705" s="545"/>
      <c r="BN705" s="545"/>
      <c r="BO705" s="545"/>
      <c r="BP705" s="545"/>
      <c r="BQ705" s="545"/>
      <c r="BR705" s="546"/>
      <c r="BS705" s="639">
        <f t="shared" si="11"/>
        <v>0</v>
      </c>
      <c r="BT705" s="640"/>
      <c r="BU705" s="640"/>
      <c r="BV705" s="640"/>
      <c r="BW705" s="640"/>
      <c r="BX705" s="640"/>
      <c r="BY705" s="640"/>
      <c r="BZ705" s="640"/>
      <c r="CA705" s="640"/>
      <c r="CB705" s="640"/>
      <c r="CC705" s="640"/>
      <c r="CD705" s="640"/>
      <c r="CE705" s="640"/>
      <c r="CF705" s="640"/>
      <c r="CG705" s="640"/>
      <c r="CH705" s="641"/>
      <c r="CI705" s="627"/>
      <c r="CJ705" s="628"/>
      <c r="CK705" s="628"/>
      <c r="CL705" s="628"/>
      <c r="CM705" s="628"/>
      <c r="CN705" s="628"/>
      <c r="CO705" s="628"/>
      <c r="CP705" s="628"/>
      <c r="CQ705" s="628"/>
      <c r="CR705" s="628"/>
      <c r="CS705" s="628"/>
      <c r="CT705" s="628"/>
      <c r="CU705" s="628"/>
      <c r="CV705" s="628"/>
      <c r="CW705" s="628"/>
      <c r="CX705" s="628"/>
      <c r="CY705" s="628"/>
      <c r="CZ705" s="629"/>
      <c r="DA705" s="214"/>
    </row>
    <row r="706" spans="1:105" s="16" customFormat="1" ht="13.2" hidden="1" x14ac:dyDescent="0.3">
      <c r="A706" s="630" t="s">
        <v>653</v>
      </c>
      <c r="B706" s="631"/>
      <c r="C706" s="631"/>
      <c r="D706" s="631"/>
      <c r="E706" s="631"/>
      <c r="F706" s="631"/>
      <c r="G706" s="632"/>
      <c r="H706" s="584" t="s">
        <v>925</v>
      </c>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5"/>
      <c r="AL706" s="585"/>
      <c r="AM706" s="585"/>
      <c r="AN706" s="585"/>
      <c r="AO706" s="585"/>
      <c r="AP706" s="585"/>
      <c r="AQ706" s="585"/>
      <c r="AR706" s="585"/>
      <c r="AS706" s="585"/>
      <c r="AT706" s="586"/>
      <c r="AU706" s="475" t="s">
        <v>690</v>
      </c>
      <c r="AV706" s="476"/>
      <c r="AW706" s="476"/>
      <c r="AX706" s="476"/>
      <c r="AY706" s="476"/>
      <c r="AZ706" s="476"/>
      <c r="BA706" s="476"/>
      <c r="BB706" s="477"/>
      <c r="BC706" s="544">
        <v>157</v>
      </c>
      <c r="BD706" s="545"/>
      <c r="BE706" s="545"/>
      <c r="BF706" s="545"/>
      <c r="BG706" s="545"/>
      <c r="BH706" s="545"/>
      <c r="BI706" s="545"/>
      <c r="BJ706" s="545"/>
      <c r="BK706" s="545"/>
      <c r="BL706" s="545"/>
      <c r="BM706" s="545"/>
      <c r="BN706" s="545"/>
      <c r="BO706" s="545"/>
      <c r="BP706" s="545"/>
      <c r="BQ706" s="545"/>
      <c r="BR706" s="546"/>
      <c r="BS706" s="639">
        <f t="shared" si="11"/>
        <v>0</v>
      </c>
      <c r="BT706" s="640"/>
      <c r="BU706" s="640"/>
      <c r="BV706" s="640"/>
      <c r="BW706" s="640"/>
      <c r="BX706" s="640"/>
      <c r="BY706" s="640"/>
      <c r="BZ706" s="640"/>
      <c r="CA706" s="640"/>
      <c r="CB706" s="640"/>
      <c r="CC706" s="640"/>
      <c r="CD706" s="640"/>
      <c r="CE706" s="640"/>
      <c r="CF706" s="640"/>
      <c r="CG706" s="640"/>
      <c r="CH706" s="641"/>
      <c r="CI706" s="627"/>
      <c r="CJ706" s="628"/>
      <c r="CK706" s="628"/>
      <c r="CL706" s="628"/>
      <c r="CM706" s="628"/>
      <c r="CN706" s="628"/>
      <c r="CO706" s="628"/>
      <c r="CP706" s="628"/>
      <c r="CQ706" s="628"/>
      <c r="CR706" s="628"/>
      <c r="CS706" s="628"/>
      <c r="CT706" s="628"/>
      <c r="CU706" s="628"/>
      <c r="CV706" s="628"/>
      <c r="CW706" s="628"/>
      <c r="CX706" s="628"/>
      <c r="CY706" s="628"/>
      <c r="CZ706" s="629"/>
      <c r="DA706" s="214"/>
    </row>
    <row r="707" spans="1:105" s="16" customFormat="1" ht="13.2" hidden="1" x14ac:dyDescent="0.3">
      <c r="A707" s="630" t="s">
        <v>654</v>
      </c>
      <c r="B707" s="631"/>
      <c r="C707" s="631"/>
      <c r="D707" s="631"/>
      <c r="E707" s="631"/>
      <c r="F707" s="631"/>
      <c r="G707" s="632"/>
      <c r="H707" s="584" t="s">
        <v>926</v>
      </c>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5"/>
      <c r="AL707" s="585"/>
      <c r="AM707" s="585"/>
      <c r="AN707" s="585"/>
      <c r="AO707" s="585"/>
      <c r="AP707" s="585"/>
      <c r="AQ707" s="585"/>
      <c r="AR707" s="585"/>
      <c r="AS707" s="585"/>
      <c r="AT707" s="586"/>
      <c r="AU707" s="475" t="s">
        <v>690</v>
      </c>
      <c r="AV707" s="476"/>
      <c r="AW707" s="476"/>
      <c r="AX707" s="476"/>
      <c r="AY707" s="476"/>
      <c r="AZ707" s="476"/>
      <c r="BA707" s="476"/>
      <c r="BB707" s="477"/>
      <c r="BC707" s="544">
        <v>25</v>
      </c>
      <c r="BD707" s="545"/>
      <c r="BE707" s="545"/>
      <c r="BF707" s="545"/>
      <c r="BG707" s="545"/>
      <c r="BH707" s="545"/>
      <c r="BI707" s="545"/>
      <c r="BJ707" s="545"/>
      <c r="BK707" s="545"/>
      <c r="BL707" s="545"/>
      <c r="BM707" s="545"/>
      <c r="BN707" s="545"/>
      <c r="BO707" s="545"/>
      <c r="BP707" s="545"/>
      <c r="BQ707" s="545"/>
      <c r="BR707" s="546"/>
      <c r="BS707" s="639">
        <f>CI707/BC707</f>
        <v>0</v>
      </c>
      <c r="BT707" s="640"/>
      <c r="BU707" s="640"/>
      <c r="BV707" s="640"/>
      <c r="BW707" s="640"/>
      <c r="BX707" s="640"/>
      <c r="BY707" s="640"/>
      <c r="BZ707" s="640"/>
      <c r="CA707" s="640"/>
      <c r="CB707" s="640"/>
      <c r="CC707" s="640"/>
      <c r="CD707" s="640"/>
      <c r="CE707" s="640"/>
      <c r="CF707" s="640"/>
      <c r="CG707" s="640"/>
      <c r="CH707" s="641"/>
      <c r="CI707" s="627"/>
      <c r="CJ707" s="628"/>
      <c r="CK707" s="628"/>
      <c r="CL707" s="628"/>
      <c r="CM707" s="628"/>
      <c r="CN707" s="628"/>
      <c r="CO707" s="628"/>
      <c r="CP707" s="628"/>
      <c r="CQ707" s="628"/>
      <c r="CR707" s="628"/>
      <c r="CS707" s="628"/>
      <c r="CT707" s="628"/>
      <c r="CU707" s="628"/>
      <c r="CV707" s="628"/>
      <c r="CW707" s="628"/>
      <c r="CX707" s="628"/>
      <c r="CY707" s="628"/>
      <c r="CZ707" s="629"/>
      <c r="DA707" s="214"/>
    </row>
    <row r="708" spans="1:105" s="16" customFormat="1" ht="13.2" hidden="1" x14ac:dyDescent="0.3">
      <c r="A708" s="630" t="s">
        <v>655</v>
      </c>
      <c r="B708" s="631"/>
      <c r="C708" s="631"/>
      <c r="D708" s="631"/>
      <c r="E708" s="631"/>
      <c r="F708" s="631"/>
      <c r="G708" s="632"/>
      <c r="H708" s="584" t="s">
        <v>992</v>
      </c>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5"/>
      <c r="AL708" s="585"/>
      <c r="AM708" s="585"/>
      <c r="AN708" s="585"/>
      <c r="AO708" s="585"/>
      <c r="AP708" s="585"/>
      <c r="AQ708" s="585"/>
      <c r="AR708" s="585"/>
      <c r="AS708" s="585"/>
      <c r="AT708" s="586"/>
      <c r="AU708" s="475" t="s">
        <v>690</v>
      </c>
      <c r="AV708" s="476"/>
      <c r="AW708" s="476"/>
      <c r="AX708" s="476"/>
      <c r="AY708" s="476"/>
      <c r="AZ708" s="476"/>
      <c r="BA708" s="476"/>
      <c r="BB708" s="477"/>
      <c r="BC708" s="544">
        <v>75</v>
      </c>
      <c r="BD708" s="545"/>
      <c r="BE708" s="545"/>
      <c r="BF708" s="545"/>
      <c r="BG708" s="545"/>
      <c r="BH708" s="545"/>
      <c r="BI708" s="545"/>
      <c r="BJ708" s="545"/>
      <c r="BK708" s="545"/>
      <c r="BL708" s="545"/>
      <c r="BM708" s="545"/>
      <c r="BN708" s="545"/>
      <c r="BO708" s="545"/>
      <c r="BP708" s="545"/>
      <c r="BQ708" s="545"/>
      <c r="BR708" s="546"/>
      <c r="BS708" s="639">
        <f>CI708/BC708</f>
        <v>0</v>
      </c>
      <c r="BT708" s="640"/>
      <c r="BU708" s="640"/>
      <c r="BV708" s="640"/>
      <c r="BW708" s="640"/>
      <c r="BX708" s="640"/>
      <c r="BY708" s="640"/>
      <c r="BZ708" s="640"/>
      <c r="CA708" s="640"/>
      <c r="CB708" s="640"/>
      <c r="CC708" s="640"/>
      <c r="CD708" s="640"/>
      <c r="CE708" s="640"/>
      <c r="CF708" s="640"/>
      <c r="CG708" s="640"/>
      <c r="CH708" s="641"/>
      <c r="CI708" s="627"/>
      <c r="CJ708" s="628"/>
      <c r="CK708" s="628"/>
      <c r="CL708" s="628"/>
      <c r="CM708" s="628"/>
      <c r="CN708" s="628"/>
      <c r="CO708" s="628"/>
      <c r="CP708" s="628"/>
      <c r="CQ708" s="628"/>
      <c r="CR708" s="628"/>
      <c r="CS708" s="628"/>
      <c r="CT708" s="628"/>
      <c r="CU708" s="628"/>
      <c r="CV708" s="628"/>
      <c r="CW708" s="628"/>
      <c r="CX708" s="628"/>
      <c r="CY708" s="628"/>
      <c r="CZ708" s="629"/>
      <c r="DA708" s="214"/>
    </row>
    <row r="709" spans="1:105" s="16" customFormat="1" ht="13.2" hidden="1" x14ac:dyDescent="0.3">
      <c r="A709" s="630" t="s">
        <v>655</v>
      </c>
      <c r="B709" s="631"/>
      <c r="C709" s="631"/>
      <c r="D709" s="631"/>
      <c r="E709" s="631"/>
      <c r="F709" s="631"/>
      <c r="G709" s="632"/>
      <c r="H709" s="584" t="s">
        <v>993</v>
      </c>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5"/>
      <c r="AL709" s="585"/>
      <c r="AM709" s="585"/>
      <c r="AN709" s="585"/>
      <c r="AO709" s="585"/>
      <c r="AP709" s="585"/>
      <c r="AQ709" s="585"/>
      <c r="AR709" s="585"/>
      <c r="AS709" s="585"/>
      <c r="AT709" s="586"/>
      <c r="AU709" s="475" t="s">
        <v>690</v>
      </c>
      <c r="AV709" s="476"/>
      <c r="AW709" s="476"/>
      <c r="AX709" s="476"/>
      <c r="AY709" s="476"/>
      <c r="AZ709" s="476"/>
      <c r="BA709" s="476"/>
      <c r="BB709" s="477"/>
      <c r="BC709" s="544">
        <v>36</v>
      </c>
      <c r="BD709" s="545"/>
      <c r="BE709" s="545"/>
      <c r="BF709" s="545"/>
      <c r="BG709" s="545"/>
      <c r="BH709" s="545"/>
      <c r="BI709" s="545"/>
      <c r="BJ709" s="545"/>
      <c r="BK709" s="545"/>
      <c r="BL709" s="545"/>
      <c r="BM709" s="545"/>
      <c r="BN709" s="545"/>
      <c r="BO709" s="545"/>
      <c r="BP709" s="545"/>
      <c r="BQ709" s="545"/>
      <c r="BR709" s="546"/>
      <c r="BS709" s="639">
        <f>CI709/BC709</f>
        <v>0</v>
      </c>
      <c r="BT709" s="640"/>
      <c r="BU709" s="640"/>
      <c r="BV709" s="640"/>
      <c r="BW709" s="640"/>
      <c r="BX709" s="640"/>
      <c r="BY709" s="640"/>
      <c r="BZ709" s="640"/>
      <c r="CA709" s="640"/>
      <c r="CB709" s="640"/>
      <c r="CC709" s="640"/>
      <c r="CD709" s="640"/>
      <c r="CE709" s="640"/>
      <c r="CF709" s="640"/>
      <c r="CG709" s="640"/>
      <c r="CH709" s="641"/>
      <c r="CI709" s="627"/>
      <c r="CJ709" s="628"/>
      <c r="CK709" s="628"/>
      <c r="CL709" s="628"/>
      <c r="CM709" s="628"/>
      <c r="CN709" s="628"/>
      <c r="CO709" s="628"/>
      <c r="CP709" s="628"/>
      <c r="CQ709" s="628"/>
      <c r="CR709" s="628"/>
      <c r="CS709" s="628"/>
      <c r="CT709" s="628"/>
      <c r="CU709" s="628"/>
      <c r="CV709" s="628"/>
      <c r="CW709" s="628"/>
      <c r="CX709" s="628"/>
      <c r="CY709" s="628"/>
      <c r="CZ709" s="629"/>
      <c r="DA709" s="214"/>
    </row>
    <row r="710" spans="1:105" s="16" customFormat="1" ht="15" hidden="1" customHeight="1" x14ac:dyDescent="0.3">
      <c r="A710" s="630"/>
      <c r="B710" s="631"/>
      <c r="C710" s="631"/>
      <c r="D710" s="631"/>
      <c r="E710" s="631"/>
      <c r="F710" s="631"/>
      <c r="G710" s="632"/>
      <c r="H710" s="584"/>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5"/>
      <c r="AL710" s="585"/>
      <c r="AM710" s="585"/>
      <c r="AN710" s="585"/>
      <c r="AO710" s="585"/>
      <c r="AP710" s="585"/>
      <c r="AQ710" s="585"/>
      <c r="AR710" s="585"/>
      <c r="AS710" s="585"/>
      <c r="AT710" s="586"/>
      <c r="AU710" s="475"/>
      <c r="AV710" s="476"/>
      <c r="AW710" s="476"/>
      <c r="AX710" s="476"/>
      <c r="AY710" s="476"/>
      <c r="AZ710" s="476"/>
      <c r="BA710" s="476"/>
      <c r="BB710" s="477"/>
      <c r="BC710" s="544"/>
      <c r="BD710" s="545"/>
      <c r="BE710" s="545"/>
      <c r="BF710" s="545"/>
      <c r="BG710" s="545"/>
      <c r="BH710" s="545"/>
      <c r="BI710" s="545"/>
      <c r="BJ710" s="545"/>
      <c r="BK710" s="545"/>
      <c r="BL710" s="545"/>
      <c r="BM710" s="545"/>
      <c r="BN710" s="545"/>
      <c r="BO710" s="545"/>
      <c r="BP710" s="545"/>
      <c r="BQ710" s="545"/>
      <c r="BR710" s="546"/>
      <c r="BS710" s="639"/>
      <c r="BT710" s="640"/>
      <c r="BU710" s="640"/>
      <c r="BV710" s="640"/>
      <c r="BW710" s="640"/>
      <c r="BX710" s="640"/>
      <c r="BY710" s="640"/>
      <c r="BZ710" s="640"/>
      <c r="CA710" s="640"/>
      <c r="CB710" s="640"/>
      <c r="CC710" s="640"/>
      <c r="CD710" s="640"/>
      <c r="CE710" s="640"/>
      <c r="CF710" s="640"/>
      <c r="CG710" s="640"/>
      <c r="CH710" s="641"/>
      <c r="CI710" s="627"/>
      <c r="CJ710" s="628"/>
      <c r="CK710" s="628"/>
      <c r="CL710" s="628"/>
      <c r="CM710" s="628"/>
      <c r="CN710" s="628"/>
      <c r="CO710" s="628"/>
      <c r="CP710" s="628"/>
      <c r="CQ710" s="628"/>
      <c r="CR710" s="628"/>
      <c r="CS710" s="628"/>
      <c r="CT710" s="628"/>
      <c r="CU710" s="628"/>
      <c r="CV710" s="628"/>
      <c r="CW710" s="628"/>
      <c r="CX710" s="628"/>
      <c r="CY710" s="628"/>
      <c r="CZ710" s="629"/>
      <c r="DA710" s="214"/>
    </row>
    <row r="711" spans="1:105" s="16" customFormat="1" ht="25.95" hidden="1" customHeight="1" x14ac:dyDescent="0.3">
      <c r="A711" s="630"/>
      <c r="B711" s="631"/>
      <c r="C711" s="631"/>
      <c r="D711" s="631"/>
      <c r="E711" s="631"/>
      <c r="F711" s="631"/>
      <c r="G711" s="632"/>
      <c r="H711" s="584" t="s">
        <v>717</v>
      </c>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5"/>
      <c r="AL711" s="585"/>
      <c r="AM711" s="585"/>
      <c r="AN711" s="585"/>
      <c r="AO711" s="585"/>
      <c r="AP711" s="585"/>
      <c r="AQ711" s="585"/>
      <c r="AR711" s="585"/>
      <c r="AS711" s="585"/>
      <c r="AT711" s="586"/>
      <c r="AU711" s="475" t="s">
        <v>690</v>
      </c>
      <c r="AV711" s="476"/>
      <c r="AW711" s="476"/>
      <c r="AX711" s="476"/>
      <c r="AY711" s="476"/>
      <c r="AZ711" s="476"/>
      <c r="BA711" s="476"/>
      <c r="BB711" s="477"/>
      <c r="BC711" s="647">
        <v>46</v>
      </c>
      <c r="BD711" s="637"/>
      <c r="BE711" s="637"/>
      <c r="BF711" s="637"/>
      <c r="BG711" s="637"/>
      <c r="BH711" s="637"/>
      <c r="BI711" s="637"/>
      <c r="BJ711" s="637"/>
      <c r="BK711" s="637"/>
      <c r="BL711" s="637"/>
      <c r="BM711" s="637"/>
      <c r="BN711" s="637"/>
      <c r="BO711" s="637"/>
      <c r="BP711" s="637"/>
      <c r="BQ711" s="637"/>
      <c r="BR711" s="638"/>
      <c r="BS711" s="644">
        <f t="shared" ref="BS711:BS714" si="12">CI711/BC711</f>
        <v>0</v>
      </c>
      <c r="BT711" s="645"/>
      <c r="BU711" s="645"/>
      <c r="BV711" s="645"/>
      <c r="BW711" s="645"/>
      <c r="BX711" s="645"/>
      <c r="BY711" s="645"/>
      <c r="BZ711" s="645"/>
      <c r="CA711" s="645"/>
      <c r="CB711" s="645"/>
      <c r="CC711" s="645"/>
      <c r="CD711" s="645"/>
      <c r="CE711" s="645"/>
      <c r="CF711" s="645"/>
      <c r="CG711" s="645"/>
      <c r="CH711" s="646"/>
      <c r="CI711" s="636">
        <f>CI712+CI713</f>
        <v>0</v>
      </c>
      <c r="CJ711" s="654"/>
      <c r="CK711" s="654"/>
      <c r="CL711" s="654"/>
      <c r="CM711" s="654"/>
      <c r="CN711" s="654"/>
      <c r="CO711" s="654"/>
      <c r="CP711" s="654"/>
      <c r="CQ711" s="654"/>
      <c r="CR711" s="654"/>
      <c r="CS711" s="654"/>
      <c r="CT711" s="654"/>
      <c r="CU711" s="654"/>
      <c r="CV711" s="654"/>
      <c r="CW711" s="654"/>
      <c r="CX711" s="654"/>
      <c r="CY711" s="654"/>
      <c r="CZ711" s="655"/>
      <c r="DA711" s="214"/>
    </row>
    <row r="712" spans="1:105" s="16" customFormat="1" ht="21.75" hidden="1" customHeight="1" x14ac:dyDescent="0.3">
      <c r="A712" s="630" t="s">
        <v>441</v>
      </c>
      <c r="B712" s="631"/>
      <c r="C712" s="631"/>
      <c r="D712" s="631"/>
      <c r="E712" s="631"/>
      <c r="F712" s="631"/>
      <c r="G712" s="632"/>
      <c r="H712" s="584" t="s">
        <v>718</v>
      </c>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5"/>
      <c r="AL712" s="585"/>
      <c r="AM712" s="585"/>
      <c r="AN712" s="585"/>
      <c r="AO712" s="585"/>
      <c r="AP712" s="585"/>
      <c r="AQ712" s="585"/>
      <c r="AR712" s="585"/>
      <c r="AS712" s="585"/>
      <c r="AT712" s="586"/>
      <c r="AU712" s="475" t="s">
        <v>690</v>
      </c>
      <c r="AV712" s="476"/>
      <c r="AW712" s="476"/>
      <c r="AX712" s="476"/>
      <c r="AY712" s="476"/>
      <c r="AZ712" s="476"/>
      <c r="BA712" s="476"/>
      <c r="BB712" s="477"/>
      <c r="BC712" s="544"/>
      <c r="BD712" s="545"/>
      <c r="BE712" s="545"/>
      <c r="BF712" s="545"/>
      <c r="BG712" s="545"/>
      <c r="BH712" s="545"/>
      <c r="BI712" s="545"/>
      <c r="BJ712" s="545"/>
      <c r="BK712" s="545"/>
      <c r="BL712" s="545"/>
      <c r="BM712" s="545"/>
      <c r="BN712" s="545"/>
      <c r="BO712" s="545"/>
      <c r="BP712" s="545"/>
      <c r="BQ712" s="545"/>
      <c r="BR712" s="546"/>
      <c r="BS712" s="639"/>
      <c r="BT712" s="640"/>
      <c r="BU712" s="640"/>
      <c r="BV712" s="640"/>
      <c r="BW712" s="640"/>
      <c r="BX712" s="640"/>
      <c r="BY712" s="640"/>
      <c r="BZ712" s="640"/>
      <c r="CA712" s="640"/>
      <c r="CB712" s="640"/>
      <c r="CC712" s="640"/>
      <c r="CD712" s="640"/>
      <c r="CE712" s="640"/>
      <c r="CF712" s="640"/>
      <c r="CG712" s="640"/>
      <c r="CH712" s="641"/>
      <c r="CI712" s="627"/>
      <c r="CJ712" s="628"/>
      <c r="CK712" s="628"/>
      <c r="CL712" s="628"/>
      <c r="CM712" s="628"/>
      <c r="CN712" s="628"/>
      <c r="CO712" s="628"/>
      <c r="CP712" s="628"/>
      <c r="CQ712" s="628"/>
      <c r="CR712" s="628"/>
      <c r="CS712" s="628"/>
      <c r="CT712" s="628"/>
      <c r="CU712" s="628"/>
      <c r="CV712" s="628"/>
      <c r="CW712" s="628"/>
      <c r="CX712" s="628"/>
      <c r="CY712" s="628"/>
      <c r="CZ712" s="629"/>
      <c r="DA712" s="214"/>
    </row>
    <row r="713" spans="1:105" s="16" customFormat="1" ht="15" hidden="1" customHeight="1" x14ac:dyDescent="0.3">
      <c r="A713" s="630" t="s">
        <v>444</v>
      </c>
      <c r="B713" s="631"/>
      <c r="C713" s="631"/>
      <c r="D713" s="631"/>
      <c r="E713" s="631"/>
      <c r="F713" s="631"/>
      <c r="G713" s="632"/>
      <c r="H713" s="584" t="s">
        <v>719</v>
      </c>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5"/>
      <c r="AL713" s="585"/>
      <c r="AM713" s="585"/>
      <c r="AN713" s="585"/>
      <c r="AO713" s="585"/>
      <c r="AP713" s="585"/>
      <c r="AQ713" s="585"/>
      <c r="AR713" s="585"/>
      <c r="AS713" s="585"/>
      <c r="AT713" s="586"/>
      <c r="AU713" s="475" t="s">
        <v>690</v>
      </c>
      <c r="AV713" s="476"/>
      <c r="AW713" s="476"/>
      <c r="AX713" s="476"/>
      <c r="AY713" s="476"/>
      <c r="AZ713" s="476"/>
      <c r="BA713" s="476"/>
      <c r="BB713" s="477"/>
      <c r="BC713" s="544"/>
      <c r="BD713" s="545"/>
      <c r="BE713" s="545"/>
      <c r="BF713" s="545"/>
      <c r="BG713" s="545"/>
      <c r="BH713" s="545"/>
      <c r="BI713" s="545"/>
      <c r="BJ713" s="545"/>
      <c r="BK713" s="545"/>
      <c r="BL713" s="545"/>
      <c r="BM713" s="545"/>
      <c r="BN713" s="545"/>
      <c r="BO713" s="545"/>
      <c r="BP713" s="545"/>
      <c r="BQ713" s="545"/>
      <c r="BR713" s="546"/>
      <c r="BS713" s="639"/>
      <c r="BT713" s="640"/>
      <c r="BU713" s="640"/>
      <c r="BV713" s="640"/>
      <c r="BW713" s="640"/>
      <c r="BX713" s="640"/>
      <c r="BY713" s="640"/>
      <c r="BZ713" s="640"/>
      <c r="CA713" s="640"/>
      <c r="CB713" s="640"/>
      <c r="CC713" s="640"/>
      <c r="CD713" s="640"/>
      <c r="CE713" s="640"/>
      <c r="CF713" s="640"/>
      <c r="CG713" s="640"/>
      <c r="CH713" s="641"/>
      <c r="CI713" s="627"/>
      <c r="CJ713" s="628"/>
      <c r="CK713" s="628"/>
      <c r="CL713" s="628"/>
      <c r="CM713" s="628"/>
      <c r="CN713" s="628"/>
      <c r="CO713" s="628"/>
      <c r="CP713" s="628"/>
      <c r="CQ713" s="628"/>
      <c r="CR713" s="628"/>
      <c r="CS713" s="628"/>
      <c r="CT713" s="628"/>
      <c r="CU713" s="628"/>
      <c r="CV713" s="628"/>
      <c r="CW713" s="628"/>
      <c r="CX713" s="628"/>
      <c r="CY713" s="628"/>
      <c r="CZ713" s="629"/>
      <c r="DA713" s="214"/>
    </row>
    <row r="714" spans="1:105" s="16" customFormat="1" ht="15" hidden="1" customHeight="1" x14ac:dyDescent="0.3">
      <c r="A714" s="630"/>
      <c r="B714" s="631"/>
      <c r="C714" s="631"/>
      <c r="D714" s="631"/>
      <c r="E714" s="631"/>
      <c r="F714" s="631"/>
      <c r="G714" s="632"/>
      <c r="H714" s="651" t="s">
        <v>720</v>
      </c>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3"/>
      <c r="AU714" s="541" t="s">
        <v>690</v>
      </c>
      <c r="AV714" s="542"/>
      <c r="AW714" s="542"/>
      <c r="AX714" s="542"/>
      <c r="AY714" s="542"/>
      <c r="AZ714" s="542"/>
      <c r="BA714" s="542"/>
      <c r="BB714" s="543"/>
      <c r="BC714" s="647">
        <v>50</v>
      </c>
      <c r="BD714" s="637"/>
      <c r="BE714" s="637"/>
      <c r="BF714" s="637"/>
      <c r="BG714" s="637"/>
      <c r="BH714" s="637"/>
      <c r="BI714" s="637"/>
      <c r="BJ714" s="637"/>
      <c r="BK714" s="637"/>
      <c r="BL714" s="637"/>
      <c r="BM714" s="637"/>
      <c r="BN714" s="637"/>
      <c r="BO714" s="637"/>
      <c r="BP714" s="637"/>
      <c r="BQ714" s="637"/>
      <c r="BR714" s="638"/>
      <c r="BS714" s="644">
        <f t="shared" si="12"/>
        <v>0</v>
      </c>
      <c r="BT714" s="645"/>
      <c r="BU714" s="645"/>
      <c r="BV714" s="645"/>
      <c r="BW714" s="645"/>
      <c r="BX714" s="645"/>
      <c r="BY714" s="645"/>
      <c r="BZ714" s="645"/>
      <c r="CA714" s="645"/>
      <c r="CB714" s="645"/>
      <c r="CC714" s="645"/>
      <c r="CD714" s="645"/>
      <c r="CE714" s="645"/>
      <c r="CF714" s="645"/>
      <c r="CG714" s="645"/>
      <c r="CH714" s="646"/>
      <c r="CI714" s="636"/>
      <c r="CJ714" s="654"/>
      <c r="CK714" s="654"/>
      <c r="CL714" s="654"/>
      <c r="CM714" s="654"/>
      <c r="CN714" s="654"/>
      <c r="CO714" s="654"/>
      <c r="CP714" s="654"/>
      <c r="CQ714" s="654"/>
      <c r="CR714" s="654"/>
      <c r="CS714" s="654"/>
      <c r="CT714" s="654"/>
      <c r="CU714" s="654"/>
      <c r="CV714" s="654"/>
      <c r="CW714" s="654"/>
      <c r="CX714" s="654"/>
      <c r="CY714" s="654"/>
      <c r="CZ714" s="655"/>
      <c r="DA714" s="214"/>
    </row>
    <row r="715" spans="1:105" s="16" customFormat="1" ht="15" hidden="1" customHeight="1" x14ac:dyDescent="0.3">
      <c r="A715" s="630"/>
      <c r="B715" s="631"/>
      <c r="C715" s="631"/>
      <c r="D715" s="631"/>
      <c r="E715" s="631"/>
      <c r="F715" s="631"/>
      <c r="G715" s="632"/>
      <c r="H715" s="651"/>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3"/>
      <c r="AU715" s="475"/>
      <c r="AV715" s="476"/>
      <c r="AW715" s="476"/>
      <c r="AX715" s="476"/>
      <c r="AY715" s="476"/>
      <c r="AZ715" s="476"/>
      <c r="BA715" s="476"/>
      <c r="BB715" s="477"/>
      <c r="BC715" s="544"/>
      <c r="BD715" s="545"/>
      <c r="BE715" s="545"/>
      <c r="BF715" s="545"/>
      <c r="BG715" s="545"/>
      <c r="BH715" s="545"/>
      <c r="BI715" s="545"/>
      <c r="BJ715" s="545"/>
      <c r="BK715" s="545"/>
      <c r="BL715" s="545"/>
      <c r="BM715" s="545"/>
      <c r="BN715" s="545"/>
      <c r="BO715" s="545"/>
      <c r="BP715" s="545"/>
      <c r="BQ715" s="545"/>
      <c r="BR715" s="546"/>
      <c r="BS715" s="644"/>
      <c r="BT715" s="645"/>
      <c r="BU715" s="645"/>
      <c r="BV715" s="645"/>
      <c r="BW715" s="645"/>
      <c r="BX715" s="645"/>
      <c r="BY715" s="645"/>
      <c r="BZ715" s="645"/>
      <c r="CA715" s="645"/>
      <c r="CB715" s="645"/>
      <c r="CC715" s="645"/>
      <c r="CD715" s="645"/>
      <c r="CE715" s="645"/>
      <c r="CF715" s="645"/>
      <c r="CG715" s="645"/>
      <c r="CH715" s="646"/>
      <c r="CI715" s="627"/>
      <c r="CJ715" s="628"/>
      <c r="CK715" s="628"/>
      <c r="CL715" s="628"/>
      <c r="CM715" s="628"/>
      <c r="CN715" s="628"/>
      <c r="CO715" s="628"/>
      <c r="CP715" s="628"/>
      <c r="CQ715" s="628"/>
      <c r="CR715" s="628"/>
      <c r="CS715" s="628"/>
      <c r="CT715" s="628"/>
      <c r="CU715" s="628"/>
      <c r="CV715" s="628"/>
      <c r="CW715" s="628"/>
      <c r="CX715" s="628"/>
      <c r="CY715" s="628"/>
      <c r="CZ715" s="629"/>
      <c r="DA715" s="214"/>
    </row>
    <row r="716" spans="1:105" s="16" customFormat="1" ht="15" hidden="1" customHeight="1" x14ac:dyDescent="0.3">
      <c r="A716" s="630"/>
      <c r="B716" s="631"/>
      <c r="C716" s="631"/>
      <c r="D716" s="631"/>
      <c r="E716" s="631"/>
      <c r="F716" s="631"/>
      <c r="G716" s="632"/>
      <c r="H716" s="651" t="s">
        <v>721</v>
      </c>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52"/>
      <c r="AL716" s="652"/>
      <c r="AM716" s="652"/>
      <c r="AN716" s="652"/>
      <c r="AO716" s="652"/>
      <c r="AP716" s="652"/>
      <c r="AQ716" s="652"/>
      <c r="AR716" s="652"/>
      <c r="AS716" s="652"/>
      <c r="AT716" s="653"/>
      <c r="AU716" s="541" t="s">
        <v>690</v>
      </c>
      <c r="AV716" s="542"/>
      <c r="AW716" s="542"/>
      <c r="AX716" s="542"/>
      <c r="AY716" s="542"/>
      <c r="AZ716" s="542"/>
      <c r="BA716" s="542"/>
      <c r="BB716" s="543"/>
      <c r="BC716" s="647">
        <f>800+3+2+2+1+2+5+5+1+5+5+2+10+20+2+6+10+10+10+5+4+20</f>
        <v>930</v>
      </c>
      <c r="BD716" s="637"/>
      <c r="BE716" s="637"/>
      <c r="BF716" s="637"/>
      <c r="BG716" s="637"/>
      <c r="BH716" s="637"/>
      <c r="BI716" s="637"/>
      <c r="BJ716" s="637"/>
      <c r="BK716" s="637"/>
      <c r="BL716" s="637"/>
      <c r="BM716" s="637"/>
      <c r="BN716" s="637"/>
      <c r="BO716" s="637"/>
      <c r="BP716" s="637"/>
      <c r="BQ716" s="637"/>
      <c r="BR716" s="638"/>
      <c r="BS716" s="644">
        <f t="shared" ref="BS716:BS734" si="13">CI716/BC716</f>
        <v>0</v>
      </c>
      <c r="BT716" s="645"/>
      <c r="BU716" s="645"/>
      <c r="BV716" s="645"/>
      <c r="BW716" s="645"/>
      <c r="BX716" s="645"/>
      <c r="BY716" s="645"/>
      <c r="BZ716" s="645"/>
      <c r="CA716" s="645"/>
      <c r="CB716" s="645"/>
      <c r="CC716" s="645"/>
      <c r="CD716" s="645"/>
      <c r="CE716" s="645"/>
      <c r="CF716" s="645"/>
      <c r="CG716" s="645"/>
      <c r="CH716" s="646"/>
      <c r="CI716" s="636"/>
      <c r="CJ716" s="654"/>
      <c r="CK716" s="654"/>
      <c r="CL716" s="654"/>
      <c r="CM716" s="654"/>
      <c r="CN716" s="654"/>
      <c r="CO716" s="654"/>
      <c r="CP716" s="654"/>
      <c r="CQ716" s="654"/>
      <c r="CR716" s="654"/>
      <c r="CS716" s="654"/>
      <c r="CT716" s="654"/>
      <c r="CU716" s="654"/>
      <c r="CV716" s="654"/>
      <c r="CW716" s="654"/>
      <c r="CX716" s="654"/>
      <c r="CY716" s="654"/>
      <c r="CZ716" s="655"/>
      <c r="DA716" s="214"/>
    </row>
    <row r="717" spans="1:105" s="16" customFormat="1" ht="15" hidden="1" customHeight="1" x14ac:dyDescent="0.3">
      <c r="A717" s="630"/>
      <c r="B717" s="631"/>
      <c r="C717" s="631"/>
      <c r="D717" s="631"/>
      <c r="E717" s="631"/>
      <c r="F717" s="631"/>
      <c r="G717" s="632"/>
      <c r="H717" s="651"/>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52"/>
      <c r="AL717" s="652"/>
      <c r="AM717" s="652"/>
      <c r="AN717" s="652"/>
      <c r="AO717" s="652"/>
      <c r="AP717" s="652"/>
      <c r="AQ717" s="652"/>
      <c r="AR717" s="652"/>
      <c r="AS717" s="652"/>
      <c r="AT717" s="653"/>
      <c r="AU717" s="475"/>
      <c r="AV717" s="476"/>
      <c r="AW717" s="476"/>
      <c r="AX717" s="476"/>
      <c r="AY717" s="476"/>
      <c r="AZ717" s="476"/>
      <c r="BA717" s="476"/>
      <c r="BB717" s="477"/>
      <c r="BC717" s="544"/>
      <c r="BD717" s="545"/>
      <c r="BE717" s="545"/>
      <c r="BF717" s="545"/>
      <c r="BG717" s="545"/>
      <c r="BH717" s="545"/>
      <c r="BI717" s="545"/>
      <c r="BJ717" s="545"/>
      <c r="BK717" s="545"/>
      <c r="BL717" s="545"/>
      <c r="BM717" s="545"/>
      <c r="BN717" s="545"/>
      <c r="BO717" s="545"/>
      <c r="BP717" s="545"/>
      <c r="BQ717" s="545"/>
      <c r="BR717" s="546"/>
      <c r="BS717" s="644"/>
      <c r="BT717" s="645"/>
      <c r="BU717" s="645"/>
      <c r="BV717" s="645"/>
      <c r="BW717" s="645"/>
      <c r="BX717" s="645"/>
      <c r="BY717" s="645"/>
      <c r="BZ717" s="645"/>
      <c r="CA717" s="645"/>
      <c r="CB717" s="645"/>
      <c r="CC717" s="645"/>
      <c r="CD717" s="645"/>
      <c r="CE717" s="645"/>
      <c r="CF717" s="645"/>
      <c r="CG717" s="645"/>
      <c r="CH717" s="646"/>
      <c r="CI717" s="627"/>
      <c r="CJ717" s="628"/>
      <c r="CK717" s="628"/>
      <c r="CL717" s="628"/>
      <c r="CM717" s="628"/>
      <c r="CN717" s="628"/>
      <c r="CO717" s="628"/>
      <c r="CP717" s="628"/>
      <c r="CQ717" s="628"/>
      <c r="CR717" s="628"/>
      <c r="CS717" s="628"/>
      <c r="CT717" s="628"/>
      <c r="CU717" s="628"/>
      <c r="CV717" s="628"/>
      <c r="CW717" s="628"/>
      <c r="CX717" s="628"/>
      <c r="CY717" s="628"/>
      <c r="CZ717" s="629"/>
      <c r="DA717" s="214"/>
    </row>
    <row r="718" spans="1:105" s="16" customFormat="1" ht="15" hidden="1" customHeight="1" x14ac:dyDescent="0.3">
      <c r="A718" s="630"/>
      <c r="B718" s="631"/>
      <c r="C718" s="631"/>
      <c r="D718" s="631"/>
      <c r="E718" s="631"/>
      <c r="F718" s="631"/>
      <c r="G718" s="632"/>
      <c r="H718" s="651" t="s">
        <v>722</v>
      </c>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c r="AI718" s="652"/>
      <c r="AJ718" s="652"/>
      <c r="AK718" s="652"/>
      <c r="AL718" s="652"/>
      <c r="AM718" s="652"/>
      <c r="AN718" s="652"/>
      <c r="AO718" s="652"/>
      <c r="AP718" s="652"/>
      <c r="AQ718" s="652"/>
      <c r="AR718" s="652"/>
      <c r="AS718" s="652"/>
      <c r="AT718" s="653"/>
      <c r="AU718" s="541" t="s">
        <v>690</v>
      </c>
      <c r="AV718" s="542"/>
      <c r="AW718" s="542"/>
      <c r="AX718" s="542"/>
      <c r="AY718" s="542"/>
      <c r="AZ718" s="542"/>
      <c r="BA718" s="542"/>
      <c r="BB718" s="543"/>
      <c r="BC718" s="647">
        <f>163+120+120+120+110+50+120+20</f>
        <v>823</v>
      </c>
      <c r="BD718" s="637"/>
      <c r="BE718" s="637"/>
      <c r="BF718" s="637"/>
      <c r="BG718" s="637"/>
      <c r="BH718" s="637"/>
      <c r="BI718" s="637"/>
      <c r="BJ718" s="637"/>
      <c r="BK718" s="637"/>
      <c r="BL718" s="637"/>
      <c r="BM718" s="637"/>
      <c r="BN718" s="637"/>
      <c r="BO718" s="637"/>
      <c r="BP718" s="637"/>
      <c r="BQ718" s="637"/>
      <c r="BR718" s="638"/>
      <c r="BS718" s="644">
        <f t="shared" si="13"/>
        <v>0</v>
      </c>
      <c r="BT718" s="645"/>
      <c r="BU718" s="645"/>
      <c r="BV718" s="645"/>
      <c r="BW718" s="645"/>
      <c r="BX718" s="645"/>
      <c r="BY718" s="645"/>
      <c r="BZ718" s="645"/>
      <c r="CA718" s="645"/>
      <c r="CB718" s="645"/>
      <c r="CC718" s="645"/>
      <c r="CD718" s="645"/>
      <c r="CE718" s="645"/>
      <c r="CF718" s="645"/>
      <c r="CG718" s="645"/>
      <c r="CH718" s="646"/>
      <c r="CI718" s="636"/>
      <c r="CJ718" s="654"/>
      <c r="CK718" s="654"/>
      <c r="CL718" s="654"/>
      <c r="CM718" s="654"/>
      <c r="CN718" s="654"/>
      <c r="CO718" s="654"/>
      <c r="CP718" s="654"/>
      <c r="CQ718" s="654"/>
      <c r="CR718" s="654"/>
      <c r="CS718" s="654"/>
      <c r="CT718" s="654"/>
      <c r="CU718" s="654"/>
      <c r="CV718" s="654"/>
      <c r="CW718" s="654"/>
      <c r="CX718" s="654"/>
      <c r="CY718" s="654"/>
      <c r="CZ718" s="655"/>
      <c r="DA718" s="214"/>
    </row>
    <row r="719" spans="1:105" s="16" customFormat="1" ht="15" hidden="1" customHeight="1" x14ac:dyDescent="0.3">
      <c r="A719" s="630"/>
      <c r="B719" s="631"/>
      <c r="C719" s="631"/>
      <c r="D719" s="631"/>
      <c r="E719" s="631"/>
      <c r="F719" s="631"/>
      <c r="G719" s="632"/>
      <c r="H719" s="651"/>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52"/>
      <c r="AL719" s="652"/>
      <c r="AM719" s="652"/>
      <c r="AN719" s="652"/>
      <c r="AO719" s="652"/>
      <c r="AP719" s="652"/>
      <c r="AQ719" s="652"/>
      <c r="AR719" s="652"/>
      <c r="AS719" s="652"/>
      <c r="AT719" s="653"/>
      <c r="AU719" s="475"/>
      <c r="AV719" s="476"/>
      <c r="AW719" s="476"/>
      <c r="AX719" s="476"/>
      <c r="AY719" s="476"/>
      <c r="AZ719" s="476"/>
      <c r="BA719" s="476"/>
      <c r="BB719" s="477"/>
      <c r="BC719" s="544"/>
      <c r="BD719" s="545"/>
      <c r="BE719" s="545"/>
      <c r="BF719" s="545"/>
      <c r="BG719" s="545"/>
      <c r="BH719" s="545"/>
      <c r="BI719" s="545"/>
      <c r="BJ719" s="545"/>
      <c r="BK719" s="545"/>
      <c r="BL719" s="545"/>
      <c r="BM719" s="545"/>
      <c r="BN719" s="545"/>
      <c r="BO719" s="545"/>
      <c r="BP719" s="545"/>
      <c r="BQ719" s="545"/>
      <c r="BR719" s="546"/>
      <c r="BS719" s="644"/>
      <c r="BT719" s="645"/>
      <c r="BU719" s="645"/>
      <c r="BV719" s="645"/>
      <c r="BW719" s="645"/>
      <c r="BX719" s="645"/>
      <c r="BY719" s="645"/>
      <c r="BZ719" s="645"/>
      <c r="CA719" s="645"/>
      <c r="CB719" s="645"/>
      <c r="CC719" s="645"/>
      <c r="CD719" s="645"/>
      <c r="CE719" s="645"/>
      <c r="CF719" s="645"/>
      <c r="CG719" s="645"/>
      <c r="CH719" s="646"/>
      <c r="CI719" s="627"/>
      <c r="CJ719" s="628"/>
      <c r="CK719" s="628"/>
      <c r="CL719" s="628"/>
      <c r="CM719" s="628"/>
      <c r="CN719" s="628"/>
      <c r="CO719" s="628"/>
      <c r="CP719" s="628"/>
      <c r="CQ719" s="628"/>
      <c r="CR719" s="628"/>
      <c r="CS719" s="628"/>
      <c r="CT719" s="628"/>
      <c r="CU719" s="628"/>
      <c r="CV719" s="628"/>
      <c r="CW719" s="628"/>
      <c r="CX719" s="628"/>
      <c r="CY719" s="628"/>
      <c r="CZ719" s="629"/>
      <c r="DA719" s="214"/>
    </row>
    <row r="720" spans="1:105" s="16" customFormat="1" ht="27" customHeight="1" x14ac:dyDescent="0.3">
      <c r="A720" s="630"/>
      <c r="B720" s="631"/>
      <c r="C720" s="631"/>
      <c r="D720" s="631"/>
      <c r="E720" s="631"/>
      <c r="F720" s="631"/>
      <c r="G720" s="632"/>
      <c r="H720" s="651" t="s">
        <v>905</v>
      </c>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52"/>
      <c r="AL720" s="652"/>
      <c r="AM720" s="652"/>
      <c r="AN720" s="652"/>
      <c r="AO720" s="652"/>
      <c r="AP720" s="652"/>
      <c r="AQ720" s="652"/>
      <c r="AR720" s="652"/>
      <c r="AS720" s="652"/>
      <c r="AT720" s="653"/>
      <c r="AU720" s="541" t="s">
        <v>690</v>
      </c>
      <c r="AV720" s="542"/>
      <c r="AW720" s="542"/>
      <c r="AX720" s="542"/>
      <c r="AY720" s="542"/>
      <c r="AZ720" s="542"/>
      <c r="BA720" s="542"/>
      <c r="BB720" s="543"/>
      <c r="BC720" s="647">
        <v>2000</v>
      </c>
      <c r="BD720" s="637"/>
      <c r="BE720" s="637"/>
      <c r="BF720" s="637"/>
      <c r="BG720" s="637"/>
      <c r="BH720" s="637"/>
      <c r="BI720" s="637"/>
      <c r="BJ720" s="637"/>
      <c r="BK720" s="637"/>
      <c r="BL720" s="637"/>
      <c r="BM720" s="637"/>
      <c r="BN720" s="637"/>
      <c r="BO720" s="637"/>
      <c r="BP720" s="637"/>
      <c r="BQ720" s="637"/>
      <c r="BR720" s="638"/>
      <c r="BS720" s="644">
        <f t="shared" si="13"/>
        <v>5.9633850000000006</v>
      </c>
      <c r="BT720" s="645"/>
      <c r="BU720" s="645"/>
      <c r="BV720" s="645"/>
      <c r="BW720" s="645"/>
      <c r="BX720" s="645"/>
      <c r="BY720" s="645"/>
      <c r="BZ720" s="645"/>
      <c r="CA720" s="645"/>
      <c r="CB720" s="645"/>
      <c r="CC720" s="645"/>
      <c r="CD720" s="645"/>
      <c r="CE720" s="645"/>
      <c r="CF720" s="645"/>
      <c r="CG720" s="645"/>
      <c r="CH720" s="646"/>
      <c r="CI720" s="636">
        <v>11926.77</v>
      </c>
      <c r="CJ720" s="654"/>
      <c r="CK720" s="654"/>
      <c r="CL720" s="654"/>
      <c r="CM720" s="654"/>
      <c r="CN720" s="654"/>
      <c r="CO720" s="654"/>
      <c r="CP720" s="654"/>
      <c r="CQ720" s="654"/>
      <c r="CR720" s="654"/>
      <c r="CS720" s="654"/>
      <c r="CT720" s="654"/>
      <c r="CU720" s="654"/>
      <c r="CV720" s="654"/>
      <c r="CW720" s="654"/>
      <c r="CX720" s="654"/>
      <c r="CY720" s="654"/>
      <c r="CZ720" s="655"/>
      <c r="DA720" s="214"/>
    </row>
    <row r="721" spans="1:105" s="16" customFormat="1" ht="15" hidden="1" customHeight="1" x14ac:dyDescent="0.3">
      <c r="A721" s="630"/>
      <c r="B721" s="631"/>
      <c r="C721" s="631"/>
      <c r="D721" s="631"/>
      <c r="E721" s="631"/>
      <c r="F721" s="631"/>
      <c r="G721" s="632"/>
      <c r="H721" s="651"/>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52"/>
      <c r="AL721" s="652"/>
      <c r="AM721" s="652"/>
      <c r="AN721" s="652"/>
      <c r="AO721" s="652"/>
      <c r="AP721" s="652"/>
      <c r="AQ721" s="652"/>
      <c r="AR721" s="652"/>
      <c r="AS721" s="652"/>
      <c r="AT721" s="653"/>
      <c r="AU721" s="475"/>
      <c r="AV721" s="476"/>
      <c r="AW721" s="476"/>
      <c r="AX721" s="476"/>
      <c r="AY721" s="476"/>
      <c r="AZ721" s="476"/>
      <c r="BA721" s="476"/>
      <c r="BB721" s="477"/>
      <c r="BC721" s="544"/>
      <c r="BD721" s="545"/>
      <c r="BE721" s="545"/>
      <c r="BF721" s="545"/>
      <c r="BG721" s="545"/>
      <c r="BH721" s="545"/>
      <c r="BI721" s="545"/>
      <c r="BJ721" s="545"/>
      <c r="BK721" s="545"/>
      <c r="BL721" s="545"/>
      <c r="BM721" s="545"/>
      <c r="BN721" s="545"/>
      <c r="BO721" s="545"/>
      <c r="BP721" s="545"/>
      <c r="BQ721" s="545"/>
      <c r="BR721" s="546"/>
      <c r="BS721" s="644"/>
      <c r="BT721" s="645"/>
      <c r="BU721" s="645"/>
      <c r="BV721" s="645"/>
      <c r="BW721" s="645"/>
      <c r="BX721" s="645"/>
      <c r="BY721" s="645"/>
      <c r="BZ721" s="645"/>
      <c r="CA721" s="645"/>
      <c r="CB721" s="645"/>
      <c r="CC721" s="645"/>
      <c r="CD721" s="645"/>
      <c r="CE721" s="645"/>
      <c r="CF721" s="645"/>
      <c r="CG721" s="645"/>
      <c r="CH721" s="646"/>
      <c r="CI721" s="627"/>
      <c r="CJ721" s="628"/>
      <c r="CK721" s="628"/>
      <c r="CL721" s="628"/>
      <c r="CM721" s="628"/>
      <c r="CN721" s="628"/>
      <c r="CO721" s="628"/>
      <c r="CP721" s="628"/>
      <c r="CQ721" s="628"/>
      <c r="CR721" s="628"/>
      <c r="CS721" s="628"/>
      <c r="CT721" s="628"/>
      <c r="CU721" s="628"/>
      <c r="CV721" s="628"/>
      <c r="CW721" s="628"/>
      <c r="CX721" s="628"/>
      <c r="CY721" s="628"/>
      <c r="CZ721" s="629"/>
      <c r="DA721" s="214"/>
    </row>
    <row r="722" spans="1:105" s="16" customFormat="1" ht="28.95" hidden="1" customHeight="1" x14ac:dyDescent="0.3">
      <c r="A722" s="630"/>
      <c r="B722" s="631"/>
      <c r="C722" s="631"/>
      <c r="D722" s="631"/>
      <c r="E722" s="631"/>
      <c r="F722" s="631"/>
      <c r="G722" s="632"/>
      <c r="H722" s="651" t="s">
        <v>724</v>
      </c>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52"/>
      <c r="AL722" s="652"/>
      <c r="AM722" s="652"/>
      <c r="AN722" s="652"/>
      <c r="AO722" s="652"/>
      <c r="AP722" s="652"/>
      <c r="AQ722" s="652"/>
      <c r="AR722" s="652"/>
      <c r="AS722" s="652"/>
      <c r="AT722" s="653"/>
      <c r="AU722" s="541" t="s">
        <v>690</v>
      </c>
      <c r="AV722" s="542"/>
      <c r="AW722" s="542"/>
      <c r="AX722" s="542"/>
      <c r="AY722" s="542"/>
      <c r="AZ722" s="542"/>
      <c r="BA722" s="542"/>
      <c r="BB722" s="543"/>
      <c r="BC722" s="647">
        <v>50</v>
      </c>
      <c r="BD722" s="637"/>
      <c r="BE722" s="637"/>
      <c r="BF722" s="637"/>
      <c r="BG722" s="637"/>
      <c r="BH722" s="637"/>
      <c r="BI722" s="637"/>
      <c r="BJ722" s="637"/>
      <c r="BK722" s="637"/>
      <c r="BL722" s="637"/>
      <c r="BM722" s="637"/>
      <c r="BN722" s="637"/>
      <c r="BO722" s="637"/>
      <c r="BP722" s="637"/>
      <c r="BQ722" s="637"/>
      <c r="BR722" s="638"/>
      <c r="BS722" s="644">
        <f>CI722/BC722</f>
        <v>0</v>
      </c>
      <c r="BT722" s="645"/>
      <c r="BU722" s="645"/>
      <c r="BV722" s="645"/>
      <c r="BW722" s="645"/>
      <c r="BX722" s="645"/>
      <c r="BY722" s="645"/>
      <c r="BZ722" s="645"/>
      <c r="CA722" s="645"/>
      <c r="CB722" s="645"/>
      <c r="CC722" s="645"/>
      <c r="CD722" s="645"/>
      <c r="CE722" s="645"/>
      <c r="CF722" s="645"/>
      <c r="CG722" s="645"/>
      <c r="CH722" s="646"/>
      <c r="CI722" s="636"/>
      <c r="CJ722" s="654"/>
      <c r="CK722" s="654"/>
      <c r="CL722" s="654"/>
      <c r="CM722" s="654"/>
      <c r="CN722" s="654"/>
      <c r="CO722" s="654"/>
      <c r="CP722" s="654"/>
      <c r="CQ722" s="654"/>
      <c r="CR722" s="654"/>
      <c r="CS722" s="654"/>
      <c r="CT722" s="654"/>
      <c r="CU722" s="654"/>
      <c r="CV722" s="654"/>
      <c r="CW722" s="654"/>
      <c r="CX722" s="654"/>
      <c r="CY722" s="654"/>
      <c r="CZ722" s="655"/>
      <c r="DA722" s="214"/>
    </row>
    <row r="723" spans="1:105" s="16" customFormat="1" ht="15" hidden="1" customHeight="1" x14ac:dyDescent="0.3">
      <c r="A723" s="630"/>
      <c r="B723" s="631"/>
      <c r="C723" s="631"/>
      <c r="D723" s="631"/>
      <c r="E723" s="631"/>
      <c r="F723" s="631"/>
      <c r="G723" s="632"/>
      <c r="H723" s="651"/>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c r="AI723" s="652"/>
      <c r="AJ723" s="652"/>
      <c r="AK723" s="652"/>
      <c r="AL723" s="652"/>
      <c r="AM723" s="652"/>
      <c r="AN723" s="652"/>
      <c r="AO723" s="652"/>
      <c r="AP723" s="652"/>
      <c r="AQ723" s="652"/>
      <c r="AR723" s="652"/>
      <c r="AS723" s="652"/>
      <c r="AT723" s="653"/>
      <c r="AU723" s="475"/>
      <c r="AV723" s="476"/>
      <c r="AW723" s="476"/>
      <c r="AX723" s="476"/>
      <c r="AY723" s="476"/>
      <c r="AZ723" s="476"/>
      <c r="BA723" s="476"/>
      <c r="BB723" s="477"/>
      <c r="BC723" s="544"/>
      <c r="BD723" s="545"/>
      <c r="BE723" s="545"/>
      <c r="BF723" s="545"/>
      <c r="BG723" s="545"/>
      <c r="BH723" s="545"/>
      <c r="BI723" s="545"/>
      <c r="BJ723" s="545"/>
      <c r="BK723" s="545"/>
      <c r="BL723" s="545"/>
      <c r="BM723" s="545"/>
      <c r="BN723" s="545"/>
      <c r="BO723" s="545"/>
      <c r="BP723" s="545"/>
      <c r="BQ723" s="545"/>
      <c r="BR723" s="546"/>
      <c r="BS723" s="644"/>
      <c r="BT723" s="645"/>
      <c r="BU723" s="645"/>
      <c r="BV723" s="645"/>
      <c r="BW723" s="645"/>
      <c r="BX723" s="645"/>
      <c r="BY723" s="645"/>
      <c r="BZ723" s="645"/>
      <c r="CA723" s="645"/>
      <c r="CB723" s="645"/>
      <c r="CC723" s="645"/>
      <c r="CD723" s="645"/>
      <c r="CE723" s="645"/>
      <c r="CF723" s="645"/>
      <c r="CG723" s="645"/>
      <c r="CH723" s="646"/>
      <c r="CI723" s="627"/>
      <c r="CJ723" s="628"/>
      <c r="CK723" s="628"/>
      <c r="CL723" s="628"/>
      <c r="CM723" s="628"/>
      <c r="CN723" s="628"/>
      <c r="CO723" s="628"/>
      <c r="CP723" s="628"/>
      <c r="CQ723" s="628"/>
      <c r="CR723" s="628"/>
      <c r="CS723" s="628"/>
      <c r="CT723" s="628"/>
      <c r="CU723" s="628"/>
      <c r="CV723" s="628"/>
      <c r="CW723" s="628"/>
      <c r="CX723" s="628"/>
      <c r="CY723" s="628"/>
      <c r="CZ723" s="629"/>
      <c r="DA723" s="214"/>
    </row>
    <row r="724" spans="1:105" s="16" customFormat="1" ht="15" hidden="1" customHeight="1" x14ac:dyDescent="0.3">
      <c r="A724" s="630"/>
      <c r="B724" s="631"/>
      <c r="C724" s="631"/>
      <c r="D724" s="631"/>
      <c r="E724" s="631"/>
      <c r="F724" s="631"/>
      <c r="G724" s="632"/>
      <c r="H724" s="651" t="s">
        <v>998</v>
      </c>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52"/>
      <c r="AL724" s="652"/>
      <c r="AM724" s="652"/>
      <c r="AN724" s="652"/>
      <c r="AO724" s="652"/>
      <c r="AP724" s="652"/>
      <c r="AQ724" s="652"/>
      <c r="AR724" s="652"/>
      <c r="AS724" s="652"/>
      <c r="AT724" s="653"/>
      <c r="AU724" s="541" t="s">
        <v>690</v>
      </c>
      <c r="AV724" s="542"/>
      <c r="AW724" s="542"/>
      <c r="AX724" s="542"/>
      <c r="AY724" s="542"/>
      <c r="AZ724" s="542"/>
      <c r="BA724" s="542"/>
      <c r="BB724" s="543"/>
      <c r="BC724" s="647">
        <v>30</v>
      </c>
      <c r="BD724" s="637"/>
      <c r="BE724" s="637"/>
      <c r="BF724" s="637"/>
      <c r="BG724" s="637"/>
      <c r="BH724" s="637"/>
      <c r="BI724" s="637"/>
      <c r="BJ724" s="637"/>
      <c r="BK724" s="637"/>
      <c r="BL724" s="637"/>
      <c r="BM724" s="637"/>
      <c r="BN724" s="637"/>
      <c r="BO724" s="637"/>
      <c r="BP724" s="637"/>
      <c r="BQ724" s="637"/>
      <c r="BR724" s="638"/>
      <c r="BS724" s="644">
        <f>CI724/BC724</f>
        <v>0</v>
      </c>
      <c r="BT724" s="645"/>
      <c r="BU724" s="645"/>
      <c r="BV724" s="645"/>
      <c r="BW724" s="645"/>
      <c r="BX724" s="645"/>
      <c r="BY724" s="645"/>
      <c r="BZ724" s="645"/>
      <c r="CA724" s="645"/>
      <c r="CB724" s="645"/>
      <c r="CC724" s="645"/>
      <c r="CD724" s="645"/>
      <c r="CE724" s="645"/>
      <c r="CF724" s="645"/>
      <c r="CG724" s="645"/>
      <c r="CH724" s="646"/>
      <c r="CI724" s="636"/>
      <c r="CJ724" s="654"/>
      <c r="CK724" s="654"/>
      <c r="CL724" s="654"/>
      <c r="CM724" s="654"/>
      <c r="CN724" s="654"/>
      <c r="CO724" s="654"/>
      <c r="CP724" s="654"/>
      <c r="CQ724" s="654"/>
      <c r="CR724" s="654"/>
      <c r="CS724" s="654"/>
      <c r="CT724" s="654"/>
      <c r="CU724" s="654"/>
      <c r="CV724" s="654"/>
      <c r="CW724" s="654"/>
      <c r="CX724" s="654"/>
      <c r="CY724" s="654"/>
      <c r="CZ724" s="655"/>
      <c r="DA724" s="214"/>
    </row>
    <row r="725" spans="1:105" s="16" customFormat="1" ht="15" hidden="1" customHeight="1" x14ac:dyDescent="0.3">
      <c r="A725" s="630"/>
      <c r="B725" s="631"/>
      <c r="C725" s="631"/>
      <c r="D725" s="631"/>
      <c r="E725" s="631"/>
      <c r="F725" s="631"/>
      <c r="G725" s="632"/>
      <c r="H725" s="651"/>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c r="AI725" s="652"/>
      <c r="AJ725" s="652"/>
      <c r="AK725" s="652"/>
      <c r="AL725" s="652"/>
      <c r="AM725" s="652"/>
      <c r="AN725" s="652"/>
      <c r="AO725" s="652"/>
      <c r="AP725" s="652"/>
      <c r="AQ725" s="652"/>
      <c r="AR725" s="652"/>
      <c r="AS725" s="652"/>
      <c r="AT725" s="653"/>
      <c r="AU725" s="475"/>
      <c r="AV725" s="476"/>
      <c r="AW725" s="476"/>
      <c r="AX725" s="476"/>
      <c r="AY725" s="476"/>
      <c r="AZ725" s="476"/>
      <c r="BA725" s="476"/>
      <c r="BB725" s="477"/>
      <c r="BC725" s="544"/>
      <c r="BD725" s="545"/>
      <c r="BE725" s="545"/>
      <c r="BF725" s="545"/>
      <c r="BG725" s="545"/>
      <c r="BH725" s="545"/>
      <c r="BI725" s="545"/>
      <c r="BJ725" s="545"/>
      <c r="BK725" s="545"/>
      <c r="BL725" s="545"/>
      <c r="BM725" s="545"/>
      <c r="BN725" s="545"/>
      <c r="BO725" s="545"/>
      <c r="BP725" s="545"/>
      <c r="BQ725" s="545"/>
      <c r="BR725" s="546"/>
      <c r="BS725" s="644"/>
      <c r="BT725" s="645"/>
      <c r="BU725" s="645"/>
      <c r="BV725" s="645"/>
      <c r="BW725" s="645"/>
      <c r="BX725" s="645"/>
      <c r="BY725" s="645"/>
      <c r="BZ725" s="645"/>
      <c r="CA725" s="645"/>
      <c r="CB725" s="645"/>
      <c r="CC725" s="645"/>
      <c r="CD725" s="645"/>
      <c r="CE725" s="645"/>
      <c r="CF725" s="645"/>
      <c r="CG725" s="645"/>
      <c r="CH725" s="646"/>
      <c r="CI725" s="627"/>
      <c r="CJ725" s="628"/>
      <c r="CK725" s="628"/>
      <c r="CL725" s="628"/>
      <c r="CM725" s="628"/>
      <c r="CN725" s="628"/>
      <c r="CO725" s="628"/>
      <c r="CP725" s="628"/>
      <c r="CQ725" s="628"/>
      <c r="CR725" s="628"/>
      <c r="CS725" s="628"/>
      <c r="CT725" s="628"/>
      <c r="CU725" s="628"/>
      <c r="CV725" s="628"/>
      <c r="CW725" s="628"/>
      <c r="CX725" s="628"/>
      <c r="CY725" s="628"/>
      <c r="CZ725" s="629"/>
      <c r="DA725" s="214"/>
    </row>
    <row r="726" spans="1:105" s="16" customFormat="1" ht="15" hidden="1" customHeight="1" x14ac:dyDescent="0.3">
      <c r="A726" s="630"/>
      <c r="B726" s="631"/>
      <c r="C726" s="631"/>
      <c r="D726" s="631"/>
      <c r="E726" s="631"/>
      <c r="F726" s="631"/>
      <c r="G726" s="632"/>
      <c r="H726" s="651" t="s">
        <v>725</v>
      </c>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3"/>
      <c r="AU726" s="541" t="s">
        <v>690</v>
      </c>
      <c r="AV726" s="542"/>
      <c r="AW726" s="542"/>
      <c r="AX726" s="542"/>
      <c r="AY726" s="542"/>
      <c r="AZ726" s="542"/>
      <c r="BA726" s="542"/>
      <c r="BB726" s="543"/>
      <c r="BC726" s="647">
        <v>3000</v>
      </c>
      <c r="BD726" s="637"/>
      <c r="BE726" s="637"/>
      <c r="BF726" s="637"/>
      <c r="BG726" s="637"/>
      <c r="BH726" s="637"/>
      <c r="BI726" s="637"/>
      <c r="BJ726" s="637"/>
      <c r="BK726" s="637"/>
      <c r="BL726" s="637"/>
      <c r="BM726" s="637"/>
      <c r="BN726" s="637"/>
      <c r="BO726" s="637"/>
      <c r="BP726" s="637"/>
      <c r="BQ726" s="637"/>
      <c r="BR726" s="638"/>
      <c r="BS726" s="644">
        <f t="shared" si="13"/>
        <v>0</v>
      </c>
      <c r="BT726" s="645"/>
      <c r="BU726" s="645"/>
      <c r="BV726" s="645"/>
      <c r="BW726" s="645"/>
      <c r="BX726" s="645"/>
      <c r="BY726" s="645"/>
      <c r="BZ726" s="645"/>
      <c r="CA726" s="645"/>
      <c r="CB726" s="645"/>
      <c r="CC726" s="645"/>
      <c r="CD726" s="645"/>
      <c r="CE726" s="645"/>
      <c r="CF726" s="645"/>
      <c r="CG726" s="645"/>
      <c r="CH726" s="646"/>
      <c r="CI726" s="636"/>
      <c r="CJ726" s="654"/>
      <c r="CK726" s="654"/>
      <c r="CL726" s="654"/>
      <c r="CM726" s="654"/>
      <c r="CN726" s="654"/>
      <c r="CO726" s="654"/>
      <c r="CP726" s="654"/>
      <c r="CQ726" s="654"/>
      <c r="CR726" s="654"/>
      <c r="CS726" s="654"/>
      <c r="CT726" s="654"/>
      <c r="CU726" s="654"/>
      <c r="CV726" s="654"/>
      <c r="CW726" s="654"/>
      <c r="CX726" s="654"/>
      <c r="CY726" s="654"/>
      <c r="CZ726" s="655"/>
      <c r="DA726" s="214"/>
    </row>
    <row r="727" spans="1:105" s="16" customFormat="1" ht="15" hidden="1" customHeight="1" x14ac:dyDescent="0.3">
      <c r="A727" s="630"/>
      <c r="B727" s="631"/>
      <c r="C727" s="631"/>
      <c r="D727" s="631"/>
      <c r="E727" s="631"/>
      <c r="F727" s="631"/>
      <c r="G727" s="632"/>
      <c r="H727" s="651"/>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2"/>
      <c r="AL727" s="652"/>
      <c r="AM727" s="652"/>
      <c r="AN727" s="652"/>
      <c r="AO727" s="652"/>
      <c r="AP727" s="652"/>
      <c r="AQ727" s="652"/>
      <c r="AR727" s="652"/>
      <c r="AS727" s="652"/>
      <c r="AT727" s="653"/>
      <c r="AU727" s="475"/>
      <c r="AV727" s="476"/>
      <c r="AW727" s="476"/>
      <c r="AX727" s="476"/>
      <c r="AY727" s="476"/>
      <c r="AZ727" s="476"/>
      <c r="BA727" s="476"/>
      <c r="BB727" s="477"/>
      <c r="BC727" s="544"/>
      <c r="BD727" s="545"/>
      <c r="BE727" s="545"/>
      <c r="BF727" s="545"/>
      <c r="BG727" s="545"/>
      <c r="BH727" s="545"/>
      <c r="BI727" s="545"/>
      <c r="BJ727" s="545"/>
      <c r="BK727" s="545"/>
      <c r="BL727" s="545"/>
      <c r="BM727" s="545"/>
      <c r="BN727" s="545"/>
      <c r="BO727" s="545"/>
      <c r="BP727" s="545"/>
      <c r="BQ727" s="545"/>
      <c r="BR727" s="546"/>
      <c r="BS727" s="644"/>
      <c r="BT727" s="645"/>
      <c r="BU727" s="645"/>
      <c r="BV727" s="645"/>
      <c r="BW727" s="645"/>
      <c r="BX727" s="645"/>
      <c r="BY727" s="645"/>
      <c r="BZ727" s="645"/>
      <c r="CA727" s="645"/>
      <c r="CB727" s="645"/>
      <c r="CC727" s="645"/>
      <c r="CD727" s="645"/>
      <c r="CE727" s="645"/>
      <c r="CF727" s="645"/>
      <c r="CG727" s="645"/>
      <c r="CH727" s="646"/>
      <c r="CI727" s="627"/>
      <c r="CJ727" s="628"/>
      <c r="CK727" s="628"/>
      <c r="CL727" s="628"/>
      <c r="CM727" s="628"/>
      <c r="CN727" s="628"/>
      <c r="CO727" s="628"/>
      <c r="CP727" s="628"/>
      <c r="CQ727" s="628"/>
      <c r="CR727" s="628"/>
      <c r="CS727" s="628"/>
      <c r="CT727" s="628"/>
      <c r="CU727" s="628"/>
      <c r="CV727" s="628"/>
      <c r="CW727" s="628"/>
      <c r="CX727" s="628"/>
      <c r="CY727" s="628"/>
      <c r="CZ727" s="629"/>
      <c r="DA727" s="214"/>
    </row>
    <row r="728" spans="1:105" s="16" customFormat="1" ht="15" hidden="1" customHeight="1" x14ac:dyDescent="0.3">
      <c r="A728" s="630"/>
      <c r="B728" s="631"/>
      <c r="C728" s="631"/>
      <c r="D728" s="631"/>
      <c r="E728" s="631"/>
      <c r="F728" s="631"/>
      <c r="G728" s="632"/>
      <c r="H728" s="651" t="s">
        <v>726</v>
      </c>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3"/>
      <c r="AU728" s="541" t="s">
        <v>690</v>
      </c>
      <c r="AV728" s="542"/>
      <c r="AW728" s="542"/>
      <c r="AX728" s="542"/>
      <c r="AY728" s="542"/>
      <c r="AZ728" s="542"/>
      <c r="BA728" s="542"/>
      <c r="BB728" s="543"/>
      <c r="BC728" s="647">
        <f>12+2+40+10+6+40+5+10+10+10</f>
        <v>145</v>
      </c>
      <c r="BD728" s="637"/>
      <c r="BE728" s="637"/>
      <c r="BF728" s="637"/>
      <c r="BG728" s="637"/>
      <c r="BH728" s="637"/>
      <c r="BI728" s="637"/>
      <c r="BJ728" s="637"/>
      <c r="BK728" s="637"/>
      <c r="BL728" s="637"/>
      <c r="BM728" s="637"/>
      <c r="BN728" s="637"/>
      <c r="BO728" s="637"/>
      <c r="BP728" s="637"/>
      <c r="BQ728" s="637"/>
      <c r="BR728" s="638"/>
      <c r="BS728" s="644">
        <f t="shared" si="13"/>
        <v>0</v>
      </c>
      <c r="BT728" s="645"/>
      <c r="BU728" s="645"/>
      <c r="BV728" s="645"/>
      <c r="BW728" s="645"/>
      <c r="BX728" s="645"/>
      <c r="BY728" s="645"/>
      <c r="BZ728" s="645"/>
      <c r="CA728" s="645"/>
      <c r="CB728" s="645"/>
      <c r="CC728" s="645"/>
      <c r="CD728" s="645"/>
      <c r="CE728" s="645"/>
      <c r="CF728" s="645"/>
      <c r="CG728" s="645"/>
      <c r="CH728" s="646"/>
      <c r="CI728" s="636"/>
      <c r="CJ728" s="654"/>
      <c r="CK728" s="654"/>
      <c r="CL728" s="654"/>
      <c r="CM728" s="654"/>
      <c r="CN728" s="654"/>
      <c r="CO728" s="654"/>
      <c r="CP728" s="654"/>
      <c r="CQ728" s="654"/>
      <c r="CR728" s="654"/>
      <c r="CS728" s="654"/>
      <c r="CT728" s="654"/>
      <c r="CU728" s="654"/>
      <c r="CV728" s="654"/>
      <c r="CW728" s="654"/>
      <c r="CX728" s="654"/>
      <c r="CY728" s="654"/>
      <c r="CZ728" s="655"/>
      <c r="DA728" s="214"/>
    </row>
    <row r="729" spans="1:105" s="16" customFormat="1" ht="15" hidden="1" customHeight="1" x14ac:dyDescent="0.3">
      <c r="A729" s="630"/>
      <c r="B729" s="631"/>
      <c r="C729" s="631"/>
      <c r="D729" s="631"/>
      <c r="E729" s="631"/>
      <c r="F729" s="631"/>
      <c r="G729" s="632"/>
      <c r="H729" s="651"/>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3"/>
      <c r="AU729" s="475"/>
      <c r="AV729" s="476"/>
      <c r="AW729" s="476"/>
      <c r="AX729" s="476"/>
      <c r="AY729" s="476"/>
      <c r="AZ729" s="476"/>
      <c r="BA729" s="476"/>
      <c r="BB729" s="477"/>
      <c r="BC729" s="544"/>
      <c r="BD729" s="545"/>
      <c r="BE729" s="545"/>
      <c r="BF729" s="545"/>
      <c r="BG729" s="545"/>
      <c r="BH729" s="545"/>
      <c r="BI729" s="545"/>
      <c r="BJ729" s="545"/>
      <c r="BK729" s="545"/>
      <c r="BL729" s="545"/>
      <c r="BM729" s="545"/>
      <c r="BN729" s="545"/>
      <c r="BO729" s="545"/>
      <c r="BP729" s="545"/>
      <c r="BQ729" s="545"/>
      <c r="BR729" s="546"/>
      <c r="BS729" s="644"/>
      <c r="BT729" s="645"/>
      <c r="BU729" s="645"/>
      <c r="BV729" s="645"/>
      <c r="BW729" s="645"/>
      <c r="BX729" s="645"/>
      <c r="BY729" s="645"/>
      <c r="BZ729" s="645"/>
      <c r="CA729" s="645"/>
      <c r="CB729" s="645"/>
      <c r="CC729" s="645"/>
      <c r="CD729" s="645"/>
      <c r="CE729" s="645"/>
      <c r="CF729" s="645"/>
      <c r="CG729" s="645"/>
      <c r="CH729" s="646"/>
      <c r="CI729" s="627"/>
      <c r="CJ729" s="628"/>
      <c r="CK729" s="628"/>
      <c r="CL729" s="628"/>
      <c r="CM729" s="628"/>
      <c r="CN729" s="628"/>
      <c r="CO729" s="628"/>
      <c r="CP729" s="628"/>
      <c r="CQ729" s="628"/>
      <c r="CR729" s="628"/>
      <c r="CS729" s="628"/>
      <c r="CT729" s="628"/>
      <c r="CU729" s="628"/>
      <c r="CV729" s="628"/>
      <c r="CW729" s="628"/>
      <c r="CX729" s="628"/>
      <c r="CY729" s="628"/>
      <c r="CZ729" s="629"/>
      <c r="DA729" s="214"/>
    </row>
    <row r="730" spans="1:105" s="16" customFormat="1" ht="15" hidden="1" customHeight="1" x14ac:dyDescent="0.3">
      <c r="A730" s="630"/>
      <c r="B730" s="631"/>
      <c r="C730" s="631"/>
      <c r="D730" s="631"/>
      <c r="E730" s="631"/>
      <c r="F730" s="631"/>
      <c r="G730" s="632"/>
      <c r="H730" s="651" t="s">
        <v>727</v>
      </c>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3"/>
      <c r="AU730" s="541" t="s">
        <v>690</v>
      </c>
      <c r="AV730" s="542"/>
      <c r="AW730" s="542"/>
      <c r="AX730" s="542"/>
      <c r="AY730" s="542"/>
      <c r="AZ730" s="542"/>
      <c r="BA730" s="542"/>
      <c r="BB730" s="543"/>
      <c r="BC730" s="647">
        <f>5+20+10+20+10+20+5+10+1</f>
        <v>101</v>
      </c>
      <c r="BD730" s="637"/>
      <c r="BE730" s="637"/>
      <c r="BF730" s="637"/>
      <c r="BG730" s="637"/>
      <c r="BH730" s="637"/>
      <c r="BI730" s="637"/>
      <c r="BJ730" s="637"/>
      <c r="BK730" s="637"/>
      <c r="BL730" s="637"/>
      <c r="BM730" s="637"/>
      <c r="BN730" s="637"/>
      <c r="BO730" s="637"/>
      <c r="BP730" s="637"/>
      <c r="BQ730" s="637"/>
      <c r="BR730" s="638"/>
      <c r="BS730" s="644">
        <f t="shared" si="13"/>
        <v>0</v>
      </c>
      <c r="BT730" s="645"/>
      <c r="BU730" s="645"/>
      <c r="BV730" s="645"/>
      <c r="BW730" s="645"/>
      <c r="BX730" s="645"/>
      <c r="BY730" s="645"/>
      <c r="BZ730" s="645"/>
      <c r="CA730" s="645"/>
      <c r="CB730" s="645"/>
      <c r="CC730" s="645"/>
      <c r="CD730" s="645"/>
      <c r="CE730" s="645"/>
      <c r="CF730" s="645"/>
      <c r="CG730" s="645"/>
      <c r="CH730" s="646"/>
      <c r="CI730" s="636"/>
      <c r="CJ730" s="654"/>
      <c r="CK730" s="654"/>
      <c r="CL730" s="654"/>
      <c r="CM730" s="654"/>
      <c r="CN730" s="654"/>
      <c r="CO730" s="654"/>
      <c r="CP730" s="654"/>
      <c r="CQ730" s="654"/>
      <c r="CR730" s="654"/>
      <c r="CS730" s="654"/>
      <c r="CT730" s="654"/>
      <c r="CU730" s="654"/>
      <c r="CV730" s="654"/>
      <c r="CW730" s="654"/>
      <c r="CX730" s="654"/>
      <c r="CY730" s="654"/>
      <c r="CZ730" s="655"/>
      <c r="DA730" s="214"/>
    </row>
    <row r="731" spans="1:105" s="16" customFormat="1" ht="15" hidden="1" customHeight="1" x14ac:dyDescent="0.3">
      <c r="A731" s="630"/>
      <c r="B731" s="631"/>
      <c r="C731" s="631"/>
      <c r="D731" s="631"/>
      <c r="E731" s="631"/>
      <c r="F731" s="631"/>
      <c r="G731" s="632"/>
      <c r="H731" s="651"/>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3"/>
      <c r="AU731" s="475"/>
      <c r="AV731" s="476"/>
      <c r="AW731" s="476"/>
      <c r="AX731" s="476"/>
      <c r="AY731" s="476"/>
      <c r="AZ731" s="476"/>
      <c r="BA731" s="476"/>
      <c r="BB731" s="477"/>
      <c r="BC731" s="544"/>
      <c r="BD731" s="545"/>
      <c r="BE731" s="545"/>
      <c r="BF731" s="545"/>
      <c r="BG731" s="545"/>
      <c r="BH731" s="545"/>
      <c r="BI731" s="545"/>
      <c r="BJ731" s="545"/>
      <c r="BK731" s="545"/>
      <c r="BL731" s="545"/>
      <c r="BM731" s="545"/>
      <c r="BN731" s="545"/>
      <c r="BO731" s="545"/>
      <c r="BP731" s="545"/>
      <c r="BQ731" s="545"/>
      <c r="BR731" s="546"/>
      <c r="BS731" s="644"/>
      <c r="BT731" s="645"/>
      <c r="BU731" s="645"/>
      <c r="BV731" s="645"/>
      <c r="BW731" s="645"/>
      <c r="BX731" s="645"/>
      <c r="BY731" s="645"/>
      <c r="BZ731" s="645"/>
      <c r="CA731" s="645"/>
      <c r="CB731" s="645"/>
      <c r="CC731" s="645"/>
      <c r="CD731" s="645"/>
      <c r="CE731" s="645"/>
      <c r="CF731" s="645"/>
      <c r="CG731" s="645"/>
      <c r="CH731" s="646"/>
      <c r="CI731" s="627"/>
      <c r="CJ731" s="628"/>
      <c r="CK731" s="628"/>
      <c r="CL731" s="628"/>
      <c r="CM731" s="628"/>
      <c r="CN731" s="628"/>
      <c r="CO731" s="628"/>
      <c r="CP731" s="628"/>
      <c r="CQ731" s="628"/>
      <c r="CR731" s="628"/>
      <c r="CS731" s="628"/>
      <c r="CT731" s="628"/>
      <c r="CU731" s="628"/>
      <c r="CV731" s="628"/>
      <c r="CW731" s="628"/>
      <c r="CX731" s="628"/>
      <c r="CY731" s="628"/>
      <c r="CZ731" s="629"/>
      <c r="DA731" s="214"/>
    </row>
    <row r="732" spans="1:105" s="16" customFormat="1" ht="15" hidden="1" customHeight="1" x14ac:dyDescent="0.3">
      <c r="A732" s="630"/>
      <c r="B732" s="631"/>
      <c r="C732" s="631"/>
      <c r="D732" s="631"/>
      <c r="E732" s="631"/>
      <c r="F732" s="631"/>
      <c r="G732" s="632"/>
      <c r="H732" s="651"/>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3"/>
      <c r="AU732" s="541" t="s">
        <v>690</v>
      </c>
      <c r="AV732" s="542"/>
      <c r="AW732" s="542"/>
      <c r="AX732" s="542"/>
      <c r="AY732" s="542"/>
      <c r="AZ732" s="542"/>
      <c r="BA732" s="542"/>
      <c r="BB732" s="543"/>
      <c r="BC732" s="647">
        <v>1826</v>
      </c>
      <c r="BD732" s="637"/>
      <c r="BE732" s="637"/>
      <c r="BF732" s="637"/>
      <c r="BG732" s="637"/>
      <c r="BH732" s="637"/>
      <c r="BI732" s="637"/>
      <c r="BJ732" s="637"/>
      <c r="BK732" s="637"/>
      <c r="BL732" s="637"/>
      <c r="BM732" s="637"/>
      <c r="BN732" s="637"/>
      <c r="BO732" s="637"/>
      <c r="BP732" s="637"/>
      <c r="BQ732" s="637"/>
      <c r="BR732" s="638"/>
      <c r="BS732" s="644">
        <f t="shared" si="13"/>
        <v>0</v>
      </c>
      <c r="BT732" s="645"/>
      <c r="BU732" s="645"/>
      <c r="BV732" s="645"/>
      <c r="BW732" s="645"/>
      <c r="BX732" s="645"/>
      <c r="BY732" s="645"/>
      <c r="BZ732" s="645"/>
      <c r="CA732" s="645"/>
      <c r="CB732" s="645"/>
      <c r="CC732" s="645"/>
      <c r="CD732" s="645"/>
      <c r="CE732" s="645"/>
      <c r="CF732" s="645"/>
      <c r="CG732" s="645"/>
      <c r="CH732" s="646"/>
      <c r="CI732" s="636"/>
      <c r="CJ732" s="654"/>
      <c r="CK732" s="654"/>
      <c r="CL732" s="654"/>
      <c r="CM732" s="654"/>
      <c r="CN732" s="654"/>
      <c r="CO732" s="654"/>
      <c r="CP732" s="654"/>
      <c r="CQ732" s="654"/>
      <c r="CR732" s="654"/>
      <c r="CS732" s="654"/>
      <c r="CT732" s="654"/>
      <c r="CU732" s="654"/>
      <c r="CV732" s="654"/>
      <c r="CW732" s="654"/>
      <c r="CX732" s="654"/>
      <c r="CY732" s="654"/>
      <c r="CZ732" s="655"/>
      <c r="DA732" s="214"/>
    </row>
    <row r="733" spans="1:105" s="16" customFormat="1" ht="15" hidden="1" customHeight="1" x14ac:dyDescent="0.3">
      <c r="A733" s="630"/>
      <c r="B733" s="631"/>
      <c r="C733" s="631"/>
      <c r="D733" s="631"/>
      <c r="E733" s="631"/>
      <c r="F733" s="631"/>
      <c r="G733" s="632"/>
      <c r="H733" s="651"/>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3"/>
      <c r="AU733" s="475"/>
      <c r="AV733" s="476"/>
      <c r="AW733" s="476"/>
      <c r="AX733" s="476"/>
      <c r="AY733" s="476"/>
      <c r="AZ733" s="476"/>
      <c r="BA733" s="476"/>
      <c r="BB733" s="477"/>
      <c r="BC733" s="544"/>
      <c r="BD733" s="545"/>
      <c r="BE733" s="545"/>
      <c r="BF733" s="545"/>
      <c r="BG733" s="545"/>
      <c r="BH733" s="545"/>
      <c r="BI733" s="545"/>
      <c r="BJ733" s="545"/>
      <c r="BK733" s="545"/>
      <c r="BL733" s="545"/>
      <c r="BM733" s="545"/>
      <c r="BN733" s="545"/>
      <c r="BO733" s="545"/>
      <c r="BP733" s="545"/>
      <c r="BQ733" s="545"/>
      <c r="BR733" s="546"/>
      <c r="BS733" s="644"/>
      <c r="BT733" s="645"/>
      <c r="BU733" s="645"/>
      <c r="BV733" s="645"/>
      <c r="BW733" s="645"/>
      <c r="BX733" s="645"/>
      <c r="BY733" s="645"/>
      <c r="BZ733" s="645"/>
      <c r="CA733" s="645"/>
      <c r="CB733" s="645"/>
      <c r="CC733" s="645"/>
      <c r="CD733" s="645"/>
      <c r="CE733" s="645"/>
      <c r="CF733" s="645"/>
      <c r="CG733" s="645"/>
      <c r="CH733" s="646"/>
      <c r="CI733" s="627"/>
      <c r="CJ733" s="628"/>
      <c r="CK733" s="628"/>
      <c r="CL733" s="628"/>
      <c r="CM733" s="628"/>
      <c r="CN733" s="628"/>
      <c r="CO733" s="628"/>
      <c r="CP733" s="628"/>
      <c r="CQ733" s="628"/>
      <c r="CR733" s="628"/>
      <c r="CS733" s="628"/>
      <c r="CT733" s="628"/>
      <c r="CU733" s="628"/>
      <c r="CV733" s="628"/>
      <c r="CW733" s="628"/>
      <c r="CX733" s="628"/>
      <c r="CY733" s="628"/>
      <c r="CZ733" s="629"/>
      <c r="DA733" s="214"/>
    </row>
    <row r="734" spans="1:105" s="16" customFormat="1" ht="15" hidden="1" customHeight="1" x14ac:dyDescent="0.3">
      <c r="A734" s="630"/>
      <c r="B734" s="631"/>
      <c r="C734" s="631"/>
      <c r="D734" s="631"/>
      <c r="E734" s="631"/>
      <c r="F734" s="631"/>
      <c r="G734" s="632"/>
      <c r="H734" s="651" t="s">
        <v>728</v>
      </c>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3"/>
      <c r="AU734" s="541" t="s">
        <v>690</v>
      </c>
      <c r="AV734" s="542"/>
      <c r="AW734" s="542"/>
      <c r="AX734" s="542"/>
      <c r="AY734" s="542"/>
      <c r="AZ734" s="542"/>
      <c r="BA734" s="542"/>
      <c r="BB734" s="543"/>
      <c r="BC734" s="647">
        <f>5+15+30+464+18+9+5+90+100+25+10+4+4+2+15+45</f>
        <v>841</v>
      </c>
      <c r="BD734" s="637"/>
      <c r="BE734" s="637"/>
      <c r="BF734" s="637"/>
      <c r="BG734" s="637"/>
      <c r="BH734" s="637"/>
      <c r="BI734" s="637"/>
      <c r="BJ734" s="637"/>
      <c r="BK734" s="637"/>
      <c r="BL734" s="637"/>
      <c r="BM734" s="637"/>
      <c r="BN734" s="637"/>
      <c r="BO734" s="637"/>
      <c r="BP734" s="637"/>
      <c r="BQ734" s="637"/>
      <c r="BR734" s="638"/>
      <c r="BS734" s="644">
        <f t="shared" si="13"/>
        <v>0</v>
      </c>
      <c r="BT734" s="645"/>
      <c r="BU734" s="645"/>
      <c r="BV734" s="645"/>
      <c r="BW734" s="645"/>
      <c r="BX734" s="645"/>
      <c r="BY734" s="645"/>
      <c r="BZ734" s="645"/>
      <c r="CA734" s="645"/>
      <c r="CB734" s="645"/>
      <c r="CC734" s="645"/>
      <c r="CD734" s="645"/>
      <c r="CE734" s="645"/>
      <c r="CF734" s="645"/>
      <c r="CG734" s="645"/>
      <c r="CH734" s="646"/>
      <c r="CI734" s="775"/>
      <c r="CJ734" s="776"/>
      <c r="CK734" s="776"/>
      <c r="CL734" s="776"/>
      <c r="CM734" s="776"/>
      <c r="CN734" s="776"/>
      <c r="CO734" s="776"/>
      <c r="CP734" s="776"/>
      <c r="CQ734" s="776"/>
      <c r="CR734" s="776"/>
      <c r="CS734" s="776"/>
      <c r="CT734" s="776"/>
      <c r="CU734" s="776"/>
      <c r="CV734" s="776"/>
      <c r="CW734" s="776"/>
      <c r="CX734" s="776"/>
      <c r="CY734" s="776"/>
      <c r="CZ734" s="777"/>
      <c r="DA734" s="214"/>
    </row>
    <row r="735" spans="1:105" s="16" customFormat="1" ht="15" customHeight="1" x14ac:dyDescent="0.3">
      <c r="A735" s="630"/>
      <c r="B735" s="631"/>
      <c r="C735" s="631"/>
      <c r="D735" s="631"/>
      <c r="E735" s="631"/>
      <c r="F735" s="631"/>
      <c r="G735" s="632"/>
      <c r="H735" s="584"/>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6"/>
      <c r="AU735" s="475"/>
      <c r="AV735" s="476"/>
      <c r="AW735" s="476"/>
      <c r="AX735" s="476"/>
      <c r="AY735" s="476"/>
      <c r="AZ735" s="476"/>
      <c r="BA735" s="476"/>
      <c r="BB735" s="477"/>
      <c r="BC735" s="544"/>
      <c r="BD735" s="545"/>
      <c r="BE735" s="545"/>
      <c r="BF735" s="545"/>
      <c r="BG735" s="545"/>
      <c r="BH735" s="545"/>
      <c r="BI735" s="545"/>
      <c r="BJ735" s="545"/>
      <c r="BK735" s="545"/>
      <c r="BL735" s="545"/>
      <c r="BM735" s="545"/>
      <c r="BN735" s="545"/>
      <c r="BO735" s="545"/>
      <c r="BP735" s="545"/>
      <c r="BQ735" s="545"/>
      <c r="BR735" s="546"/>
      <c r="BS735" s="644"/>
      <c r="BT735" s="645"/>
      <c r="BU735" s="645"/>
      <c r="BV735" s="645"/>
      <c r="BW735" s="645"/>
      <c r="BX735" s="645"/>
      <c r="BY735" s="645"/>
      <c r="BZ735" s="645"/>
      <c r="CA735" s="645"/>
      <c r="CB735" s="645"/>
      <c r="CC735" s="645"/>
      <c r="CD735" s="645"/>
      <c r="CE735" s="645"/>
      <c r="CF735" s="645"/>
      <c r="CG735" s="645"/>
      <c r="CH735" s="646"/>
      <c r="CI735" s="627"/>
      <c r="CJ735" s="628"/>
      <c r="CK735" s="628"/>
      <c r="CL735" s="628"/>
      <c r="CM735" s="628"/>
      <c r="CN735" s="628"/>
      <c r="CO735" s="628"/>
      <c r="CP735" s="628"/>
      <c r="CQ735" s="628"/>
      <c r="CR735" s="628"/>
      <c r="CS735" s="628"/>
      <c r="CT735" s="628"/>
      <c r="CU735" s="628"/>
      <c r="CV735" s="628"/>
      <c r="CW735" s="628"/>
      <c r="CX735" s="628"/>
      <c r="CY735" s="628"/>
      <c r="CZ735" s="629"/>
      <c r="DA735" s="214"/>
    </row>
    <row r="736" spans="1:105" s="16" customFormat="1" ht="15" customHeight="1" x14ac:dyDescent="0.3">
      <c r="A736" s="642" t="s">
        <v>292</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2"/>
      <c r="AY736" s="642"/>
      <c r="AZ736" s="642"/>
      <c r="BA736" s="642"/>
      <c r="BB736" s="642"/>
      <c r="BC736" s="582" t="s">
        <v>4</v>
      </c>
      <c r="BD736" s="582"/>
      <c r="BE736" s="582"/>
      <c r="BF736" s="582"/>
      <c r="BG736" s="582"/>
      <c r="BH736" s="582"/>
      <c r="BI736" s="582"/>
      <c r="BJ736" s="582"/>
      <c r="BK736" s="582"/>
      <c r="BL736" s="582"/>
      <c r="BM736" s="582"/>
      <c r="BN736" s="582"/>
      <c r="BO736" s="582"/>
      <c r="BP736" s="582"/>
      <c r="BQ736" s="582"/>
      <c r="BR736" s="582"/>
      <c r="BS736" s="582" t="s">
        <v>4</v>
      </c>
      <c r="BT736" s="582"/>
      <c r="BU736" s="582"/>
      <c r="BV736" s="582"/>
      <c r="BW736" s="582"/>
      <c r="BX736" s="582"/>
      <c r="BY736" s="582"/>
      <c r="BZ736" s="582"/>
      <c r="CA736" s="582"/>
      <c r="CB736" s="582"/>
      <c r="CC736" s="582"/>
      <c r="CD736" s="582"/>
      <c r="CE736" s="582"/>
      <c r="CF736" s="582"/>
      <c r="CG736" s="582"/>
      <c r="CH736" s="582"/>
      <c r="CI736" s="611">
        <f>CI659+CI661+CI680+CI682+CI696+CI711+CI714+CI716+CI718+CI720+CI722+CI724+CI726+CI728+CI730+CI732+CI734</f>
        <v>105926.77</v>
      </c>
      <c r="CJ736" s="560"/>
      <c r="CK736" s="560"/>
      <c r="CL736" s="560"/>
      <c r="CM736" s="560"/>
      <c r="CN736" s="560"/>
      <c r="CO736" s="560"/>
      <c r="CP736" s="560"/>
      <c r="CQ736" s="560"/>
      <c r="CR736" s="560"/>
      <c r="CS736" s="560"/>
      <c r="CT736" s="560"/>
      <c r="CU736" s="560"/>
      <c r="CV736" s="560"/>
      <c r="CW736" s="560"/>
      <c r="CX736" s="560"/>
      <c r="CY736" s="560"/>
      <c r="CZ736" s="560"/>
      <c r="DA736" s="214"/>
    </row>
    <row r="737" spans="1:105" s="16" customFormat="1" ht="15" customHeight="1" x14ac:dyDescent="0.3">
      <c r="A737" s="643" t="s">
        <v>634</v>
      </c>
      <c r="B737" s="643"/>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43"/>
      <c r="AL737" s="643"/>
      <c r="AM737" s="643"/>
      <c r="AN737" s="643"/>
      <c r="AO737" s="643"/>
      <c r="AP737" s="643"/>
      <c r="AQ737" s="643"/>
      <c r="AR737" s="643"/>
      <c r="AS737" s="643"/>
      <c r="AT737" s="643"/>
      <c r="AU737" s="643"/>
      <c r="AV737" s="643"/>
      <c r="AW737" s="643"/>
      <c r="AX737" s="643"/>
      <c r="AY737" s="643"/>
      <c r="AZ737" s="643"/>
      <c r="BA737" s="643"/>
      <c r="BB737" s="643"/>
      <c r="BC737" s="643"/>
      <c r="BD737" s="643"/>
      <c r="BE737" s="643"/>
      <c r="BF737" s="643"/>
      <c r="BG737" s="643"/>
      <c r="BH737" s="643"/>
      <c r="BI737" s="643"/>
      <c r="BJ737" s="643"/>
      <c r="BK737" s="643"/>
      <c r="BL737" s="643"/>
      <c r="BM737" s="643"/>
      <c r="BN737" s="643"/>
      <c r="BO737" s="643"/>
      <c r="BP737" s="643"/>
      <c r="BQ737" s="643"/>
      <c r="BR737" s="643"/>
      <c r="BS737" s="643"/>
      <c r="BT737" s="643"/>
      <c r="BU737" s="643"/>
      <c r="BV737" s="643"/>
      <c r="BW737" s="643"/>
      <c r="BX737" s="643"/>
      <c r="BY737" s="643"/>
      <c r="BZ737" s="643"/>
      <c r="CA737" s="643"/>
      <c r="CB737" s="643"/>
      <c r="CC737" s="643"/>
      <c r="CD737" s="643"/>
      <c r="CE737" s="643"/>
      <c r="CF737" s="643"/>
      <c r="CG737" s="643"/>
      <c r="CH737" s="643"/>
      <c r="CI737" s="643"/>
      <c r="CJ737" s="643"/>
      <c r="CK737" s="643"/>
      <c r="CL737" s="643"/>
      <c r="CM737" s="643"/>
      <c r="CN737" s="643"/>
      <c r="CO737" s="643"/>
      <c r="CP737" s="643"/>
      <c r="CQ737" s="643"/>
      <c r="CR737" s="643"/>
      <c r="CS737" s="643"/>
      <c r="CT737" s="643"/>
      <c r="CU737" s="643"/>
      <c r="CV737" s="643"/>
      <c r="CW737" s="643"/>
      <c r="CX737" s="643"/>
      <c r="CY737" s="643"/>
      <c r="CZ737" s="643"/>
      <c r="DA737" s="214"/>
    </row>
    <row r="738" spans="1:105" s="16" customFormat="1" ht="15" customHeight="1" x14ac:dyDescent="0.3">
      <c r="A738" s="630"/>
      <c r="B738" s="631"/>
      <c r="C738" s="631"/>
      <c r="D738" s="631"/>
      <c r="E738" s="631"/>
      <c r="F738" s="631"/>
      <c r="G738" s="632"/>
      <c r="H738" s="651"/>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c r="AI738" s="652"/>
      <c r="AJ738" s="652"/>
      <c r="AK738" s="652"/>
      <c r="AL738" s="652"/>
      <c r="AM738" s="652"/>
      <c r="AN738" s="652"/>
      <c r="AO738" s="652"/>
      <c r="AP738" s="652"/>
      <c r="AQ738" s="652"/>
      <c r="AR738" s="652"/>
      <c r="AS738" s="652"/>
      <c r="AT738" s="653"/>
      <c r="AU738" s="475"/>
      <c r="AV738" s="476"/>
      <c r="AW738" s="476"/>
      <c r="AX738" s="476"/>
      <c r="AY738" s="476"/>
      <c r="AZ738" s="476"/>
      <c r="BA738" s="476"/>
      <c r="BB738" s="477"/>
      <c r="BC738" s="544"/>
      <c r="BD738" s="545"/>
      <c r="BE738" s="545"/>
      <c r="BF738" s="545"/>
      <c r="BG738" s="545"/>
      <c r="BH738" s="545"/>
      <c r="BI738" s="545"/>
      <c r="BJ738" s="545"/>
      <c r="BK738" s="545"/>
      <c r="BL738" s="545"/>
      <c r="BM738" s="545"/>
      <c r="BN738" s="545"/>
      <c r="BO738" s="545"/>
      <c r="BP738" s="545"/>
      <c r="BQ738" s="545"/>
      <c r="BR738" s="546"/>
      <c r="BS738" s="639"/>
      <c r="BT738" s="640"/>
      <c r="BU738" s="640"/>
      <c r="BV738" s="640"/>
      <c r="BW738" s="640"/>
      <c r="BX738" s="640"/>
      <c r="BY738" s="640"/>
      <c r="BZ738" s="640"/>
      <c r="CA738" s="640"/>
      <c r="CB738" s="640"/>
      <c r="CC738" s="640"/>
      <c r="CD738" s="640"/>
      <c r="CE738" s="640"/>
      <c r="CF738" s="640"/>
      <c r="CG738" s="640"/>
      <c r="CH738" s="641"/>
      <c r="CI738" s="627"/>
      <c r="CJ738" s="628"/>
      <c r="CK738" s="628"/>
      <c r="CL738" s="628"/>
      <c r="CM738" s="628"/>
      <c r="CN738" s="628"/>
      <c r="CO738" s="628"/>
      <c r="CP738" s="628"/>
      <c r="CQ738" s="628"/>
      <c r="CR738" s="628"/>
      <c r="CS738" s="628"/>
      <c r="CT738" s="628"/>
      <c r="CU738" s="628"/>
      <c r="CV738" s="628"/>
      <c r="CW738" s="628"/>
      <c r="CX738" s="628"/>
      <c r="CY738" s="628"/>
      <c r="CZ738" s="629"/>
      <c r="DA738" s="214"/>
    </row>
    <row r="739" spans="1:105" s="16" customFormat="1" ht="15" customHeight="1" x14ac:dyDescent="0.3">
      <c r="A739" s="630"/>
      <c r="B739" s="631"/>
      <c r="C739" s="631"/>
      <c r="D739" s="631"/>
      <c r="E739" s="631"/>
      <c r="F739" s="631"/>
      <c r="G739" s="632"/>
      <c r="H739" s="651" t="s">
        <v>689</v>
      </c>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c r="AI739" s="652"/>
      <c r="AJ739" s="652"/>
      <c r="AK739" s="652"/>
      <c r="AL739" s="652"/>
      <c r="AM739" s="652"/>
      <c r="AN739" s="652"/>
      <c r="AO739" s="652"/>
      <c r="AP739" s="652"/>
      <c r="AQ739" s="652"/>
      <c r="AR739" s="652"/>
      <c r="AS739" s="652"/>
      <c r="AT739" s="653"/>
      <c r="AU739" s="541"/>
      <c r="AV739" s="542"/>
      <c r="AW739" s="542"/>
      <c r="AX739" s="542"/>
      <c r="AY739" s="542"/>
      <c r="AZ739" s="542"/>
      <c r="BA739" s="542"/>
      <c r="BB739" s="543"/>
      <c r="BC739" s="647">
        <v>1000</v>
      </c>
      <c r="BD739" s="637"/>
      <c r="BE739" s="637"/>
      <c r="BF739" s="637"/>
      <c r="BG739" s="637"/>
      <c r="BH739" s="637"/>
      <c r="BI739" s="637"/>
      <c r="BJ739" s="637"/>
      <c r="BK739" s="637"/>
      <c r="BL739" s="637"/>
      <c r="BM739" s="637"/>
      <c r="BN739" s="637"/>
      <c r="BO739" s="637"/>
      <c r="BP739" s="637"/>
      <c r="BQ739" s="637"/>
      <c r="BR739" s="638"/>
      <c r="BS739" s="644">
        <f>CI739/BC739</f>
        <v>20</v>
      </c>
      <c r="BT739" s="645"/>
      <c r="BU739" s="645"/>
      <c r="BV739" s="645"/>
      <c r="BW739" s="645"/>
      <c r="BX739" s="645"/>
      <c r="BY739" s="645"/>
      <c r="BZ739" s="645"/>
      <c r="CA739" s="645"/>
      <c r="CB739" s="645"/>
      <c r="CC739" s="645"/>
      <c r="CD739" s="645"/>
      <c r="CE739" s="645"/>
      <c r="CF739" s="645"/>
      <c r="CG739" s="645"/>
      <c r="CH739" s="646"/>
      <c r="CI739" s="636">
        <v>20000</v>
      </c>
      <c r="CJ739" s="654"/>
      <c r="CK739" s="654"/>
      <c r="CL739" s="654"/>
      <c r="CM739" s="654"/>
      <c r="CN739" s="654"/>
      <c r="CO739" s="654"/>
      <c r="CP739" s="654"/>
      <c r="CQ739" s="654"/>
      <c r="CR739" s="654"/>
      <c r="CS739" s="654"/>
      <c r="CT739" s="654"/>
      <c r="CU739" s="654"/>
      <c r="CV739" s="654"/>
      <c r="CW739" s="654"/>
      <c r="CX739" s="654"/>
      <c r="CY739" s="654"/>
      <c r="CZ739" s="655"/>
      <c r="DA739" s="214"/>
    </row>
    <row r="740" spans="1:105" s="16" customFormat="1" ht="15" hidden="1" customHeight="1" x14ac:dyDescent="0.3">
      <c r="A740" s="630" t="s">
        <v>441</v>
      </c>
      <c r="B740" s="631"/>
      <c r="C740" s="631"/>
      <c r="D740" s="631"/>
      <c r="E740" s="631"/>
      <c r="F740" s="631"/>
      <c r="G740" s="632"/>
      <c r="H740" s="584" t="s">
        <v>729</v>
      </c>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5"/>
      <c r="AL740" s="585"/>
      <c r="AM740" s="585"/>
      <c r="AN740" s="585"/>
      <c r="AO740" s="585"/>
      <c r="AP740" s="585"/>
      <c r="AQ740" s="585"/>
      <c r="AR740" s="585"/>
      <c r="AS740" s="585"/>
      <c r="AT740" s="586"/>
      <c r="AU740" s="475" t="s">
        <v>730</v>
      </c>
      <c r="AV740" s="476"/>
      <c r="AW740" s="476"/>
      <c r="AX740" s="476"/>
      <c r="AY740" s="476"/>
      <c r="AZ740" s="476"/>
      <c r="BA740" s="476"/>
      <c r="BB740" s="477"/>
      <c r="BC740" s="544">
        <v>15</v>
      </c>
      <c r="BD740" s="545"/>
      <c r="BE740" s="545"/>
      <c r="BF740" s="545"/>
      <c r="BG740" s="545"/>
      <c r="BH740" s="545"/>
      <c r="BI740" s="545"/>
      <c r="BJ740" s="545"/>
      <c r="BK740" s="545"/>
      <c r="BL740" s="545"/>
      <c r="BM740" s="545"/>
      <c r="BN740" s="545"/>
      <c r="BO740" s="545"/>
      <c r="BP740" s="545"/>
      <c r="BQ740" s="545"/>
      <c r="BR740" s="546"/>
      <c r="BS740" s="639">
        <v>33.619999999999997</v>
      </c>
      <c r="BT740" s="640"/>
      <c r="BU740" s="640"/>
      <c r="BV740" s="640"/>
      <c r="BW740" s="640"/>
      <c r="BX740" s="640"/>
      <c r="BY740" s="640"/>
      <c r="BZ740" s="640"/>
      <c r="CA740" s="640"/>
      <c r="CB740" s="640"/>
      <c r="CC740" s="640"/>
      <c r="CD740" s="640"/>
      <c r="CE740" s="640"/>
      <c r="CF740" s="640"/>
      <c r="CG740" s="640"/>
      <c r="CH740" s="641"/>
      <c r="CI740" s="627">
        <f>BC740*BS740+62.67</f>
        <v>566.96999999999991</v>
      </c>
      <c r="CJ740" s="628"/>
      <c r="CK740" s="628"/>
      <c r="CL740" s="628"/>
      <c r="CM740" s="628"/>
      <c r="CN740" s="628"/>
      <c r="CO740" s="628"/>
      <c r="CP740" s="628"/>
      <c r="CQ740" s="628"/>
      <c r="CR740" s="628"/>
      <c r="CS740" s="628"/>
      <c r="CT740" s="628"/>
      <c r="CU740" s="628"/>
      <c r="CV740" s="628"/>
      <c r="CW740" s="628"/>
      <c r="CX740" s="628"/>
      <c r="CY740" s="628"/>
      <c r="CZ740" s="629"/>
      <c r="DA740" s="214"/>
    </row>
    <row r="741" spans="1:105" s="16" customFormat="1" ht="15" hidden="1" customHeight="1" x14ac:dyDescent="0.3">
      <c r="A741" s="630" t="s">
        <v>444</v>
      </c>
      <c r="B741" s="631"/>
      <c r="C741" s="631"/>
      <c r="D741" s="631"/>
      <c r="E741" s="631"/>
      <c r="F741" s="631"/>
      <c r="G741" s="632"/>
      <c r="H741" s="584" t="s">
        <v>731</v>
      </c>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5"/>
      <c r="AL741" s="585"/>
      <c r="AM741" s="585"/>
      <c r="AN741" s="585"/>
      <c r="AO741" s="585"/>
      <c r="AP741" s="585"/>
      <c r="AQ741" s="585"/>
      <c r="AR741" s="585"/>
      <c r="AS741" s="585"/>
      <c r="AT741" s="586"/>
      <c r="AU741" s="475" t="s">
        <v>730</v>
      </c>
      <c r="AV741" s="476"/>
      <c r="AW741" s="476"/>
      <c r="AX741" s="476"/>
      <c r="AY741" s="476"/>
      <c r="AZ741" s="476"/>
      <c r="BA741" s="476"/>
      <c r="BB741" s="477"/>
      <c r="BC741" s="544">
        <v>5</v>
      </c>
      <c r="BD741" s="545"/>
      <c r="BE741" s="545"/>
      <c r="BF741" s="545"/>
      <c r="BG741" s="545"/>
      <c r="BH741" s="545"/>
      <c r="BI741" s="545"/>
      <c r="BJ741" s="545"/>
      <c r="BK741" s="545"/>
      <c r="BL741" s="545"/>
      <c r="BM741" s="545"/>
      <c r="BN741" s="545"/>
      <c r="BO741" s="545"/>
      <c r="BP741" s="545"/>
      <c r="BQ741" s="545"/>
      <c r="BR741" s="546"/>
      <c r="BS741" s="639">
        <v>6.35</v>
      </c>
      <c r="BT741" s="640"/>
      <c r="BU741" s="640"/>
      <c r="BV741" s="640"/>
      <c r="BW741" s="640"/>
      <c r="BX741" s="640"/>
      <c r="BY741" s="640"/>
      <c r="BZ741" s="640"/>
      <c r="CA741" s="640"/>
      <c r="CB741" s="640"/>
      <c r="CC741" s="640"/>
      <c r="CD741" s="640"/>
      <c r="CE741" s="640"/>
      <c r="CF741" s="640"/>
      <c r="CG741" s="640"/>
      <c r="CH741" s="641"/>
      <c r="CI741" s="627">
        <f t="shared" ref="CI741:CI785" si="14">BC741*BS741</f>
        <v>31.75</v>
      </c>
      <c r="CJ741" s="628"/>
      <c r="CK741" s="628"/>
      <c r="CL741" s="628"/>
      <c r="CM741" s="628"/>
      <c r="CN741" s="628"/>
      <c r="CO741" s="628"/>
      <c r="CP741" s="628"/>
      <c r="CQ741" s="628"/>
      <c r="CR741" s="628"/>
      <c r="CS741" s="628"/>
      <c r="CT741" s="628"/>
      <c r="CU741" s="628"/>
      <c r="CV741" s="628"/>
      <c r="CW741" s="628"/>
      <c r="CX741" s="628"/>
      <c r="CY741" s="628"/>
      <c r="CZ741" s="629"/>
      <c r="DA741" s="214"/>
    </row>
    <row r="742" spans="1:105" s="16" customFormat="1" ht="15" hidden="1" customHeight="1" x14ac:dyDescent="0.3">
      <c r="A742" s="630" t="s">
        <v>446</v>
      </c>
      <c r="B742" s="631"/>
      <c r="C742" s="631"/>
      <c r="D742" s="631"/>
      <c r="E742" s="631"/>
      <c r="F742" s="631"/>
      <c r="G742" s="632"/>
      <c r="H742" s="584" t="s">
        <v>732</v>
      </c>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5"/>
      <c r="AL742" s="585"/>
      <c r="AM742" s="585"/>
      <c r="AN742" s="585"/>
      <c r="AO742" s="585"/>
      <c r="AP742" s="585"/>
      <c r="AQ742" s="585"/>
      <c r="AR742" s="585"/>
      <c r="AS742" s="585"/>
      <c r="AT742" s="586"/>
      <c r="AU742" s="475" t="s">
        <v>690</v>
      </c>
      <c r="AV742" s="476"/>
      <c r="AW742" s="476"/>
      <c r="AX742" s="476"/>
      <c r="AY742" s="476"/>
      <c r="AZ742" s="476"/>
      <c r="BA742" s="476"/>
      <c r="BB742" s="477"/>
      <c r="BC742" s="544">
        <v>40</v>
      </c>
      <c r="BD742" s="545"/>
      <c r="BE742" s="545"/>
      <c r="BF742" s="545"/>
      <c r="BG742" s="545"/>
      <c r="BH742" s="545"/>
      <c r="BI742" s="545"/>
      <c r="BJ742" s="545"/>
      <c r="BK742" s="545"/>
      <c r="BL742" s="545"/>
      <c r="BM742" s="545"/>
      <c r="BN742" s="545"/>
      <c r="BO742" s="545"/>
      <c r="BP742" s="545"/>
      <c r="BQ742" s="545"/>
      <c r="BR742" s="546"/>
      <c r="BS742" s="639">
        <v>6.6550000000000002</v>
      </c>
      <c r="BT742" s="640"/>
      <c r="BU742" s="640"/>
      <c r="BV742" s="640"/>
      <c r="BW742" s="640"/>
      <c r="BX742" s="640"/>
      <c r="BY742" s="640"/>
      <c r="BZ742" s="640"/>
      <c r="CA742" s="640"/>
      <c r="CB742" s="640"/>
      <c r="CC742" s="640"/>
      <c r="CD742" s="640"/>
      <c r="CE742" s="640"/>
      <c r="CF742" s="640"/>
      <c r="CG742" s="640"/>
      <c r="CH742" s="641"/>
      <c r="CI742" s="627">
        <f t="shared" si="14"/>
        <v>266.2</v>
      </c>
      <c r="CJ742" s="628"/>
      <c r="CK742" s="628"/>
      <c r="CL742" s="628"/>
      <c r="CM742" s="628"/>
      <c r="CN742" s="628"/>
      <c r="CO742" s="628"/>
      <c r="CP742" s="628"/>
      <c r="CQ742" s="628"/>
      <c r="CR742" s="628"/>
      <c r="CS742" s="628"/>
      <c r="CT742" s="628"/>
      <c r="CU742" s="628"/>
      <c r="CV742" s="628"/>
      <c r="CW742" s="628"/>
      <c r="CX742" s="628"/>
      <c r="CY742" s="628"/>
      <c r="CZ742" s="629"/>
      <c r="DA742" s="214"/>
    </row>
    <row r="743" spans="1:105" s="16" customFormat="1" ht="15" hidden="1" customHeight="1" x14ac:dyDescent="0.3">
      <c r="A743" s="630" t="s">
        <v>551</v>
      </c>
      <c r="B743" s="631"/>
      <c r="C743" s="631"/>
      <c r="D743" s="631"/>
      <c r="E743" s="631"/>
      <c r="F743" s="631"/>
      <c r="G743" s="632"/>
      <c r="H743" s="584" t="s">
        <v>733</v>
      </c>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5"/>
      <c r="AL743" s="585"/>
      <c r="AM743" s="585"/>
      <c r="AN743" s="585"/>
      <c r="AO743" s="585"/>
      <c r="AP743" s="585"/>
      <c r="AQ743" s="585"/>
      <c r="AR743" s="585"/>
      <c r="AS743" s="585"/>
      <c r="AT743" s="586"/>
      <c r="AU743" s="475" t="s">
        <v>734</v>
      </c>
      <c r="AV743" s="476"/>
      <c r="AW743" s="476"/>
      <c r="AX743" s="476"/>
      <c r="AY743" s="476"/>
      <c r="AZ743" s="476"/>
      <c r="BA743" s="476"/>
      <c r="BB743" s="477"/>
      <c r="BC743" s="544">
        <v>30</v>
      </c>
      <c r="BD743" s="545"/>
      <c r="BE743" s="545"/>
      <c r="BF743" s="545"/>
      <c r="BG743" s="545"/>
      <c r="BH743" s="545"/>
      <c r="BI743" s="545"/>
      <c r="BJ743" s="545"/>
      <c r="BK743" s="545"/>
      <c r="BL743" s="545"/>
      <c r="BM743" s="545"/>
      <c r="BN743" s="545"/>
      <c r="BO743" s="545"/>
      <c r="BP743" s="545"/>
      <c r="BQ743" s="545"/>
      <c r="BR743" s="546"/>
      <c r="BS743" s="639">
        <v>9.6</v>
      </c>
      <c r="BT743" s="640"/>
      <c r="BU743" s="640"/>
      <c r="BV743" s="640"/>
      <c r="BW743" s="640"/>
      <c r="BX743" s="640"/>
      <c r="BY743" s="640"/>
      <c r="BZ743" s="640"/>
      <c r="CA743" s="640"/>
      <c r="CB743" s="640"/>
      <c r="CC743" s="640"/>
      <c r="CD743" s="640"/>
      <c r="CE743" s="640"/>
      <c r="CF743" s="640"/>
      <c r="CG743" s="640"/>
      <c r="CH743" s="641"/>
      <c r="CI743" s="627">
        <f t="shared" si="14"/>
        <v>288</v>
      </c>
      <c r="CJ743" s="628"/>
      <c r="CK743" s="628"/>
      <c r="CL743" s="628"/>
      <c r="CM743" s="628"/>
      <c r="CN743" s="628"/>
      <c r="CO743" s="628"/>
      <c r="CP743" s="628"/>
      <c r="CQ743" s="628"/>
      <c r="CR743" s="628"/>
      <c r="CS743" s="628"/>
      <c r="CT743" s="628"/>
      <c r="CU743" s="628"/>
      <c r="CV743" s="628"/>
      <c r="CW743" s="628"/>
      <c r="CX743" s="628"/>
      <c r="CY743" s="628"/>
      <c r="CZ743" s="629"/>
      <c r="DA743" s="214"/>
    </row>
    <row r="744" spans="1:105" s="16" customFormat="1" ht="15" hidden="1" customHeight="1" x14ac:dyDescent="0.3">
      <c r="A744" s="630" t="s">
        <v>599</v>
      </c>
      <c r="B744" s="631"/>
      <c r="C744" s="631"/>
      <c r="D744" s="631"/>
      <c r="E744" s="631"/>
      <c r="F744" s="631"/>
      <c r="G744" s="632"/>
      <c r="H744" s="584" t="s">
        <v>735</v>
      </c>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5"/>
      <c r="AL744" s="585"/>
      <c r="AM744" s="585"/>
      <c r="AN744" s="585"/>
      <c r="AO744" s="585"/>
      <c r="AP744" s="585"/>
      <c r="AQ744" s="585"/>
      <c r="AR744" s="585"/>
      <c r="AS744" s="585"/>
      <c r="AT744" s="586"/>
      <c r="AU744" s="475" t="s">
        <v>734</v>
      </c>
      <c r="AV744" s="476"/>
      <c r="AW744" s="476"/>
      <c r="AX744" s="476"/>
      <c r="AY744" s="476"/>
      <c r="AZ744" s="476"/>
      <c r="BA744" s="476"/>
      <c r="BB744" s="477"/>
      <c r="BC744" s="544">
        <v>5</v>
      </c>
      <c r="BD744" s="545"/>
      <c r="BE744" s="545"/>
      <c r="BF744" s="545"/>
      <c r="BG744" s="545"/>
      <c r="BH744" s="545"/>
      <c r="BI744" s="545"/>
      <c r="BJ744" s="545"/>
      <c r="BK744" s="545"/>
      <c r="BL744" s="545"/>
      <c r="BM744" s="545"/>
      <c r="BN744" s="545"/>
      <c r="BO744" s="545"/>
      <c r="BP744" s="545"/>
      <c r="BQ744" s="545"/>
      <c r="BR744" s="546"/>
      <c r="BS744" s="639">
        <v>8.65</v>
      </c>
      <c r="BT744" s="640"/>
      <c r="BU744" s="640"/>
      <c r="BV744" s="640"/>
      <c r="BW744" s="640"/>
      <c r="BX744" s="640"/>
      <c r="BY744" s="640"/>
      <c r="BZ744" s="640"/>
      <c r="CA744" s="640"/>
      <c r="CB744" s="640"/>
      <c r="CC744" s="640"/>
      <c r="CD744" s="640"/>
      <c r="CE744" s="640"/>
      <c r="CF744" s="640"/>
      <c r="CG744" s="640"/>
      <c r="CH744" s="641"/>
      <c r="CI744" s="627">
        <f t="shared" si="14"/>
        <v>43.25</v>
      </c>
      <c r="CJ744" s="628"/>
      <c r="CK744" s="628"/>
      <c r="CL744" s="628"/>
      <c r="CM744" s="628"/>
      <c r="CN744" s="628"/>
      <c r="CO744" s="628"/>
      <c r="CP744" s="628"/>
      <c r="CQ744" s="628"/>
      <c r="CR744" s="628"/>
      <c r="CS744" s="628"/>
      <c r="CT744" s="628"/>
      <c r="CU744" s="628"/>
      <c r="CV744" s="628"/>
      <c r="CW744" s="628"/>
      <c r="CX744" s="628"/>
      <c r="CY744" s="628"/>
      <c r="CZ744" s="629"/>
      <c r="DA744" s="214"/>
    </row>
    <row r="745" spans="1:105" s="16" customFormat="1" ht="15" hidden="1" customHeight="1" x14ac:dyDescent="0.3">
      <c r="A745" s="630" t="s">
        <v>642</v>
      </c>
      <c r="B745" s="631"/>
      <c r="C745" s="631"/>
      <c r="D745" s="631"/>
      <c r="E745" s="631"/>
      <c r="F745" s="631"/>
      <c r="G745" s="632"/>
      <c r="H745" s="584" t="s">
        <v>736</v>
      </c>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5"/>
      <c r="AL745" s="585"/>
      <c r="AM745" s="585"/>
      <c r="AN745" s="585"/>
      <c r="AO745" s="585"/>
      <c r="AP745" s="585"/>
      <c r="AQ745" s="585"/>
      <c r="AR745" s="585"/>
      <c r="AS745" s="585"/>
      <c r="AT745" s="586"/>
      <c r="AU745" s="475" t="s">
        <v>730</v>
      </c>
      <c r="AV745" s="476"/>
      <c r="AW745" s="476"/>
      <c r="AX745" s="476"/>
      <c r="AY745" s="476"/>
      <c r="AZ745" s="476"/>
      <c r="BA745" s="476"/>
      <c r="BB745" s="477"/>
      <c r="BC745" s="544">
        <v>5</v>
      </c>
      <c r="BD745" s="545"/>
      <c r="BE745" s="545"/>
      <c r="BF745" s="545"/>
      <c r="BG745" s="545"/>
      <c r="BH745" s="545"/>
      <c r="BI745" s="545"/>
      <c r="BJ745" s="545"/>
      <c r="BK745" s="545"/>
      <c r="BL745" s="545"/>
      <c r="BM745" s="545"/>
      <c r="BN745" s="545"/>
      <c r="BO745" s="545"/>
      <c r="BP745" s="545"/>
      <c r="BQ745" s="545"/>
      <c r="BR745" s="546"/>
      <c r="BS745" s="639">
        <v>23</v>
      </c>
      <c r="BT745" s="640"/>
      <c r="BU745" s="640"/>
      <c r="BV745" s="640"/>
      <c r="BW745" s="640"/>
      <c r="BX745" s="640"/>
      <c r="BY745" s="640"/>
      <c r="BZ745" s="640"/>
      <c r="CA745" s="640"/>
      <c r="CB745" s="640"/>
      <c r="CC745" s="640"/>
      <c r="CD745" s="640"/>
      <c r="CE745" s="640"/>
      <c r="CF745" s="640"/>
      <c r="CG745" s="640"/>
      <c r="CH745" s="641"/>
      <c r="CI745" s="627">
        <f t="shared" si="14"/>
        <v>115</v>
      </c>
      <c r="CJ745" s="628"/>
      <c r="CK745" s="628"/>
      <c r="CL745" s="628"/>
      <c r="CM745" s="628"/>
      <c r="CN745" s="628"/>
      <c r="CO745" s="628"/>
      <c r="CP745" s="628"/>
      <c r="CQ745" s="628"/>
      <c r="CR745" s="628"/>
      <c r="CS745" s="628"/>
      <c r="CT745" s="628"/>
      <c r="CU745" s="628"/>
      <c r="CV745" s="628"/>
      <c r="CW745" s="628"/>
      <c r="CX745" s="628"/>
      <c r="CY745" s="628"/>
      <c r="CZ745" s="629"/>
      <c r="DA745" s="214"/>
    </row>
    <row r="746" spans="1:105" s="16" customFormat="1" ht="15" hidden="1" customHeight="1" x14ac:dyDescent="0.3">
      <c r="A746" s="630" t="s">
        <v>648</v>
      </c>
      <c r="B746" s="631"/>
      <c r="C746" s="631"/>
      <c r="D746" s="631"/>
      <c r="E746" s="631"/>
      <c r="F746" s="631"/>
      <c r="G746" s="632"/>
      <c r="H746" s="584" t="s">
        <v>737</v>
      </c>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5"/>
      <c r="AL746" s="585"/>
      <c r="AM746" s="585"/>
      <c r="AN746" s="585"/>
      <c r="AO746" s="585"/>
      <c r="AP746" s="585"/>
      <c r="AQ746" s="585"/>
      <c r="AR746" s="585"/>
      <c r="AS746" s="585"/>
      <c r="AT746" s="586"/>
      <c r="AU746" s="475" t="s">
        <v>730</v>
      </c>
      <c r="AV746" s="476"/>
      <c r="AW746" s="476"/>
      <c r="AX746" s="476"/>
      <c r="AY746" s="476"/>
      <c r="AZ746" s="476"/>
      <c r="BA746" s="476"/>
      <c r="BB746" s="477"/>
      <c r="BC746" s="544">
        <v>2</v>
      </c>
      <c r="BD746" s="545"/>
      <c r="BE746" s="545"/>
      <c r="BF746" s="545"/>
      <c r="BG746" s="545"/>
      <c r="BH746" s="545"/>
      <c r="BI746" s="545"/>
      <c r="BJ746" s="545"/>
      <c r="BK746" s="545"/>
      <c r="BL746" s="545"/>
      <c r="BM746" s="545"/>
      <c r="BN746" s="545"/>
      <c r="BO746" s="545"/>
      <c r="BP746" s="545"/>
      <c r="BQ746" s="545"/>
      <c r="BR746" s="546"/>
      <c r="BS746" s="639">
        <v>250</v>
      </c>
      <c r="BT746" s="640"/>
      <c r="BU746" s="640"/>
      <c r="BV746" s="640"/>
      <c r="BW746" s="640"/>
      <c r="BX746" s="640"/>
      <c r="BY746" s="640"/>
      <c r="BZ746" s="640"/>
      <c r="CA746" s="640"/>
      <c r="CB746" s="640"/>
      <c r="CC746" s="640"/>
      <c r="CD746" s="640"/>
      <c r="CE746" s="640"/>
      <c r="CF746" s="640"/>
      <c r="CG746" s="640"/>
      <c r="CH746" s="641"/>
      <c r="CI746" s="627">
        <f t="shared" si="14"/>
        <v>500</v>
      </c>
      <c r="CJ746" s="628"/>
      <c r="CK746" s="628"/>
      <c r="CL746" s="628"/>
      <c r="CM746" s="628"/>
      <c r="CN746" s="628"/>
      <c r="CO746" s="628"/>
      <c r="CP746" s="628"/>
      <c r="CQ746" s="628"/>
      <c r="CR746" s="628"/>
      <c r="CS746" s="628"/>
      <c r="CT746" s="628"/>
      <c r="CU746" s="628"/>
      <c r="CV746" s="628"/>
      <c r="CW746" s="628"/>
      <c r="CX746" s="628"/>
      <c r="CY746" s="628"/>
      <c r="CZ746" s="629"/>
      <c r="DA746" s="214"/>
    </row>
    <row r="747" spans="1:105" s="16" customFormat="1" ht="15" hidden="1" customHeight="1" x14ac:dyDescent="0.3">
      <c r="A747" s="630" t="s">
        <v>650</v>
      </c>
      <c r="B747" s="631"/>
      <c r="C747" s="631"/>
      <c r="D747" s="631"/>
      <c r="E747" s="631"/>
      <c r="F747" s="631"/>
      <c r="G747" s="632"/>
      <c r="H747" s="584" t="s">
        <v>738</v>
      </c>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5"/>
      <c r="AL747" s="585"/>
      <c r="AM747" s="585"/>
      <c r="AN747" s="585"/>
      <c r="AO747" s="585"/>
      <c r="AP747" s="585"/>
      <c r="AQ747" s="585"/>
      <c r="AR747" s="585"/>
      <c r="AS747" s="585"/>
      <c r="AT747" s="586"/>
      <c r="AU747" s="475" t="s">
        <v>730</v>
      </c>
      <c r="AV747" s="476"/>
      <c r="AW747" s="476"/>
      <c r="AX747" s="476"/>
      <c r="AY747" s="476"/>
      <c r="AZ747" s="476"/>
      <c r="BA747" s="476"/>
      <c r="BB747" s="477"/>
      <c r="BC747" s="544">
        <v>2</v>
      </c>
      <c r="BD747" s="545"/>
      <c r="BE747" s="545"/>
      <c r="BF747" s="545"/>
      <c r="BG747" s="545"/>
      <c r="BH747" s="545"/>
      <c r="BI747" s="545"/>
      <c r="BJ747" s="545"/>
      <c r="BK747" s="545"/>
      <c r="BL747" s="545"/>
      <c r="BM747" s="545"/>
      <c r="BN747" s="545"/>
      <c r="BO747" s="545"/>
      <c r="BP747" s="545"/>
      <c r="BQ747" s="545"/>
      <c r="BR747" s="546"/>
      <c r="BS747" s="639">
        <v>45.76</v>
      </c>
      <c r="BT747" s="640"/>
      <c r="BU747" s="640"/>
      <c r="BV747" s="640"/>
      <c r="BW747" s="640"/>
      <c r="BX747" s="640"/>
      <c r="BY747" s="640"/>
      <c r="BZ747" s="640"/>
      <c r="CA747" s="640"/>
      <c r="CB747" s="640"/>
      <c r="CC747" s="640"/>
      <c r="CD747" s="640"/>
      <c r="CE747" s="640"/>
      <c r="CF747" s="640"/>
      <c r="CG747" s="640"/>
      <c r="CH747" s="641"/>
      <c r="CI747" s="627">
        <f t="shared" si="14"/>
        <v>91.52</v>
      </c>
      <c r="CJ747" s="628"/>
      <c r="CK747" s="628"/>
      <c r="CL747" s="628"/>
      <c r="CM747" s="628"/>
      <c r="CN747" s="628"/>
      <c r="CO747" s="628"/>
      <c r="CP747" s="628"/>
      <c r="CQ747" s="628"/>
      <c r="CR747" s="628"/>
      <c r="CS747" s="628"/>
      <c r="CT747" s="628"/>
      <c r="CU747" s="628"/>
      <c r="CV747" s="628"/>
      <c r="CW747" s="628"/>
      <c r="CX747" s="628"/>
      <c r="CY747" s="628"/>
      <c r="CZ747" s="629"/>
      <c r="DA747" s="214"/>
    </row>
    <row r="748" spans="1:105" s="16" customFormat="1" ht="15" hidden="1" customHeight="1" x14ac:dyDescent="0.3">
      <c r="A748" s="630" t="s">
        <v>651</v>
      </c>
      <c r="B748" s="631"/>
      <c r="C748" s="631"/>
      <c r="D748" s="631"/>
      <c r="E748" s="631"/>
      <c r="F748" s="631"/>
      <c r="G748" s="632"/>
      <c r="H748" s="584" t="s">
        <v>739</v>
      </c>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5"/>
      <c r="AL748" s="585"/>
      <c r="AM748" s="585"/>
      <c r="AN748" s="585"/>
      <c r="AO748" s="585"/>
      <c r="AP748" s="585"/>
      <c r="AQ748" s="585"/>
      <c r="AR748" s="585"/>
      <c r="AS748" s="585"/>
      <c r="AT748" s="586"/>
      <c r="AU748" s="475" t="s">
        <v>730</v>
      </c>
      <c r="AV748" s="476"/>
      <c r="AW748" s="476"/>
      <c r="AX748" s="476"/>
      <c r="AY748" s="476"/>
      <c r="AZ748" s="476"/>
      <c r="BA748" s="476"/>
      <c r="BB748" s="477"/>
      <c r="BC748" s="544">
        <v>5</v>
      </c>
      <c r="BD748" s="545"/>
      <c r="BE748" s="545"/>
      <c r="BF748" s="545"/>
      <c r="BG748" s="545"/>
      <c r="BH748" s="545"/>
      <c r="BI748" s="545"/>
      <c r="BJ748" s="545"/>
      <c r="BK748" s="545"/>
      <c r="BL748" s="545"/>
      <c r="BM748" s="545"/>
      <c r="BN748" s="545"/>
      <c r="BO748" s="545"/>
      <c r="BP748" s="545"/>
      <c r="BQ748" s="545"/>
      <c r="BR748" s="546"/>
      <c r="BS748" s="639">
        <v>310</v>
      </c>
      <c r="BT748" s="640"/>
      <c r="BU748" s="640"/>
      <c r="BV748" s="640"/>
      <c r="BW748" s="640"/>
      <c r="BX748" s="640"/>
      <c r="BY748" s="640"/>
      <c r="BZ748" s="640"/>
      <c r="CA748" s="640"/>
      <c r="CB748" s="640"/>
      <c r="CC748" s="640"/>
      <c r="CD748" s="640"/>
      <c r="CE748" s="640"/>
      <c r="CF748" s="640"/>
      <c r="CG748" s="640"/>
      <c r="CH748" s="641"/>
      <c r="CI748" s="627">
        <f t="shared" si="14"/>
        <v>1550</v>
      </c>
      <c r="CJ748" s="628"/>
      <c r="CK748" s="628"/>
      <c r="CL748" s="628"/>
      <c r="CM748" s="628"/>
      <c r="CN748" s="628"/>
      <c r="CO748" s="628"/>
      <c r="CP748" s="628"/>
      <c r="CQ748" s="628"/>
      <c r="CR748" s="628"/>
      <c r="CS748" s="628"/>
      <c r="CT748" s="628"/>
      <c r="CU748" s="628"/>
      <c r="CV748" s="628"/>
      <c r="CW748" s="628"/>
      <c r="CX748" s="628"/>
      <c r="CY748" s="628"/>
      <c r="CZ748" s="629"/>
      <c r="DA748" s="214"/>
    </row>
    <row r="749" spans="1:105" s="16" customFormat="1" ht="15" hidden="1" customHeight="1" x14ac:dyDescent="0.3">
      <c r="A749" s="630" t="s">
        <v>653</v>
      </c>
      <c r="B749" s="631"/>
      <c r="C749" s="631"/>
      <c r="D749" s="631"/>
      <c r="E749" s="631"/>
      <c r="F749" s="631"/>
      <c r="G749" s="632"/>
      <c r="H749" s="584" t="s">
        <v>740</v>
      </c>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5"/>
      <c r="AL749" s="585"/>
      <c r="AM749" s="585"/>
      <c r="AN749" s="585"/>
      <c r="AO749" s="585"/>
      <c r="AP749" s="585"/>
      <c r="AQ749" s="585"/>
      <c r="AR749" s="585"/>
      <c r="AS749" s="585"/>
      <c r="AT749" s="586"/>
      <c r="AU749" s="475" t="s">
        <v>730</v>
      </c>
      <c r="AV749" s="476"/>
      <c r="AW749" s="476"/>
      <c r="AX749" s="476"/>
      <c r="AY749" s="476"/>
      <c r="AZ749" s="476"/>
      <c r="BA749" s="476"/>
      <c r="BB749" s="477"/>
      <c r="BC749" s="544">
        <v>1</v>
      </c>
      <c r="BD749" s="545"/>
      <c r="BE749" s="545"/>
      <c r="BF749" s="545"/>
      <c r="BG749" s="545"/>
      <c r="BH749" s="545"/>
      <c r="BI749" s="545"/>
      <c r="BJ749" s="545"/>
      <c r="BK749" s="545"/>
      <c r="BL749" s="545"/>
      <c r="BM749" s="545"/>
      <c r="BN749" s="545"/>
      <c r="BO749" s="545"/>
      <c r="BP749" s="545"/>
      <c r="BQ749" s="545"/>
      <c r="BR749" s="546"/>
      <c r="BS749" s="639">
        <v>27.88</v>
      </c>
      <c r="BT749" s="640"/>
      <c r="BU749" s="640"/>
      <c r="BV749" s="640"/>
      <c r="BW749" s="640"/>
      <c r="BX749" s="640"/>
      <c r="BY749" s="640"/>
      <c r="BZ749" s="640"/>
      <c r="CA749" s="640"/>
      <c r="CB749" s="640"/>
      <c r="CC749" s="640"/>
      <c r="CD749" s="640"/>
      <c r="CE749" s="640"/>
      <c r="CF749" s="640"/>
      <c r="CG749" s="640"/>
      <c r="CH749" s="641"/>
      <c r="CI749" s="627">
        <f t="shared" si="14"/>
        <v>27.88</v>
      </c>
      <c r="CJ749" s="628"/>
      <c r="CK749" s="628"/>
      <c r="CL749" s="628"/>
      <c r="CM749" s="628"/>
      <c r="CN749" s="628"/>
      <c r="CO749" s="628"/>
      <c r="CP749" s="628"/>
      <c r="CQ749" s="628"/>
      <c r="CR749" s="628"/>
      <c r="CS749" s="628"/>
      <c r="CT749" s="628"/>
      <c r="CU749" s="628"/>
      <c r="CV749" s="628"/>
      <c r="CW749" s="628"/>
      <c r="CX749" s="628"/>
      <c r="CY749" s="628"/>
      <c r="CZ749" s="629"/>
      <c r="DA749" s="214"/>
    </row>
    <row r="750" spans="1:105" s="16" customFormat="1" ht="15" hidden="1" customHeight="1" x14ac:dyDescent="0.3">
      <c r="A750" s="630" t="s">
        <v>654</v>
      </c>
      <c r="B750" s="631"/>
      <c r="C750" s="631"/>
      <c r="D750" s="631"/>
      <c r="E750" s="631"/>
      <c r="F750" s="631"/>
      <c r="G750" s="632"/>
      <c r="H750" s="584" t="s">
        <v>741</v>
      </c>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5"/>
      <c r="AL750" s="585"/>
      <c r="AM750" s="585"/>
      <c r="AN750" s="585"/>
      <c r="AO750" s="585"/>
      <c r="AP750" s="585"/>
      <c r="AQ750" s="585"/>
      <c r="AR750" s="585"/>
      <c r="AS750" s="585"/>
      <c r="AT750" s="586"/>
      <c r="AU750" s="475" t="s">
        <v>730</v>
      </c>
      <c r="AV750" s="476"/>
      <c r="AW750" s="476"/>
      <c r="AX750" s="476"/>
      <c r="AY750" s="476"/>
      <c r="AZ750" s="476"/>
      <c r="BA750" s="476"/>
      <c r="BB750" s="477"/>
      <c r="BC750" s="544">
        <v>5</v>
      </c>
      <c r="BD750" s="545"/>
      <c r="BE750" s="545"/>
      <c r="BF750" s="545"/>
      <c r="BG750" s="545"/>
      <c r="BH750" s="545"/>
      <c r="BI750" s="545"/>
      <c r="BJ750" s="545"/>
      <c r="BK750" s="545"/>
      <c r="BL750" s="545"/>
      <c r="BM750" s="545"/>
      <c r="BN750" s="545"/>
      <c r="BO750" s="545"/>
      <c r="BP750" s="545"/>
      <c r="BQ750" s="545"/>
      <c r="BR750" s="546"/>
      <c r="BS750" s="639">
        <v>69.08</v>
      </c>
      <c r="BT750" s="640"/>
      <c r="BU750" s="640"/>
      <c r="BV750" s="640"/>
      <c r="BW750" s="640"/>
      <c r="BX750" s="640"/>
      <c r="BY750" s="640"/>
      <c r="BZ750" s="640"/>
      <c r="CA750" s="640"/>
      <c r="CB750" s="640"/>
      <c r="CC750" s="640"/>
      <c r="CD750" s="640"/>
      <c r="CE750" s="640"/>
      <c r="CF750" s="640"/>
      <c r="CG750" s="640"/>
      <c r="CH750" s="641"/>
      <c r="CI750" s="627">
        <f t="shared" si="14"/>
        <v>345.4</v>
      </c>
      <c r="CJ750" s="628"/>
      <c r="CK750" s="628"/>
      <c r="CL750" s="628"/>
      <c r="CM750" s="628"/>
      <c r="CN750" s="628"/>
      <c r="CO750" s="628"/>
      <c r="CP750" s="628"/>
      <c r="CQ750" s="628"/>
      <c r="CR750" s="628"/>
      <c r="CS750" s="628"/>
      <c r="CT750" s="628"/>
      <c r="CU750" s="628"/>
      <c r="CV750" s="628"/>
      <c r="CW750" s="628"/>
      <c r="CX750" s="628"/>
      <c r="CY750" s="628"/>
      <c r="CZ750" s="629"/>
      <c r="DA750" s="214"/>
    </row>
    <row r="751" spans="1:105" s="16" customFormat="1" ht="15" hidden="1" customHeight="1" x14ac:dyDescent="0.3">
      <c r="A751" s="630" t="s">
        <v>655</v>
      </c>
      <c r="B751" s="631"/>
      <c r="C751" s="631"/>
      <c r="D751" s="631"/>
      <c r="E751" s="631"/>
      <c r="F751" s="631"/>
      <c r="G751" s="632"/>
      <c r="H751" s="584" t="s">
        <v>742</v>
      </c>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5"/>
      <c r="AL751" s="585"/>
      <c r="AM751" s="585"/>
      <c r="AN751" s="585"/>
      <c r="AO751" s="585"/>
      <c r="AP751" s="585"/>
      <c r="AQ751" s="585"/>
      <c r="AR751" s="585"/>
      <c r="AS751" s="585"/>
      <c r="AT751" s="586"/>
      <c r="AU751" s="475" t="s">
        <v>730</v>
      </c>
      <c r="AV751" s="476"/>
      <c r="AW751" s="476"/>
      <c r="AX751" s="476"/>
      <c r="AY751" s="476"/>
      <c r="AZ751" s="476"/>
      <c r="BA751" s="476"/>
      <c r="BB751" s="477"/>
      <c r="BC751" s="544">
        <v>15</v>
      </c>
      <c r="BD751" s="545"/>
      <c r="BE751" s="545"/>
      <c r="BF751" s="545"/>
      <c r="BG751" s="545"/>
      <c r="BH751" s="545"/>
      <c r="BI751" s="545"/>
      <c r="BJ751" s="545"/>
      <c r="BK751" s="545"/>
      <c r="BL751" s="545"/>
      <c r="BM751" s="545"/>
      <c r="BN751" s="545"/>
      <c r="BO751" s="545"/>
      <c r="BP751" s="545"/>
      <c r="BQ751" s="545"/>
      <c r="BR751" s="546"/>
      <c r="BS751" s="639">
        <v>17.440000000000001</v>
      </c>
      <c r="BT751" s="640"/>
      <c r="BU751" s="640"/>
      <c r="BV751" s="640"/>
      <c r="BW751" s="640"/>
      <c r="BX751" s="640"/>
      <c r="BY751" s="640"/>
      <c r="BZ751" s="640"/>
      <c r="CA751" s="640"/>
      <c r="CB751" s="640"/>
      <c r="CC751" s="640"/>
      <c r="CD751" s="640"/>
      <c r="CE751" s="640"/>
      <c r="CF751" s="640"/>
      <c r="CG751" s="640"/>
      <c r="CH751" s="641"/>
      <c r="CI751" s="627">
        <f t="shared" si="14"/>
        <v>261.60000000000002</v>
      </c>
      <c r="CJ751" s="628"/>
      <c r="CK751" s="628"/>
      <c r="CL751" s="628"/>
      <c r="CM751" s="628"/>
      <c r="CN751" s="628"/>
      <c r="CO751" s="628"/>
      <c r="CP751" s="628"/>
      <c r="CQ751" s="628"/>
      <c r="CR751" s="628"/>
      <c r="CS751" s="628"/>
      <c r="CT751" s="628"/>
      <c r="CU751" s="628"/>
      <c r="CV751" s="628"/>
      <c r="CW751" s="628"/>
      <c r="CX751" s="628"/>
      <c r="CY751" s="628"/>
      <c r="CZ751" s="629"/>
      <c r="DA751" s="214"/>
    </row>
    <row r="752" spans="1:105" s="16" customFormat="1" ht="15" hidden="1" customHeight="1" x14ac:dyDescent="0.3">
      <c r="A752" s="630" t="s">
        <v>656</v>
      </c>
      <c r="B752" s="631"/>
      <c r="C752" s="631"/>
      <c r="D752" s="631"/>
      <c r="E752" s="631"/>
      <c r="F752" s="631"/>
      <c r="G752" s="632"/>
      <c r="H752" s="584" t="s">
        <v>743</v>
      </c>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5"/>
      <c r="AL752" s="585"/>
      <c r="AM752" s="585"/>
      <c r="AN752" s="585"/>
      <c r="AO752" s="585"/>
      <c r="AP752" s="585"/>
      <c r="AQ752" s="585"/>
      <c r="AR752" s="585"/>
      <c r="AS752" s="585"/>
      <c r="AT752" s="586"/>
      <c r="AU752" s="475" t="s">
        <v>734</v>
      </c>
      <c r="AV752" s="476"/>
      <c r="AW752" s="476"/>
      <c r="AX752" s="476"/>
      <c r="AY752" s="476"/>
      <c r="AZ752" s="476"/>
      <c r="BA752" s="476"/>
      <c r="BB752" s="477"/>
      <c r="BC752" s="544">
        <v>10</v>
      </c>
      <c r="BD752" s="545"/>
      <c r="BE752" s="545"/>
      <c r="BF752" s="545"/>
      <c r="BG752" s="545"/>
      <c r="BH752" s="545"/>
      <c r="BI752" s="545"/>
      <c r="BJ752" s="545"/>
      <c r="BK752" s="545"/>
      <c r="BL752" s="545"/>
      <c r="BM752" s="545"/>
      <c r="BN752" s="545"/>
      <c r="BO752" s="545"/>
      <c r="BP752" s="545"/>
      <c r="BQ752" s="545"/>
      <c r="BR752" s="546"/>
      <c r="BS752" s="639">
        <v>52.910000000000004</v>
      </c>
      <c r="BT752" s="640"/>
      <c r="BU752" s="640"/>
      <c r="BV752" s="640"/>
      <c r="BW752" s="640"/>
      <c r="BX752" s="640"/>
      <c r="BY752" s="640"/>
      <c r="BZ752" s="640"/>
      <c r="CA752" s="640"/>
      <c r="CB752" s="640"/>
      <c r="CC752" s="640"/>
      <c r="CD752" s="640"/>
      <c r="CE752" s="640"/>
      <c r="CF752" s="640"/>
      <c r="CG752" s="640"/>
      <c r="CH752" s="641"/>
      <c r="CI752" s="627">
        <f t="shared" si="14"/>
        <v>529.1</v>
      </c>
      <c r="CJ752" s="628"/>
      <c r="CK752" s="628"/>
      <c r="CL752" s="628"/>
      <c r="CM752" s="628"/>
      <c r="CN752" s="628"/>
      <c r="CO752" s="628"/>
      <c r="CP752" s="628"/>
      <c r="CQ752" s="628"/>
      <c r="CR752" s="628"/>
      <c r="CS752" s="628"/>
      <c r="CT752" s="628"/>
      <c r="CU752" s="628"/>
      <c r="CV752" s="628"/>
      <c r="CW752" s="628"/>
      <c r="CX752" s="628"/>
      <c r="CY752" s="628"/>
      <c r="CZ752" s="629"/>
      <c r="DA752" s="214"/>
    </row>
    <row r="753" spans="1:105" s="16" customFormat="1" ht="15" hidden="1" customHeight="1" x14ac:dyDescent="0.3">
      <c r="A753" s="630" t="s">
        <v>657</v>
      </c>
      <c r="B753" s="631"/>
      <c r="C753" s="631"/>
      <c r="D753" s="631"/>
      <c r="E753" s="631"/>
      <c r="F753" s="631"/>
      <c r="G753" s="632"/>
      <c r="H753" s="584" t="s">
        <v>744</v>
      </c>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5"/>
      <c r="AL753" s="585"/>
      <c r="AM753" s="585"/>
      <c r="AN753" s="585"/>
      <c r="AO753" s="585"/>
      <c r="AP753" s="585"/>
      <c r="AQ753" s="585"/>
      <c r="AR753" s="585"/>
      <c r="AS753" s="585"/>
      <c r="AT753" s="586"/>
      <c r="AU753" s="475" t="s">
        <v>734</v>
      </c>
      <c r="AV753" s="476"/>
      <c r="AW753" s="476"/>
      <c r="AX753" s="476"/>
      <c r="AY753" s="476"/>
      <c r="AZ753" s="476"/>
      <c r="BA753" s="476"/>
      <c r="BB753" s="477"/>
      <c r="BC753" s="544">
        <v>15</v>
      </c>
      <c r="BD753" s="545"/>
      <c r="BE753" s="545"/>
      <c r="BF753" s="545"/>
      <c r="BG753" s="545"/>
      <c r="BH753" s="545"/>
      <c r="BI753" s="545"/>
      <c r="BJ753" s="545"/>
      <c r="BK753" s="545"/>
      <c r="BL753" s="545"/>
      <c r="BM753" s="545"/>
      <c r="BN753" s="545"/>
      <c r="BO753" s="545"/>
      <c r="BP753" s="545"/>
      <c r="BQ753" s="545"/>
      <c r="BR753" s="546"/>
      <c r="BS753" s="639">
        <v>13.8</v>
      </c>
      <c r="BT753" s="640"/>
      <c r="BU753" s="640"/>
      <c r="BV753" s="640"/>
      <c r="BW753" s="640"/>
      <c r="BX753" s="640"/>
      <c r="BY753" s="640"/>
      <c r="BZ753" s="640"/>
      <c r="CA753" s="640"/>
      <c r="CB753" s="640"/>
      <c r="CC753" s="640"/>
      <c r="CD753" s="640"/>
      <c r="CE753" s="640"/>
      <c r="CF753" s="640"/>
      <c r="CG753" s="640"/>
      <c r="CH753" s="641"/>
      <c r="CI753" s="627">
        <f t="shared" si="14"/>
        <v>207</v>
      </c>
      <c r="CJ753" s="628"/>
      <c r="CK753" s="628"/>
      <c r="CL753" s="628"/>
      <c r="CM753" s="628"/>
      <c r="CN753" s="628"/>
      <c r="CO753" s="628"/>
      <c r="CP753" s="628"/>
      <c r="CQ753" s="628"/>
      <c r="CR753" s="628"/>
      <c r="CS753" s="628"/>
      <c r="CT753" s="628"/>
      <c r="CU753" s="628"/>
      <c r="CV753" s="628"/>
      <c r="CW753" s="628"/>
      <c r="CX753" s="628"/>
      <c r="CY753" s="628"/>
      <c r="CZ753" s="629"/>
      <c r="DA753" s="214"/>
    </row>
    <row r="754" spans="1:105" s="16" customFormat="1" ht="15" hidden="1" customHeight="1" x14ac:dyDescent="0.3">
      <c r="A754" s="630" t="s">
        <v>659</v>
      </c>
      <c r="B754" s="631"/>
      <c r="C754" s="631"/>
      <c r="D754" s="631"/>
      <c r="E754" s="631"/>
      <c r="F754" s="631"/>
      <c r="G754" s="632"/>
      <c r="H754" s="584" t="s">
        <v>745</v>
      </c>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5"/>
      <c r="AL754" s="585"/>
      <c r="AM754" s="585"/>
      <c r="AN754" s="585"/>
      <c r="AO754" s="585"/>
      <c r="AP754" s="585"/>
      <c r="AQ754" s="585"/>
      <c r="AR754" s="585"/>
      <c r="AS754" s="585"/>
      <c r="AT754" s="586"/>
      <c r="AU754" s="475" t="s">
        <v>730</v>
      </c>
      <c r="AV754" s="476"/>
      <c r="AW754" s="476"/>
      <c r="AX754" s="476"/>
      <c r="AY754" s="476"/>
      <c r="AZ754" s="476"/>
      <c r="BA754" s="476"/>
      <c r="BB754" s="477"/>
      <c r="BC754" s="544">
        <v>10</v>
      </c>
      <c r="BD754" s="545"/>
      <c r="BE754" s="545"/>
      <c r="BF754" s="545"/>
      <c r="BG754" s="545"/>
      <c r="BH754" s="545"/>
      <c r="BI754" s="545"/>
      <c r="BJ754" s="545"/>
      <c r="BK754" s="545"/>
      <c r="BL754" s="545"/>
      <c r="BM754" s="545"/>
      <c r="BN754" s="545"/>
      <c r="BO754" s="545"/>
      <c r="BP754" s="545"/>
      <c r="BQ754" s="545"/>
      <c r="BR754" s="546"/>
      <c r="BS754" s="639">
        <v>19.21</v>
      </c>
      <c r="BT754" s="640"/>
      <c r="BU754" s="640"/>
      <c r="BV754" s="640"/>
      <c r="BW754" s="640"/>
      <c r="BX754" s="640"/>
      <c r="BY754" s="640"/>
      <c r="BZ754" s="640"/>
      <c r="CA754" s="640"/>
      <c r="CB754" s="640"/>
      <c r="CC754" s="640"/>
      <c r="CD754" s="640"/>
      <c r="CE754" s="640"/>
      <c r="CF754" s="640"/>
      <c r="CG754" s="640"/>
      <c r="CH754" s="641"/>
      <c r="CI754" s="627">
        <f t="shared" si="14"/>
        <v>192.10000000000002</v>
      </c>
      <c r="CJ754" s="628"/>
      <c r="CK754" s="628"/>
      <c r="CL754" s="628"/>
      <c r="CM754" s="628"/>
      <c r="CN754" s="628"/>
      <c r="CO754" s="628"/>
      <c r="CP754" s="628"/>
      <c r="CQ754" s="628"/>
      <c r="CR754" s="628"/>
      <c r="CS754" s="628"/>
      <c r="CT754" s="628"/>
      <c r="CU754" s="628"/>
      <c r="CV754" s="628"/>
      <c r="CW754" s="628"/>
      <c r="CX754" s="628"/>
      <c r="CY754" s="628"/>
      <c r="CZ754" s="629"/>
      <c r="DA754" s="214"/>
    </row>
    <row r="755" spans="1:105" s="16" customFormat="1" ht="15" hidden="1" customHeight="1" x14ac:dyDescent="0.3">
      <c r="A755" s="630" t="s">
        <v>664</v>
      </c>
      <c r="B755" s="631"/>
      <c r="C755" s="631"/>
      <c r="D755" s="631"/>
      <c r="E755" s="631"/>
      <c r="F755" s="631"/>
      <c r="G755" s="632"/>
      <c r="H755" s="584" t="s">
        <v>746</v>
      </c>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5"/>
      <c r="AL755" s="585"/>
      <c r="AM755" s="585"/>
      <c r="AN755" s="585"/>
      <c r="AO755" s="585"/>
      <c r="AP755" s="585"/>
      <c r="AQ755" s="585"/>
      <c r="AR755" s="585"/>
      <c r="AS755" s="585"/>
      <c r="AT755" s="586"/>
      <c r="AU755" s="475" t="s">
        <v>734</v>
      </c>
      <c r="AV755" s="476"/>
      <c r="AW755" s="476"/>
      <c r="AX755" s="476"/>
      <c r="AY755" s="476"/>
      <c r="AZ755" s="476"/>
      <c r="BA755" s="476"/>
      <c r="BB755" s="477"/>
      <c r="BC755" s="544">
        <v>40</v>
      </c>
      <c r="BD755" s="545"/>
      <c r="BE755" s="545"/>
      <c r="BF755" s="545"/>
      <c r="BG755" s="545"/>
      <c r="BH755" s="545"/>
      <c r="BI755" s="545"/>
      <c r="BJ755" s="545"/>
      <c r="BK755" s="545"/>
      <c r="BL755" s="545"/>
      <c r="BM755" s="545"/>
      <c r="BN755" s="545"/>
      <c r="BO755" s="545"/>
      <c r="BP755" s="545"/>
      <c r="BQ755" s="545"/>
      <c r="BR755" s="546"/>
      <c r="BS755" s="639">
        <v>14</v>
      </c>
      <c r="BT755" s="640"/>
      <c r="BU755" s="640"/>
      <c r="BV755" s="640"/>
      <c r="BW755" s="640"/>
      <c r="BX755" s="640"/>
      <c r="BY755" s="640"/>
      <c r="BZ755" s="640"/>
      <c r="CA755" s="640"/>
      <c r="CB755" s="640"/>
      <c r="CC755" s="640"/>
      <c r="CD755" s="640"/>
      <c r="CE755" s="640"/>
      <c r="CF755" s="640"/>
      <c r="CG755" s="640"/>
      <c r="CH755" s="641"/>
      <c r="CI755" s="627">
        <f t="shared" si="14"/>
        <v>560</v>
      </c>
      <c r="CJ755" s="628"/>
      <c r="CK755" s="628"/>
      <c r="CL755" s="628"/>
      <c r="CM755" s="628"/>
      <c r="CN755" s="628"/>
      <c r="CO755" s="628"/>
      <c r="CP755" s="628"/>
      <c r="CQ755" s="628"/>
      <c r="CR755" s="628"/>
      <c r="CS755" s="628"/>
      <c r="CT755" s="628"/>
      <c r="CU755" s="628"/>
      <c r="CV755" s="628"/>
      <c r="CW755" s="628"/>
      <c r="CX755" s="628"/>
      <c r="CY755" s="628"/>
      <c r="CZ755" s="629"/>
      <c r="DA755" s="214"/>
    </row>
    <row r="756" spans="1:105" s="16" customFormat="1" ht="15" hidden="1" customHeight="1" x14ac:dyDescent="0.3">
      <c r="A756" s="630" t="s">
        <v>662</v>
      </c>
      <c r="B756" s="631"/>
      <c r="C756" s="631"/>
      <c r="D756" s="631"/>
      <c r="E756" s="631"/>
      <c r="F756" s="631"/>
      <c r="G756" s="632"/>
      <c r="H756" s="584" t="s">
        <v>747</v>
      </c>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5"/>
      <c r="AL756" s="585"/>
      <c r="AM756" s="585"/>
      <c r="AN756" s="585"/>
      <c r="AO756" s="585"/>
      <c r="AP756" s="585"/>
      <c r="AQ756" s="585"/>
      <c r="AR756" s="585"/>
      <c r="AS756" s="585"/>
      <c r="AT756" s="586"/>
      <c r="AU756" s="475" t="s">
        <v>730</v>
      </c>
      <c r="AV756" s="476"/>
      <c r="AW756" s="476"/>
      <c r="AX756" s="476"/>
      <c r="AY756" s="476"/>
      <c r="AZ756" s="476"/>
      <c r="BA756" s="476"/>
      <c r="BB756" s="477"/>
      <c r="BC756" s="544">
        <v>2</v>
      </c>
      <c r="BD756" s="545"/>
      <c r="BE756" s="545"/>
      <c r="BF756" s="545"/>
      <c r="BG756" s="545"/>
      <c r="BH756" s="545"/>
      <c r="BI756" s="545"/>
      <c r="BJ756" s="545"/>
      <c r="BK756" s="545"/>
      <c r="BL756" s="545"/>
      <c r="BM756" s="545"/>
      <c r="BN756" s="545"/>
      <c r="BO756" s="545"/>
      <c r="BP756" s="545"/>
      <c r="BQ756" s="545"/>
      <c r="BR756" s="546"/>
      <c r="BS756" s="639">
        <v>104.48</v>
      </c>
      <c r="BT756" s="640"/>
      <c r="BU756" s="640"/>
      <c r="BV756" s="640"/>
      <c r="BW756" s="640"/>
      <c r="BX756" s="640"/>
      <c r="BY756" s="640"/>
      <c r="BZ756" s="640"/>
      <c r="CA756" s="640"/>
      <c r="CB756" s="640"/>
      <c r="CC756" s="640"/>
      <c r="CD756" s="640"/>
      <c r="CE756" s="640"/>
      <c r="CF756" s="640"/>
      <c r="CG756" s="640"/>
      <c r="CH756" s="641"/>
      <c r="CI756" s="627">
        <f t="shared" si="14"/>
        <v>208.96</v>
      </c>
      <c r="CJ756" s="628"/>
      <c r="CK756" s="628"/>
      <c r="CL756" s="628"/>
      <c r="CM756" s="628"/>
      <c r="CN756" s="628"/>
      <c r="CO756" s="628"/>
      <c r="CP756" s="628"/>
      <c r="CQ756" s="628"/>
      <c r="CR756" s="628"/>
      <c r="CS756" s="628"/>
      <c r="CT756" s="628"/>
      <c r="CU756" s="628"/>
      <c r="CV756" s="628"/>
      <c r="CW756" s="628"/>
      <c r="CX756" s="628"/>
      <c r="CY756" s="628"/>
      <c r="CZ756" s="629"/>
      <c r="DA756" s="214"/>
    </row>
    <row r="757" spans="1:105" s="16" customFormat="1" ht="15" hidden="1" customHeight="1" x14ac:dyDescent="0.3">
      <c r="A757" s="630" t="s">
        <v>666</v>
      </c>
      <c r="B757" s="631"/>
      <c r="C757" s="631"/>
      <c r="D757" s="631"/>
      <c r="E757" s="631"/>
      <c r="F757" s="631"/>
      <c r="G757" s="632"/>
      <c r="H757" s="584" t="s">
        <v>748</v>
      </c>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5"/>
      <c r="AL757" s="585"/>
      <c r="AM757" s="585"/>
      <c r="AN757" s="585"/>
      <c r="AO757" s="585"/>
      <c r="AP757" s="585"/>
      <c r="AQ757" s="585"/>
      <c r="AR757" s="585"/>
      <c r="AS757" s="585"/>
      <c r="AT757" s="586"/>
      <c r="AU757" s="475" t="s">
        <v>730</v>
      </c>
      <c r="AV757" s="476"/>
      <c r="AW757" s="476"/>
      <c r="AX757" s="476"/>
      <c r="AY757" s="476"/>
      <c r="AZ757" s="476"/>
      <c r="BA757" s="476"/>
      <c r="BB757" s="477"/>
      <c r="BC757" s="544">
        <v>2</v>
      </c>
      <c r="BD757" s="545"/>
      <c r="BE757" s="545"/>
      <c r="BF757" s="545"/>
      <c r="BG757" s="545"/>
      <c r="BH757" s="545"/>
      <c r="BI757" s="545"/>
      <c r="BJ757" s="545"/>
      <c r="BK757" s="545"/>
      <c r="BL757" s="545"/>
      <c r="BM757" s="545"/>
      <c r="BN757" s="545"/>
      <c r="BO757" s="545"/>
      <c r="BP757" s="545"/>
      <c r="BQ757" s="545"/>
      <c r="BR757" s="546"/>
      <c r="BS757" s="639">
        <v>370</v>
      </c>
      <c r="BT757" s="640"/>
      <c r="BU757" s="640"/>
      <c r="BV757" s="640"/>
      <c r="BW757" s="640"/>
      <c r="BX757" s="640"/>
      <c r="BY757" s="640"/>
      <c r="BZ757" s="640"/>
      <c r="CA757" s="640"/>
      <c r="CB757" s="640"/>
      <c r="CC757" s="640"/>
      <c r="CD757" s="640"/>
      <c r="CE757" s="640"/>
      <c r="CF757" s="640"/>
      <c r="CG757" s="640"/>
      <c r="CH757" s="641"/>
      <c r="CI757" s="627">
        <f t="shared" si="14"/>
        <v>740</v>
      </c>
      <c r="CJ757" s="628"/>
      <c r="CK757" s="628"/>
      <c r="CL757" s="628"/>
      <c r="CM757" s="628"/>
      <c r="CN757" s="628"/>
      <c r="CO757" s="628"/>
      <c r="CP757" s="628"/>
      <c r="CQ757" s="628"/>
      <c r="CR757" s="628"/>
      <c r="CS757" s="628"/>
      <c r="CT757" s="628"/>
      <c r="CU757" s="628"/>
      <c r="CV757" s="628"/>
      <c r="CW757" s="628"/>
      <c r="CX757" s="628"/>
      <c r="CY757" s="628"/>
      <c r="CZ757" s="629"/>
      <c r="DA757" s="214"/>
    </row>
    <row r="758" spans="1:105" s="16" customFormat="1" ht="15" hidden="1" customHeight="1" x14ac:dyDescent="0.3">
      <c r="A758" s="630" t="s">
        <v>667</v>
      </c>
      <c r="B758" s="631"/>
      <c r="C758" s="631"/>
      <c r="D758" s="631"/>
      <c r="E758" s="631"/>
      <c r="F758" s="631"/>
      <c r="G758" s="632"/>
      <c r="H758" s="584" t="s">
        <v>749</v>
      </c>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5"/>
      <c r="AL758" s="585"/>
      <c r="AM758" s="585"/>
      <c r="AN758" s="585"/>
      <c r="AO758" s="585"/>
      <c r="AP758" s="585"/>
      <c r="AQ758" s="585"/>
      <c r="AR758" s="585"/>
      <c r="AS758" s="585"/>
      <c r="AT758" s="586"/>
      <c r="AU758" s="475" t="s">
        <v>730</v>
      </c>
      <c r="AV758" s="476"/>
      <c r="AW758" s="476"/>
      <c r="AX758" s="476"/>
      <c r="AY758" s="476"/>
      <c r="AZ758" s="476"/>
      <c r="BA758" s="476"/>
      <c r="BB758" s="477"/>
      <c r="BC758" s="544">
        <v>10</v>
      </c>
      <c r="BD758" s="545"/>
      <c r="BE758" s="545"/>
      <c r="BF758" s="545"/>
      <c r="BG758" s="545"/>
      <c r="BH758" s="545"/>
      <c r="BI758" s="545"/>
      <c r="BJ758" s="545"/>
      <c r="BK758" s="545"/>
      <c r="BL758" s="545"/>
      <c r="BM758" s="545"/>
      <c r="BN758" s="545"/>
      <c r="BO758" s="545"/>
      <c r="BP758" s="545"/>
      <c r="BQ758" s="545"/>
      <c r="BR758" s="546"/>
      <c r="BS758" s="639">
        <v>29.48</v>
      </c>
      <c r="BT758" s="640"/>
      <c r="BU758" s="640"/>
      <c r="BV758" s="640"/>
      <c r="BW758" s="640"/>
      <c r="BX758" s="640"/>
      <c r="BY758" s="640"/>
      <c r="BZ758" s="640"/>
      <c r="CA758" s="640"/>
      <c r="CB758" s="640"/>
      <c r="CC758" s="640"/>
      <c r="CD758" s="640"/>
      <c r="CE758" s="640"/>
      <c r="CF758" s="640"/>
      <c r="CG758" s="640"/>
      <c r="CH758" s="641"/>
      <c r="CI758" s="627">
        <f t="shared" si="14"/>
        <v>294.8</v>
      </c>
      <c r="CJ758" s="628"/>
      <c r="CK758" s="628"/>
      <c r="CL758" s="628"/>
      <c r="CM758" s="628"/>
      <c r="CN758" s="628"/>
      <c r="CO758" s="628"/>
      <c r="CP758" s="628"/>
      <c r="CQ758" s="628"/>
      <c r="CR758" s="628"/>
      <c r="CS758" s="628"/>
      <c r="CT758" s="628"/>
      <c r="CU758" s="628"/>
      <c r="CV758" s="628"/>
      <c r="CW758" s="628"/>
      <c r="CX758" s="628"/>
      <c r="CY758" s="628"/>
      <c r="CZ758" s="629"/>
      <c r="DA758" s="214"/>
    </row>
    <row r="759" spans="1:105" s="16" customFormat="1" ht="15" hidden="1" customHeight="1" x14ac:dyDescent="0.3">
      <c r="A759" s="630" t="s">
        <v>670</v>
      </c>
      <c r="B759" s="631"/>
      <c r="C759" s="631"/>
      <c r="D759" s="631"/>
      <c r="E759" s="631"/>
      <c r="F759" s="631"/>
      <c r="G759" s="632"/>
      <c r="H759" s="584" t="s">
        <v>750</v>
      </c>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5"/>
      <c r="AL759" s="585"/>
      <c r="AM759" s="585"/>
      <c r="AN759" s="585"/>
      <c r="AO759" s="585"/>
      <c r="AP759" s="585"/>
      <c r="AQ759" s="585"/>
      <c r="AR759" s="585"/>
      <c r="AS759" s="585"/>
      <c r="AT759" s="586"/>
      <c r="AU759" s="475" t="s">
        <v>730</v>
      </c>
      <c r="AV759" s="476"/>
      <c r="AW759" s="476"/>
      <c r="AX759" s="476"/>
      <c r="AY759" s="476"/>
      <c r="AZ759" s="476"/>
      <c r="BA759" s="476"/>
      <c r="BB759" s="477"/>
      <c r="BC759" s="544">
        <v>8</v>
      </c>
      <c r="BD759" s="545"/>
      <c r="BE759" s="545"/>
      <c r="BF759" s="545"/>
      <c r="BG759" s="545"/>
      <c r="BH759" s="545"/>
      <c r="BI759" s="545"/>
      <c r="BJ759" s="545"/>
      <c r="BK759" s="545"/>
      <c r="BL759" s="545"/>
      <c r="BM759" s="545"/>
      <c r="BN759" s="545"/>
      <c r="BO759" s="545"/>
      <c r="BP759" s="545"/>
      <c r="BQ759" s="545"/>
      <c r="BR759" s="546"/>
      <c r="BS759" s="639">
        <v>54</v>
      </c>
      <c r="BT759" s="640"/>
      <c r="BU759" s="640"/>
      <c r="BV759" s="640"/>
      <c r="BW759" s="640"/>
      <c r="BX759" s="640"/>
      <c r="BY759" s="640"/>
      <c r="BZ759" s="640"/>
      <c r="CA759" s="640"/>
      <c r="CB759" s="640"/>
      <c r="CC759" s="640"/>
      <c r="CD759" s="640"/>
      <c r="CE759" s="640"/>
      <c r="CF759" s="640"/>
      <c r="CG759" s="640"/>
      <c r="CH759" s="641"/>
      <c r="CI759" s="627">
        <f t="shared" si="14"/>
        <v>432</v>
      </c>
      <c r="CJ759" s="628"/>
      <c r="CK759" s="628"/>
      <c r="CL759" s="628"/>
      <c r="CM759" s="628"/>
      <c r="CN759" s="628"/>
      <c r="CO759" s="628"/>
      <c r="CP759" s="628"/>
      <c r="CQ759" s="628"/>
      <c r="CR759" s="628"/>
      <c r="CS759" s="628"/>
      <c r="CT759" s="628"/>
      <c r="CU759" s="628"/>
      <c r="CV759" s="628"/>
      <c r="CW759" s="628"/>
      <c r="CX759" s="628"/>
      <c r="CY759" s="628"/>
      <c r="CZ759" s="629"/>
      <c r="DA759" s="214"/>
    </row>
    <row r="760" spans="1:105" s="16" customFormat="1" ht="15" hidden="1" customHeight="1" x14ac:dyDescent="0.3">
      <c r="A760" s="630" t="s">
        <v>672</v>
      </c>
      <c r="B760" s="631"/>
      <c r="C760" s="631"/>
      <c r="D760" s="631"/>
      <c r="E760" s="631"/>
      <c r="F760" s="631"/>
      <c r="G760" s="632"/>
      <c r="H760" s="584" t="s">
        <v>751</v>
      </c>
      <c r="I760" s="585"/>
      <c r="J760" s="585"/>
      <c r="K760" s="585"/>
      <c r="L760" s="585"/>
      <c r="M760" s="585"/>
      <c r="N760" s="585"/>
      <c r="O760" s="585"/>
      <c r="P760" s="585"/>
      <c r="Q760" s="585"/>
      <c r="R760" s="585"/>
      <c r="S760" s="585"/>
      <c r="T760" s="585"/>
      <c r="U760" s="585"/>
      <c r="V760" s="585"/>
      <c r="W760" s="585"/>
      <c r="X760" s="585"/>
      <c r="Y760" s="585"/>
      <c r="Z760" s="585"/>
      <c r="AA760" s="585"/>
      <c r="AB760" s="585"/>
      <c r="AC760" s="585"/>
      <c r="AD760" s="585"/>
      <c r="AE760" s="585"/>
      <c r="AF760" s="585"/>
      <c r="AG760" s="585"/>
      <c r="AH760" s="585"/>
      <c r="AI760" s="585"/>
      <c r="AJ760" s="585"/>
      <c r="AK760" s="585"/>
      <c r="AL760" s="585"/>
      <c r="AM760" s="585"/>
      <c r="AN760" s="585"/>
      <c r="AO760" s="585"/>
      <c r="AP760" s="585"/>
      <c r="AQ760" s="585"/>
      <c r="AR760" s="585"/>
      <c r="AS760" s="585"/>
      <c r="AT760" s="586"/>
      <c r="AU760" s="475" t="s">
        <v>730</v>
      </c>
      <c r="AV760" s="476"/>
      <c r="AW760" s="476"/>
      <c r="AX760" s="476"/>
      <c r="AY760" s="476"/>
      <c r="AZ760" s="476"/>
      <c r="BA760" s="476"/>
      <c r="BB760" s="477"/>
      <c r="BC760" s="544">
        <v>2</v>
      </c>
      <c r="BD760" s="545"/>
      <c r="BE760" s="545"/>
      <c r="BF760" s="545"/>
      <c r="BG760" s="545"/>
      <c r="BH760" s="545"/>
      <c r="BI760" s="545"/>
      <c r="BJ760" s="545"/>
      <c r="BK760" s="545"/>
      <c r="BL760" s="545"/>
      <c r="BM760" s="545"/>
      <c r="BN760" s="545"/>
      <c r="BO760" s="545"/>
      <c r="BP760" s="545"/>
      <c r="BQ760" s="545"/>
      <c r="BR760" s="546"/>
      <c r="BS760" s="639">
        <v>300</v>
      </c>
      <c r="BT760" s="640"/>
      <c r="BU760" s="640"/>
      <c r="BV760" s="640"/>
      <c r="BW760" s="640"/>
      <c r="BX760" s="640"/>
      <c r="BY760" s="640"/>
      <c r="BZ760" s="640"/>
      <c r="CA760" s="640"/>
      <c r="CB760" s="640"/>
      <c r="CC760" s="640"/>
      <c r="CD760" s="640"/>
      <c r="CE760" s="640"/>
      <c r="CF760" s="640"/>
      <c r="CG760" s="640"/>
      <c r="CH760" s="641"/>
      <c r="CI760" s="627">
        <f t="shared" si="14"/>
        <v>600</v>
      </c>
      <c r="CJ760" s="628"/>
      <c r="CK760" s="628"/>
      <c r="CL760" s="628"/>
      <c r="CM760" s="628"/>
      <c r="CN760" s="628"/>
      <c r="CO760" s="628"/>
      <c r="CP760" s="628"/>
      <c r="CQ760" s="628"/>
      <c r="CR760" s="628"/>
      <c r="CS760" s="628"/>
      <c r="CT760" s="628"/>
      <c r="CU760" s="628"/>
      <c r="CV760" s="628"/>
      <c r="CW760" s="628"/>
      <c r="CX760" s="628"/>
      <c r="CY760" s="628"/>
      <c r="CZ760" s="629"/>
      <c r="DA760" s="214"/>
    </row>
    <row r="761" spans="1:105" s="16" customFormat="1" ht="15" hidden="1" customHeight="1" x14ac:dyDescent="0.3">
      <c r="A761" s="630" t="s">
        <v>677</v>
      </c>
      <c r="B761" s="631"/>
      <c r="C761" s="631"/>
      <c r="D761" s="631"/>
      <c r="E761" s="631"/>
      <c r="F761" s="631"/>
      <c r="G761" s="632"/>
      <c r="H761" s="584" t="s">
        <v>752</v>
      </c>
      <c r="I761" s="585"/>
      <c r="J761" s="585"/>
      <c r="K761" s="585"/>
      <c r="L761" s="585"/>
      <c r="M761" s="585"/>
      <c r="N761" s="585"/>
      <c r="O761" s="585"/>
      <c r="P761" s="585"/>
      <c r="Q761" s="585"/>
      <c r="R761" s="585"/>
      <c r="S761" s="585"/>
      <c r="T761" s="585"/>
      <c r="U761" s="585"/>
      <c r="V761" s="585"/>
      <c r="W761" s="585"/>
      <c r="X761" s="585"/>
      <c r="Y761" s="585"/>
      <c r="Z761" s="585"/>
      <c r="AA761" s="585"/>
      <c r="AB761" s="585"/>
      <c r="AC761" s="585"/>
      <c r="AD761" s="585"/>
      <c r="AE761" s="585"/>
      <c r="AF761" s="585"/>
      <c r="AG761" s="585"/>
      <c r="AH761" s="585"/>
      <c r="AI761" s="585"/>
      <c r="AJ761" s="585"/>
      <c r="AK761" s="585"/>
      <c r="AL761" s="585"/>
      <c r="AM761" s="585"/>
      <c r="AN761" s="585"/>
      <c r="AO761" s="585"/>
      <c r="AP761" s="585"/>
      <c r="AQ761" s="585"/>
      <c r="AR761" s="585"/>
      <c r="AS761" s="585"/>
      <c r="AT761" s="586"/>
      <c r="AU761" s="475" t="s">
        <v>690</v>
      </c>
      <c r="AV761" s="476"/>
      <c r="AW761" s="476"/>
      <c r="AX761" s="476"/>
      <c r="AY761" s="476"/>
      <c r="AZ761" s="476"/>
      <c r="BA761" s="476"/>
      <c r="BB761" s="477"/>
      <c r="BC761" s="544">
        <v>20</v>
      </c>
      <c r="BD761" s="545"/>
      <c r="BE761" s="545"/>
      <c r="BF761" s="545"/>
      <c r="BG761" s="545"/>
      <c r="BH761" s="545"/>
      <c r="BI761" s="545"/>
      <c r="BJ761" s="545"/>
      <c r="BK761" s="545"/>
      <c r="BL761" s="545"/>
      <c r="BM761" s="545"/>
      <c r="BN761" s="545"/>
      <c r="BO761" s="545"/>
      <c r="BP761" s="545"/>
      <c r="BQ761" s="545"/>
      <c r="BR761" s="546"/>
      <c r="BS761" s="639">
        <v>17.440000000000001</v>
      </c>
      <c r="BT761" s="640"/>
      <c r="BU761" s="640"/>
      <c r="BV761" s="640"/>
      <c r="BW761" s="640"/>
      <c r="BX761" s="640"/>
      <c r="BY761" s="640"/>
      <c r="BZ761" s="640"/>
      <c r="CA761" s="640"/>
      <c r="CB761" s="640"/>
      <c r="CC761" s="640"/>
      <c r="CD761" s="640"/>
      <c r="CE761" s="640"/>
      <c r="CF761" s="640"/>
      <c r="CG761" s="640"/>
      <c r="CH761" s="641"/>
      <c r="CI761" s="627">
        <f t="shared" si="14"/>
        <v>348.8</v>
      </c>
      <c r="CJ761" s="628"/>
      <c r="CK761" s="628"/>
      <c r="CL761" s="628"/>
      <c r="CM761" s="628"/>
      <c r="CN761" s="628"/>
      <c r="CO761" s="628"/>
      <c r="CP761" s="628"/>
      <c r="CQ761" s="628"/>
      <c r="CR761" s="628"/>
      <c r="CS761" s="628"/>
      <c r="CT761" s="628"/>
      <c r="CU761" s="628"/>
      <c r="CV761" s="628"/>
      <c r="CW761" s="628"/>
      <c r="CX761" s="628"/>
      <c r="CY761" s="628"/>
      <c r="CZ761" s="629"/>
      <c r="DA761" s="214"/>
    </row>
    <row r="762" spans="1:105" s="16" customFormat="1" ht="15" hidden="1" customHeight="1" x14ac:dyDescent="0.3">
      <c r="A762" s="630" t="s">
        <v>668</v>
      </c>
      <c r="B762" s="631"/>
      <c r="C762" s="631"/>
      <c r="D762" s="631"/>
      <c r="E762" s="631"/>
      <c r="F762" s="631"/>
      <c r="G762" s="632"/>
      <c r="H762" s="584" t="s">
        <v>753</v>
      </c>
      <c r="I762" s="585"/>
      <c r="J762" s="585"/>
      <c r="K762" s="585"/>
      <c r="L762" s="585"/>
      <c r="M762" s="585"/>
      <c r="N762" s="585"/>
      <c r="O762" s="585"/>
      <c r="P762" s="585"/>
      <c r="Q762" s="585"/>
      <c r="R762" s="585"/>
      <c r="S762" s="585"/>
      <c r="T762" s="585"/>
      <c r="U762" s="585"/>
      <c r="V762" s="585"/>
      <c r="W762" s="585"/>
      <c r="X762" s="585"/>
      <c r="Y762" s="585"/>
      <c r="Z762" s="585"/>
      <c r="AA762" s="585"/>
      <c r="AB762" s="585"/>
      <c r="AC762" s="585"/>
      <c r="AD762" s="585"/>
      <c r="AE762" s="585"/>
      <c r="AF762" s="585"/>
      <c r="AG762" s="585"/>
      <c r="AH762" s="585"/>
      <c r="AI762" s="585"/>
      <c r="AJ762" s="585"/>
      <c r="AK762" s="585"/>
      <c r="AL762" s="585"/>
      <c r="AM762" s="585"/>
      <c r="AN762" s="585"/>
      <c r="AO762" s="585"/>
      <c r="AP762" s="585"/>
      <c r="AQ762" s="585"/>
      <c r="AR762" s="585"/>
      <c r="AS762" s="585"/>
      <c r="AT762" s="586"/>
      <c r="AU762" s="475" t="s">
        <v>734</v>
      </c>
      <c r="AV762" s="476"/>
      <c r="AW762" s="476"/>
      <c r="AX762" s="476"/>
      <c r="AY762" s="476"/>
      <c r="AZ762" s="476"/>
      <c r="BA762" s="476"/>
      <c r="BB762" s="477"/>
      <c r="BC762" s="544">
        <v>30</v>
      </c>
      <c r="BD762" s="545"/>
      <c r="BE762" s="545"/>
      <c r="BF762" s="545"/>
      <c r="BG762" s="545"/>
      <c r="BH762" s="545"/>
      <c r="BI762" s="545"/>
      <c r="BJ762" s="545"/>
      <c r="BK762" s="545"/>
      <c r="BL762" s="545"/>
      <c r="BM762" s="545"/>
      <c r="BN762" s="545"/>
      <c r="BO762" s="545"/>
      <c r="BP762" s="545"/>
      <c r="BQ762" s="545"/>
      <c r="BR762" s="546"/>
      <c r="BS762" s="639">
        <v>9.9</v>
      </c>
      <c r="BT762" s="640"/>
      <c r="BU762" s="640"/>
      <c r="BV762" s="640"/>
      <c r="BW762" s="640"/>
      <c r="BX762" s="640"/>
      <c r="BY762" s="640"/>
      <c r="BZ762" s="640"/>
      <c r="CA762" s="640"/>
      <c r="CB762" s="640"/>
      <c r="CC762" s="640"/>
      <c r="CD762" s="640"/>
      <c r="CE762" s="640"/>
      <c r="CF762" s="640"/>
      <c r="CG762" s="640"/>
      <c r="CH762" s="641"/>
      <c r="CI762" s="627">
        <f t="shared" si="14"/>
        <v>297</v>
      </c>
      <c r="CJ762" s="628"/>
      <c r="CK762" s="628"/>
      <c r="CL762" s="628"/>
      <c r="CM762" s="628"/>
      <c r="CN762" s="628"/>
      <c r="CO762" s="628"/>
      <c r="CP762" s="628"/>
      <c r="CQ762" s="628"/>
      <c r="CR762" s="628"/>
      <c r="CS762" s="628"/>
      <c r="CT762" s="628"/>
      <c r="CU762" s="628"/>
      <c r="CV762" s="628"/>
      <c r="CW762" s="628"/>
      <c r="CX762" s="628"/>
      <c r="CY762" s="628"/>
      <c r="CZ762" s="629"/>
      <c r="DA762" s="214"/>
    </row>
    <row r="763" spans="1:105" s="16" customFormat="1" ht="15" hidden="1" customHeight="1" x14ac:dyDescent="0.3">
      <c r="A763" s="630" t="s">
        <v>754</v>
      </c>
      <c r="B763" s="631"/>
      <c r="C763" s="631"/>
      <c r="D763" s="631"/>
      <c r="E763" s="631"/>
      <c r="F763" s="631"/>
      <c r="G763" s="632"/>
      <c r="H763" s="584" t="s">
        <v>755</v>
      </c>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5"/>
      <c r="AL763" s="585"/>
      <c r="AM763" s="585"/>
      <c r="AN763" s="585"/>
      <c r="AO763" s="585"/>
      <c r="AP763" s="585"/>
      <c r="AQ763" s="585"/>
      <c r="AR763" s="585"/>
      <c r="AS763" s="585"/>
      <c r="AT763" s="586"/>
      <c r="AU763" s="475" t="s">
        <v>730</v>
      </c>
      <c r="AV763" s="476"/>
      <c r="AW763" s="476"/>
      <c r="AX763" s="476"/>
      <c r="AY763" s="476"/>
      <c r="AZ763" s="476"/>
      <c r="BA763" s="476"/>
      <c r="BB763" s="477"/>
      <c r="BC763" s="544">
        <v>2</v>
      </c>
      <c r="BD763" s="545"/>
      <c r="BE763" s="545"/>
      <c r="BF763" s="545"/>
      <c r="BG763" s="545"/>
      <c r="BH763" s="545"/>
      <c r="BI763" s="545"/>
      <c r="BJ763" s="545"/>
      <c r="BK763" s="545"/>
      <c r="BL763" s="545"/>
      <c r="BM763" s="545"/>
      <c r="BN763" s="545"/>
      <c r="BO763" s="545"/>
      <c r="BP763" s="545"/>
      <c r="BQ763" s="545"/>
      <c r="BR763" s="546"/>
      <c r="BS763" s="639">
        <v>48.88</v>
      </c>
      <c r="BT763" s="640"/>
      <c r="BU763" s="640"/>
      <c r="BV763" s="640"/>
      <c r="BW763" s="640"/>
      <c r="BX763" s="640"/>
      <c r="BY763" s="640"/>
      <c r="BZ763" s="640"/>
      <c r="CA763" s="640"/>
      <c r="CB763" s="640"/>
      <c r="CC763" s="640"/>
      <c r="CD763" s="640"/>
      <c r="CE763" s="640"/>
      <c r="CF763" s="640"/>
      <c r="CG763" s="640"/>
      <c r="CH763" s="641"/>
      <c r="CI763" s="627">
        <f t="shared" si="14"/>
        <v>97.76</v>
      </c>
      <c r="CJ763" s="628"/>
      <c r="CK763" s="628"/>
      <c r="CL763" s="628"/>
      <c r="CM763" s="628"/>
      <c r="CN763" s="628"/>
      <c r="CO763" s="628"/>
      <c r="CP763" s="628"/>
      <c r="CQ763" s="628"/>
      <c r="CR763" s="628"/>
      <c r="CS763" s="628"/>
      <c r="CT763" s="628"/>
      <c r="CU763" s="628"/>
      <c r="CV763" s="628"/>
      <c r="CW763" s="628"/>
      <c r="CX763" s="628"/>
      <c r="CY763" s="628"/>
      <c r="CZ763" s="629"/>
      <c r="DA763" s="214"/>
    </row>
    <row r="764" spans="1:105" s="16" customFormat="1" ht="15" hidden="1" customHeight="1" x14ac:dyDescent="0.3">
      <c r="A764" s="630" t="s">
        <v>756</v>
      </c>
      <c r="B764" s="631"/>
      <c r="C764" s="631"/>
      <c r="D764" s="631"/>
      <c r="E764" s="631"/>
      <c r="F764" s="631"/>
      <c r="G764" s="632"/>
      <c r="H764" s="584" t="s">
        <v>757</v>
      </c>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5"/>
      <c r="AL764" s="585"/>
      <c r="AM764" s="585"/>
      <c r="AN764" s="585"/>
      <c r="AO764" s="585"/>
      <c r="AP764" s="585"/>
      <c r="AQ764" s="585"/>
      <c r="AR764" s="585"/>
      <c r="AS764" s="585"/>
      <c r="AT764" s="586"/>
      <c r="AU764" s="475" t="s">
        <v>730</v>
      </c>
      <c r="AV764" s="476"/>
      <c r="AW764" s="476"/>
      <c r="AX764" s="476"/>
      <c r="AY764" s="476"/>
      <c r="AZ764" s="476"/>
      <c r="BA764" s="476"/>
      <c r="BB764" s="477"/>
      <c r="BC764" s="544">
        <v>5</v>
      </c>
      <c r="BD764" s="545"/>
      <c r="BE764" s="545"/>
      <c r="BF764" s="545"/>
      <c r="BG764" s="545"/>
      <c r="BH764" s="545"/>
      <c r="BI764" s="545"/>
      <c r="BJ764" s="545"/>
      <c r="BK764" s="545"/>
      <c r="BL764" s="545"/>
      <c r="BM764" s="545"/>
      <c r="BN764" s="545"/>
      <c r="BO764" s="545"/>
      <c r="BP764" s="545"/>
      <c r="BQ764" s="545"/>
      <c r="BR764" s="546"/>
      <c r="BS764" s="639">
        <v>47.5</v>
      </c>
      <c r="BT764" s="640"/>
      <c r="BU764" s="640"/>
      <c r="BV764" s="640"/>
      <c r="BW764" s="640"/>
      <c r="BX764" s="640"/>
      <c r="BY764" s="640"/>
      <c r="BZ764" s="640"/>
      <c r="CA764" s="640"/>
      <c r="CB764" s="640"/>
      <c r="CC764" s="640"/>
      <c r="CD764" s="640"/>
      <c r="CE764" s="640"/>
      <c r="CF764" s="640"/>
      <c r="CG764" s="640"/>
      <c r="CH764" s="641"/>
      <c r="CI764" s="627">
        <f t="shared" si="14"/>
        <v>237.5</v>
      </c>
      <c r="CJ764" s="628"/>
      <c r="CK764" s="628"/>
      <c r="CL764" s="628"/>
      <c r="CM764" s="628"/>
      <c r="CN764" s="628"/>
      <c r="CO764" s="628"/>
      <c r="CP764" s="628"/>
      <c r="CQ764" s="628"/>
      <c r="CR764" s="628"/>
      <c r="CS764" s="628"/>
      <c r="CT764" s="628"/>
      <c r="CU764" s="628"/>
      <c r="CV764" s="628"/>
      <c r="CW764" s="628"/>
      <c r="CX764" s="628"/>
      <c r="CY764" s="628"/>
      <c r="CZ764" s="629"/>
      <c r="DA764" s="214"/>
    </row>
    <row r="765" spans="1:105" s="16" customFormat="1" ht="15" hidden="1" customHeight="1" x14ac:dyDescent="0.3">
      <c r="A765" s="630" t="s">
        <v>674</v>
      </c>
      <c r="B765" s="631"/>
      <c r="C765" s="631"/>
      <c r="D765" s="631"/>
      <c r="E765" s="631"/>
      <c r="F765" s="631"/>
      <c r="G765" s="632"/>
      <c r="H765" s="584" t="s">
        <v>758</v>
      </c>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5"/>
      <c r="AL765" s="585"/>
      <c r="AM765" s="585"/>
      <c r="AN765" s="585"/>
      <c r="AO765" s="585"/>
      <c r="AP765" s="585"/>
      <c r="AQ765" s="585"/>
      <c r="AR765" s="585"/>
      <c r="AS765" s="585"/>
      <c r="AT765" s="586"/>
      <c r="AU765" s="475" t="s">
        <v>730</v>
      </c>
      <c r="AV765" s="476"/>
      <c r="AW765" s="476"/>
      <c r="AX765" s="476"/>
      <c r="AY765" s="476"/>
      <c r="AZ765" s="476"/>
      <c r="BA765" s="476"/>
      <c r="BB765" s="477"/>
      <c r="BC765" s="544">
        <v>10</v>
      </c>
      <c r="BD765" s="545"/>
      <c r="BE765" s="545"/>
      <c r="BF765" s="545"/>
      <c r="BG765" s="545"/>
      <c r="BH765" s="545"/>
      <c r="BI765" s="545"/>
      <c r="BJ765" s="545"/>
      <c r="BK765" s="545"/>
      <c r="BL765" s="545"/>
      <c r="BM765" s="545"/>
      <c r="BN765" s="545"/>
      <c r="BO765" s="545"/>
      <c r="BP765" s="545"/>
      <c r="BQ765" s="545"/>
      <c r="BR765" s="546"/>
      <c r="BS765" s="639">
        <v>46.72</v>
      </c>
      <c r="BT765" s="640"/>
      <c r="BU765" s="640"/>
      <c r="BV765" s="640"/>
      <c r="BW765" s="640"/>
      <c r="BX765" s="640"/>
      <c r="BY765" s="640"/>
      <c r="BZ765" s="640"/>
      <c r="CA765" s="640"/>
      <c r="CB765" s="640"/>
      <c r="CC765" s="640"/>
      <c r="CD765" s="640"/>
      <c r="CE765" s="640"/>
      <c r="CF765" s="640"/>
      <c r="CG765" s="640"/>
      <c r="CH765" s="641"/>
      <c r="CI765" s="627">
        <f t="shared" si="14"/>
        <v>467.2</v>
      </c>
      <c r="CJ765" s="628"/>
      <c r="CK765" s="628"/>
      <c r="CL765" s="628"/>
      <c r="CM765" s="628"/>
      <c r="CN765" s="628"/>
      <c r="CO765" s="628"/>
      <c r="CP765" s="628"/>
      <c r="CQ765" s="628"/>
      <c r="CR765" s="628"/>
      <c r="CS765" s="628"/>
      <c r="CT765" s="628"/>
      <c r="CU765" s="628"/>
      <c r="CV765" s="628"/>
      <c r="CW765" s="628"/>
      <c r="CX765" s="628"/>
      <c r="CY765" s="628"/>
      <c r="CZ765" s="629"/>
      <c r="DA765" s="214"/>
    </row>
    <row r="766" spans="1:105" s="16" customFormat="1" ht="15" hidden="1" customHeight="1" x14ac:dyDescent="0.3">
      <c r="A766" s="630" t="s">
        <v>675</v>
      </c>
      <c r="B766" s="631"/>
      <c r="C766" s="631"/>
      <c r="D766" s="631"/>
      <c r="E766" s="631"/>
      <c r="F766" s="631"/>
      <c r="G766" s="632"/>
      <c r="H766" s="584" t="s">
        <v>759</v>
      </c>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5"/>
      <c r="AL766" s="585"/>
      <c r="AM766" s="585"/>
      <c r="AN766" s="585"/>
      <c r="AO766" s="585"/>
      <c r="AP766" s="585"/>
      <c r="AQ766" s="585"/>
      <c r="AR766" s="585"/>
      <c r="AS766" s="585"/>
      <c r="AT766" s="586"/>
      <c r="AU766" s="475" t="s">
        <v>730</v>
      </c>
      <c r="AV766" s="476"/>
      <c r="AW766" s="476"/>
      <c r="AX766" s="476"/>
      <c r="AY766" s="476"/>
      <c r="AZ766" s="476"/>
      <c r="BA766" s="476"/>
      <c r="BB766" s="477"/>
      <c r="BC766" s="544">
        <v>5</v>
      </c>
      <c r="BD766" s="545"/>
      <c r="BE766" s="545"/>
      <c r="BF766" s="545"/>
      <c r="BG766" s="545"/>
      <c r="BH766" s="545"/>
      <c r="BI766" s="545"/>
      <c r="BJ766" s="545"/>
      <c r="BK766" s="545"/>
      <c r="BL766" s="545"/>
      <c r="BM766" s="545"/>
      <c r="BN766" s="545"/>
      <c r="BO766" s="545"/>
      <c r="BP766" s="545"/>
      <c r="BQ766" s="545"/>
      <c r="BR766" s="546"/>
      <c r="BS766" s="639">
        <v>45.160000000000004</v>
      </c>
      <c r="BT766" s="640"/>
      <c r="BU766" s="640"/>
      <c r="BV766" s="640"/>
      <c r="BW766" s="640"/>
      <c r="BX766" s="640"/>
      <c r="BY766" s="640"/>
      <c r="BZ766" s="640"/>
      <c r="CA766" s="640"/>
      <c r="CB766" s="640"/>
      <c r="CC766" s="640"/>
      <c r="CD766" s="640"/>
      <c r="CE766" s="640"/>
      <c r="CF766" s="640"/>
      <c r="CG766" s="640"/>
      <c r="CH766" s="641"/>
      <c r="CI766" s="627">
        <f t="shared" si="14"/>
        <v>225.8</v>
      </c>
      <c r="CJ766" s="628"/>
      <c r="CK766" s="628"/>
      <c r="CL766" s="628"/>
      <c r="CM766" s="628"/>
      <c r="CN766" s="628"/>
      <c r="CO766" s="628"/>
      <c r="CP766" s="628"/>
      <c r="CQ766" s="628"/>
      <c r="CR766" s="628"/>
      <c r="CS766" s="628"/>
      <c r="CT766" s="628"/>
      <c r="CU766" s="628"/>
      <c r="CV766" s="628"/>
      <c r="CW766" s="628"/>
      <c r="CX766" s="628"/>
      <c r="CY766" s="628"/>
      <c r="CZ766" s="629"/>
      <c r="DA766" s="214"/>
    </row>
    <row r="767" spans="1:105" s="16" customFormat="1" ht="15" hidden="1" customHeight="1" x14ac:dyDescent="0.3">
      <c r="A767" s="630" t="s">
        <v>760</v>
      </c>
      <c r="B767" s="631"/>
      <c r="C767" s="631"/>
      <c r="D767" s="631"/>
      <c r="E767" s="631"/>
      <c r="F767" s="631"/>
      <c r="G767" s="632"/>
      <c r="H767" s="584" t="s">
        <v>761</v>
      </c>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5"/>
      <c r="AL767" s="585"/>
      <c r="AM767" s="585"/>
      <c r="AN767" s="585"/>
      <c r="AO767" s="585"/>
      <c r="AP767" s="585"/>
      <c r="AQ767" s="585"/>
      <c r="AR767" s="585"/>
      <c r="AS767" s="585"/>
      <c r="AT767" s="586"/>
      <c r="AU767" s="475" t="s">
        <v>730</v>
      </c>
      <c r="AV767" s="476"/>
      <c r="AW767" s="476"/>
      <c r="AX767" s="476"/>
      <c r="AY767" s="476"/>
      <c r="AZ767" s="476"/>
      <c r="BA767" s="476"/>
      <c r="BB767" s="477"/>
      <c r="BC767" s="544">
        <v>10</v>
      </c>
      <c r="BD767" s="545"/>
      <c r="BE767" s="545"/>
      <c r="BF767" s="545"/>
      <c r="BG767" s="545"/>
      <c r="BH767" s="545"/>
      <c r="BI767" s="545"/>
      <c r="BJ767" s="545"/>
      <c r="BK767" s="545"/>
      <c r="BL767" s="545"/>
      <c r="BM767" s="545"/>
      <c r="BN767" s="545"/>
      <c r="BO767" s="545"/>
      <c r="BP767" s="545"/>
      <c r="BQ767" s="545"/>
      <c r="BR767" s="546"/>
      <c r="BS767" s="639">
        <v>5.26</v>
      </c>
      <c r="BT767" s="640"/>
      <c r="BU767" s="640"/>
      <c r="BV767" s="640"/>
      <c r="BW767" s="640"/>
      <c r="BX767" s="640"/>
      <c r="BY767" s="640"/>
      <c r="BZ767" s="640"/>
      <c r="CA767" s="640"/>
      <c r="CB767" s="640"/>
      <c r="CC767" s="640"/>
      <c r="CD767" s="640"/>
      <c r="CE767" s="640"/>
      <c r="CF767" s="640"/>
      <c r="CG767" s="640"/>
      <c r="CH767" s="641"/>
      <c r="CI767" s="627">
        <f t="shared" si="14"/>
        <v>52.599999999999994</v>
      </c>
      <c r="CJ767" s="628"/>
      <c r="CK767" s="628"/>
      <c r="CL767" s="628"/>
      <c r="CM767" s="628"/>
      <c r="CN767" s="628"/>
      <c r="CO767" s="628"/>
      <c r="CP767" s="628"/>
      <c r="CQ767" s="628"/>
      <c r="CR767" s="628"/>
      <c r="CS767" s="628"/>
      <c r="CT767" s="628"/>
      <c r="CU767" s="628"/>
      <c r="CV767" s="628"/>
      <c r="CW767" s="628"/>
      <c r="CX767" s="628"/>
      <c r="CY767" s="628"/>
      <c r="CZ767" s="629"/>
      <c r="DA767" s="214"/>
    </row>
    <row r="768" spans="1:105" s="16" customFormat="1" ht="15" hidden="1" customHeight="1" x14ac:dyDescent="0.3">
      <c r="A768" s="630" t="s">
        <v>762</v>
      </c>
      <c r="B768" s="631"/>
      <c r="C768" s="631"/>
      <c r="D768" s="631"/>
      <c r="E768" s="631"/>
      <c r="F768" s="631"/>
      <c r="G768" s="632"/>
      <c r="H768" s="584" t="s">
        <v>763</v>
      </c>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5"/>
      <c r="AL768" s="585"/>
      <c r="AM768" s="585"/>
      <c r="AN768" s="585"/>
      <c r="AO768" s="585"/>
      <c r="AP768" s="585"/>
      <c r="AQ768" s="585"/>
      <c r="AR768" s="585"/>
      <c r="AS768" s="585"/>
      <c r="AT768" s="586"/>
      <c r="AU768" s="475" t="s">
        <v>734</v>
      </c>
      <c r="AV768" s="476"/>
      <c r="AW768" s="476"/>
      <c r="AX768" s="476"/>
      <c r="AY768" s="476"/>
      <c r="AZ768" s="476"/>
      <c r="BA768" s="476"/>
      <c r="BB768" s="477"/>
      <c r="BC768" s="544">
        <v>10</v>
      </c>
      <c r="BD768" s="545"/>
      <c r="BE768" s="545"/>
      <c r="BF768" s="545"/>
      <c r="BG768" s="545"/>
      <c r="BH768" s="545"/>
      <c r="BI768" s="545"/>
      <c r="BJ768" s="545"/>
      <c r="BK768" s="545"/>
      <c r="BL768" s="545"/>
      <c r="BM768" s="545"/>
      <c r="BN768" s="545"/>
      <c r="BO768" s="545"/>
      <c r="BP768" s="545"/>
      <c r="BQ768" s="545"/>
      <c r="BR768" s="546"/>
      <c r="BS768" s="639">
        <v>12.25</v>
      </c>
      <c r="BT768" s="640"/>
      <c r="BU768" s="640"/>
      <c r="BV768" s="640"/>
      <c r="BW768" s="640"/>
      <c r="BX768" s="640"/>
      <c r="BY768" s="640"/>
      <c r="BZ768" s="640"/>
      <c r="CA768" s="640"/>
      <c r="CB768" s="640"/>
      <c r="CC768" s="640"/>
      <c r="CD768" s="640"/>
      <c r="CE768" s="640"/>
      <c r="CF768" s="640"/>
      <c r="CG768" s="640"/>
      <c r="CH768" s="641"/>
      <c r="CI768" s="627">
        <f t="shared" si="14"/>
        <v>122.5</v>
      </c>
      <c r="CJ768" s="628"/>
      <c r="CK768" s="628"/>
      <c r="CL768" s="628"/>
      <c r="CM768" s="628"/>
      <c r="CN768" s="628"/>
      <c r="CO768" s="628"/>
      <c r="CP768" s="628"/>
      <c r="CQ768" s="628"/>
      <c r="CR768" s="628"/>
      <c r="CS768" s="628"/>
      <c r="CT768" s="628"/>
      <c r="CU768" s="628"/>
      <c r="CV768" s="628"/>
      <c r="CW768" s="628"/>
      <c r="CX768" s="628"/>
      <c r="CY768" s="628"/>
      <c r="CZ768" s="629"/>
      <c r="DA768" s="214"/>
    </row>
    <row r="769" spans="1:105" s="16" customFormat="1" ht="15" hidden="1" customHeight="1" x14ac:dyDescent="0.3">
      <c r="A769" s="630" t="s">
        <v>764</v>
      </c>
      <c r="B769" s="631"/>
      <c r="C769" s="631"/>
      <c r="D769" s="631"/>
      <c r="E769" s="631"/>
      <c r="F769" s="631"/>
      <c r="G769" s="632"/>
      <c r="H769" s="584" t="s">
        <v>765</v>
      </c>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5"/>
      <c r="AL769" s="585"/>
      <c r="AM769" s="585"/>
      <c r="AN769" s="585"/>
      <c r="AO769" s="585"/>
      <c r="AP769" s="585"/>
      <c r="AQ769" s="585"/>
      <c r="AR769" s="585"/>
      <c r="AS769" s="585"/>
      <c r="AT769" s="586"/>
      <c r="AU769" s="475" t="s">
        <v>690</v>
      </c>
      <c r="AV769" s="476"/>
      <c r="AW769" s="476"/>
      <c r="AX769" s="476"/>
      <c r="AY769" s="476"/>
      <c r="AZ769" s="476"/>
      <c r="BA769" s="476"/>
      <c r="BB769" s="477"/>
      <c r="BC769" s="544">
        <v>600</v>
      </c>
      <c r="BD769" s="545"/>
      <c r="BE769" s="545"/>
      <c r="BF769" s="545"/>
      <c r="BG769" s="545"/>
      <c r="BH769" s="545"/>
      <c r="BI769" s="545"/>
      <c r="BJ769" s="545"/>
      <c r="BK769" s="545"/>
      <c r="BL769" s="545"/>
      <c r="BM769" s="545"/>
      <c r="BN769" s="545"/>
      <c r="BO769" s="545"/>
      <c r="BP769" s="545"/>
      <c r="BQ769" s="545"/>
      <c r="BR769" s="546"/>
      <c r="BS769" s="639">
        <v>5.2</v>
      </c>
      <c r="BT769" s="640"/>
      <c r="BU769" s="640"/>
      <c r="BV769" s="640"/>
      <c r="BW769" s="640"/>
      <c r="BX769" s="640"/>
      <c r="BY769" s="640"/>
      <c r="BZ769" s="640"/>
      <c r="CA769" s="640"/>
      <c r="CB769" s="640"/>
      <c r="CC769" s="640"/>
      <c r="CD769" s="640"/>
      <c r="CE769" s="640"/>
      <c r="CF769" s="640"/>
      <c r="CG769" s="640"/>
      <c r="CH769" s="641"/>
      <c r="CI769" s="627">
        <f t="shared" si="14"/>
        <v>3120</v>
      </c>
      <c r="CJ769" s="628"/>
      <c r="CK769" s="628"/>
      <c r="CL769" s="628"/>
      <c r="CM769" s="628"/>
      <c r="CN769" s="628"/>
      <c r="CO769" s="628"/>
      <c r="CP769" s="628"/>
      <c r="CQ769" s="628"/>
      <c r="CR769" s="628"/>
      <c r="CS769" s="628"/>
      <c r="CT769" s="628"/>
      <c r="CU769" s="628"/>
      <c r="CV769" s="628"/>
      <c r="CW769" s="628"/>
      <c r="CX769" s="628"/>
      <c r="CY769" s="628"/>
      <c r="CZ769" s="629"/>
      <c r="DA769" s="214"/>
    </row>
    <row r="770" spans="1:105" s="16" customFormat="1" ht="15" hidden="1" customHeight="1" x14ac:dyDescent="0.3">
      <c r="A770" s="630" t="s">
        <v>766</v>
      </c>
      <c r="B770" s="631"/>
      <c r="C770" s="631"/>
      <c r="D770" s="631"/>
      <c r="E770" s="631"/>
      <c r="F770" s="631"/>
      <c r="G770" s="632"/>
      <c r="H770" s="584" t="s">
        <v>767</v>
      </c>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5"/>
      <c r="AL770" s="585"/>
      <c r="AM770" s="585"/>
      <c r="AN770" s="585"/>
      <c r="AO770" s="585"/>
      <c r="AP770" s="585"/>
      <c r="AQ770" s="585"/>
      <c r="AR770" s="585"/>
      <c r="AS770" s="585"/>
      <c r="AT770" s="586"/>
      <c r="AU770" s="475" t="s">
        <v>730</v>
      </c>
      <c r="AV770" s="476"/>
      <c r="AW770" s="476"/>
      <c r="AX770" s="476"/>
      <c r="AY770" s="476"/>
      <c r="AZ770" s="476"/>
      <c r="BA770" s="476"/>
      <c r="BB770" s="477"/>
      <c r="BC770" s="544">
        <v>10</v>
      </c>
      <c r="BD770" s="545"/>
      <c r="BE770" s="545"/>
      <c r="BF770" s="545"/>
      <c r="BG770" s="545"/>
      <c r="BH770" s="545"/>
      <c r="BI770" s="545"/>
      <c r="BJ770" s="545"/>
      <c r="BK770" s="545"/>
      <c r="BL770" s="545"/>
      <c r="BM770" s="545"/>
      <c r="BN770" s="545"/>
      <c r="BO770" s="545"/>
      <c r="BP770" s="545"/>
      <c r="BQ770" s="545"/>
      <c r="BR770" s="546"/>
      <c r="BS770" s="639">
        <v>180</v>
      </c>
      <c r="BT770" s="640"/>
      <c r="BU770" s="640"/>
      <c r="BV770" s="640"/>
      <c r="BW770" s="640"/>
      <c r="BX770" s="640"/>
      <c r="BY770" s="640"/>
      <c r="BZ770" s="640"/>
      <c r="CA770" s="640"/>
      <c r="CB770" s="640"/>
      <c r="CC770" s="640"/>
      <c r="CD770" s="640"/>
      <c r="CE770" s="640"/>
      <c r="CF770" s="640"/>
      <c r="CG770" s="640"/>
      <c r="CH770" s="641"/>
      <c r="CI770" s="627">
        <f t="shared" si="14"/>
        <v>1800</v>
      </c>
      <c r="CJ770" s="628"/>
      <c r="CK770" s="628"/>
      <c r="CL770" s="628"/>
      <c r="CM770" s="628"/>
      <c r="CN770" s="628"/>
      <c r="CO770" s="628"/>
      <c r="CP770" s="628"/>
      <c r="CQ770" s="628"/>
      <c r="CR770" s="628"/>
      <c r="CS770" s="628"/>
      <c r="CT770" s="628"/>
      <c r="CU770" s="628"/>
      <c r="CV770" s="628"/>
      <c r="CW770" s="628"/>
      <c r="CX770" s="628"/>
      <c r="CY770" s="628"/>
      <c r="CZ770" s="629"/>
      <c r="DA770" s="214"/>
    </row>
    <row r="771" spans="1:105" s="16" customFormat="1" ht="15" hidden="1" customHeight="1" x14ac:dyDescent="0.3">
      <c r="A771" s="630" t="s">
        <v>768</v>
      </c>
      <c r="B771" s="631"/>
      <c r="C771" s="631"/>
      <c r="D771" s="631"/>
      <c r="E771" s="631"/>
      <c r="F771" s="631"/>
      <c r="G771" s="632"/>
      <c r="H771" s="584" t="s">
        <v>769</v>
      </c>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5"/>
      <c r="AL771" s="585"/>
      <c r="AM771" s="585"/>
      <c r="AN771" s="585"/>
      <c r="AO771" s="585"/>
      <c r="AP771" s="585"/>
      <c r="AQ771" s="585"/>
      <c r="AR771" s="585"/>
      <c r="AS771" s="585"/>
      <c r="AT771" s="586"/>
      <c r="AU771" s="475" t="s">
        <v>734</v>
      </c>
      <c r="AV771" s="476"/>
      <c r="AW771" s="476"/>
      <c r="AX771" s="476"/>
      <c r="AY771" s="476"/>
      <c r="AZ771" s="476"/>
      <c r="BA771" s="476"/>
      <c r="BB771" s="477"/>
      <c r="BC771" s="544">
        <v>20</v>
      </c>
      <c r="BD771" s="545"/>
      <c r="BE771" s="545"/>
      <c r="BF771" s="545"/>
      <c r="BG771" s="545"/>
      <c r="BH771" s="545"/>
      <c r="BI771" s="545"/>
      <c r="BJ771" s="545"/>
      <c r="BK771" s="545"/>
      <c r="BL771" s="545"/>
      <c r="BM771" s="545"/>
      <c r="BN771" s="545"/>
      <c r="BO771" s="545"/>
      <c r="BP771" s="545"/>
      <c r="BQ771" s="545"/>
      <c r="BR771" s="546"/>
      <c r="BS771" s="639">
        <v>10.199999999999999</v>
      </c>
      <c r="BT771" s="640"/>
      <c r="BU771" s="640"/>
      <c r="BV771" s="640"/>
      <c r="BW771" s="640"/>
      <c r="BX771" s="640"/>
      <c r="BY771" s="640"/>
      <c r="BZ771" s="640"/>
      <c r="CA771" s="640"/>
      <c r="CB771" s="640"/>
      <c r="CC771" s="640"/>
      <c r="CD771" s="640"/>
      <c r="CE771" s="640"/>
      <c r="CF771" s="640"/>
      <c r="CG771" s="640"/>
      <c r="CH771" s="641"/>
      <c r="CI771" s="627">
        <f t="shared" si="14"/>
        <v>204</v>
      </c>
      <c r="CJ771" s="628"/>
      <c r="CK771" s="628"/>
      <c r="CL771" s="628"/>
      <c r="CM771" s="628"/>
      <c r="CN771" s="628"/>
      <c r="CO771" s="628"/>
      <c r="CP771" s="628"/>
      <c r="CQ771" s="628"/>
      <c r="CR771" s="628"/>
      <c r="CS771" s="628"/>
      <c r="CT771" s="628"/>
      <c r="CU771" s="628"/>
      <c r="CV771" s="628"/>
      <c r="CW771" s="628"/>
      <c r="CX771" s="628"/>
      <c r="CY771" s="628"/>
      <c r="CZ771" s="629"/>
      <c r="DA771" s="214"/>
    </row>
    <row r="772" spans="1:105" s="16" customFormat="1" ht="15" hidden="1" customHeight="1" x14ac:dyDescent="0.3">
      <c r="A772" s="630" t="s">
        <v>770</v>
      </c>
      <c r="B772" s="631"/>
      <c r="C772" s="631"/>
      <c r="D772" s="631"/>
      <c r="E772" s="631"/>
      <c r="F772" s="631"/>
      <c r="G772" s="632"/>
      <c r="H772" s="584" t="s">
        <v>771</v>
      </c>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5"/>
      <c r="AL772" s="585"/>
      <c r="AM772" s="585"/>
      <c r="AN772" s="585"/>
      <c r="AO772" s="585"/>
      <c r="AP772" s="585"/>
      <c r="AQ772" s="585"/>
      <c r="AR772" s="585"/>
      <c r="AS772" s="585"/>
      <c r="AT772" s="586"/>
      <c r="AU772" s="475" t="s">
        <v>734</v>
      </c>
      <c r="AV772" s="476"/>
      <c r="AW772" s="476"/>
      <c r="AX772" s="476"/>
      <c r="AY772" s="476"/>
      <c r="AZ772" s="476"/>
      <c r="BA772" s="476"/>
      <c r="BB772" s="477"/>
      <c r="BC772" s="544">
        <v>6</v>
      </c>
      <c r="BD772" s="545"/>
      <c r="BE772" s="545"/>
      <c r="BF772" s="545"/>
      <c r="BG772" s="545"/>
      <c r="BH772" s="545"/>
      <c r="BI772" s="545"/>
      <c r="BJ772" s="545"/>
      <c r="BK772" s="545"/>
      <c r="BL772" s="545"/>
      <c r="BM772" s="545"/>
      <c r="BN772" s="545"/>
      <c r="BO772" s="545"/>
      <c r="BP772" s="545"/>
      <c r="BQ772" s="545"/>
      <c r="BR772" s="546"/>
      <c r="BS772" s="639">
        <v>18.96</v>
      </c>
      <c r="BT772" s="640"/>
      <c r="BU772" s="640"/>
      <c r="BV772" s="640"/>
      <c r="BW772" s="640"/>
      <c r="BX772" s="640"/>
      <c r="BY772" s="640"/>
      <c r="BZ772" s="640"/>
      <c r="CA772" s="640"/>
      <c r="CB772" s="640"/>
      <c r="CC772" s="640"/>
      <c r="CD772" s="640"/>
      <c r="CE772" s="640"/>
      <c r="CF772" s="640"/>
      <c r="CG772" s="640"/>
      <c r="CH772" s="641"/>
      <c r="CI772" s="627">
        <f t="shared" si="14"/>
        <v>113.76</v>
      </c>
      <c r="CJ772" s="628"/>
      <c r="CK772" s="628"/>
      <c r="CL772" s="628"/>
      <c r="CM772" s="628"/>
      <c r="CN772" s="628"/>
      <c r="CO772" s="628"/>
      <c r="CP772" s="628"/>
      <c r="CQ772" s="628"/>
      <c r="CR772" s="628"/>
      <c r="CS772" s="628"/>
      <c r="CT772" s="628"/>
      <c r="CU772" s="628"/>
      <c r="CV772" s="628"/>
      <c r="CW772" s="628"/>
      <c r="CX772" s="628"/>
      <c r="CY772" s="628"/>
      <c r="CZ772" s="629"/>
      <c r="DA772" s="214"/>
    </row>
    <row r="773" spans="1:105" s="16" customFormat="1" ht="15" hidden="1" customHeight="1" x14ac:dyDescent="0.3">
      <c r="A773" s="630" t="s">
        <v>772</v>
      </c>
      <c r="B773" s="631"/>
      <c r="C773" s="631"/>
      <c r="D773" s="631"/>
      <c r="E773" s="631"/>
      <c r="F773" s="631"/>
      <c r="G773" s="632"/>
      <c r="H773" s="584" t="s">
        <v>773</v>
      </c>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5"/>
      <c r="AL773" s="585"/>
      <c r="AM773" s="585"/>
      <c r="AN773" s="585"/>
      <c r="AO773" s="585"/>
      <c r="AP773" s="585"/>
      <c r="AQ773" s="585"/>
      <c r="AR773" s="585"/>
      <c r="AS773" s="585"/>
      <c r="AT773" s="586"/>
      <c r="AU773" s="475"/>
      <c r="AV773" s="476"/>
      <c r="AW773" s="476"/>
      <c r="AX773" s="476"/>
      <c r="AY773" s="476"/>
      <c r="AZ773" s="476"/>
      <c r="BA773" s="476"/>
      <c r="BB773" s="477"/>
      <c r="BC773" s="544">
        <v>15</v>
      </c>
      <c r="BD773" s="545"/>
      <c r="BE773" s="545"/>
      <c r="BF773" s="545"/>
      <c r="BG773" s="545"/>
      <c r="BH773" s="545"/>
      <c r="BI773" s="545"/>
      <c r="BJ773" s="545"/>
      <c r="BK773" s="545"/>
      <c r="BL773" s="545"/>
      <c r="BM773" s="545"/>
      <c r="BN773" s="545"/>
      <c r="BO773" s="545"/>
      <c r="BP773" s="545"/>
      <c r="BQ773" s="545"/>
      <c r="BR773" s="546"/>
      <c r="BS773" s="639">
        <v>25.886666666666667</v>
      </c>
      <c r="BT773" s="640"/>
      <c r="BU773" s="640"/>
      <c r="BV773" s="640"/>
      <c r="BW773" s="640"/>
      <c r="BX773" s="640"/>
      <c r="BY773" s="640"/>
      <c r="BZ773" s="640"/>
      <c r="CA773" s="640"/>
      <c r="CB773" s="640"/>
      <c r="CC773" s="640"/>
      <c r="CD773" s="640"/>
      <c r="CE773" s="640"/>
      <c r="CF773" s="640"/>
      <c r="CG773" s="640"/>
      <c r="CH773" s="641"/>
      <c r="CI773" s="627">
        <f t="shared" si="14"/>
        <v>388.3</v>
      </c>
      <c r="CJ773" s="628"/>
      <c r="CK773" s="628"/>
      <c r="CL773" s="628"/>
      <c r="CM773" s="628"/>
      <c r="CN773" s="628"/>
      <c r="CO773" s="628"/>
      <c r="CP773" s="628"/>
      <c r="CQ773" s="628"/>
      <c r="CR773" s="628"/>
      <c r="CS773" s="628"/>
      <c r="CT773" s="628"/>
      <c r="CU773" s="628"/>
      <c r="CV773" s="628"/>
      <c r="CW773" s="628"/>
      <c r="CX773" s="628"/>
      <c r="CY773" s="628"/>
      <c r="CZ773" s="629"/>
      <c r="DA773" s="214"/>
    </row>
    <row r="774" spans="1:105" s="16" customFormat="1" ht="15" hidden="1" customHeight="1" x14ac:dyDescent="0.3">
      <c r="A774" s="630" t="s">
        <v>774</v>
      </c>
      <c r="B774" s="631"/>
      <c r="C774" s="631"/>
      <c r="D774" s="631"/>
      <c r="E774" s="631"/>
      <c r="F774" s="631"/>
      <c r="G774" s="632"/>
      <c r="H774" s="584" t="s">
        <v>775</v>
      </c>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5"/>
      <c r="AL774" s="585"/>
      <c r="AM774" s="585"/>
      <c r="AN774" s="585"/>
      <c r="AO774" s="585"/>
      <c r="AP774" s="585"/>
      <c r="AQ774" s="585"/>
      <c r="AR774" s="585"/>
      <c r="AS774" s="585"/>
      <c r="AT774" s="586"/>
      <c r="AU774" s="475" t="s">
        <v>730</v>
      </c>
      <c r="AV774" s="476"/>
      <c r="AW774" s="476"/>
      <c r="AX774" s="476"/>
      <c r="AY774" s="476"/>
      <c r="AZ774" s="476"/>
      <c r="BA774" s="476"/>
      <c r="BB774" s="477"/>
      <c r="BC774" s="544">
        <v>10</v>
      </c>
      <c r="BD774" s="545"/>
      <c r="BE774" s="545"/>
      <c r="BF774" s="545"/>
      <c r="BG774" s="545"/>
      <c r="BH774" s="545"/>
      <c r="BI774" s="545"/>
      <c r="BJ774" s="545"/>
      <c r="BK774" s="545"/>
      <c r="BL774" s="545"/>
      <c r="BM774" s="545"/>
      <c r="BN774" s="545"/>
      <c r="BO774" s="545"/>
      <c r="BP774" s="545"/>
      <c r="BQ774" s="545"/>
      <c r="BR774" s="546"/>
      <c r="BS774" s="639">
        <v>153</v>
      </c>
      <c r="BT774" s="640"/>
      <c r="BU774" s="640"/>
      <c r="BV774" s="640"/>
      <c r="BW774" s="640"/>
      <c r="BX774" s="640"/>
      <c r="BY774" s="640"/>
      <c r="BZ774" s="640"/>
      <c r="CA774" s="640"/>
      <c r="CB774" s="640"/>
      <c r="CC774" s="640"/>
      <c r="CD774" s="640"/>
      <c r="CE774" s="640"/>
      <c r="CF774" s="640"/>
      <c r="CG774" s="640"/>
      <c r="CH774" s="641"/>
      <c r="CI774" s="627">
        <f t="shared" si="14"/>
        <v>1530</v>
      </c>
      <c r="CJ774" s="628"/>
      <c r="CK774" s="628"/>
      <c r="CL774" s="628"/>
      <c r="CM774" s="628"/>
      <c r="CN774" s="628"/>
      <c r="CO774" s="628"/>
      <c r="CP774" s="628"/>
      <c r="CQ774" s="628"/>
      <c r="CR774" s="628"/>
      <c r="CS774" s="628"/>
      <c r="CT774" s="628"/>
      <c r="CU774" s="628"/>
      <c r="CV774" s="628"/>
      <c r="CW774" s="628"/>
      <c r="CX774" s="628"/>
      <c r="CY774" s="628"/>
      <c r="CZ774" s="629"/>
      <c r="DA774" s="214"/>
    </row>
    <row r="775" spans="1:105" s="16" customFormat="1" ht="15" hidden="1" customHeight="1" x14ac:dyDescent="0.3">
      <c r="A775" s="630" t="s">
        <v>776</v>
      </c>
      <c r="B775" s="631"/>
      <c r="C775" s="631"/>
      <c r="D775" s="631"/>
      <c r="E775" s="631"/>
      <c r="F775" s="631"/>
      <c r="G775" s="632"/>
      <c r="H775" s="584" t="s">
        <v>777</v>
      </c>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5"/>
      <c r="AL775" s="585"/>
      <c r="AM775" s="585"/>
      <c r="AN775" s="585"/>
      <c r="AO775" s="585"/>
      <c r="AP775" s="585"/>
      <c r="AQ775" s="585"/>
      <c r="AR775" s="585"/>
      <c r="AS775" s="585"/>
      <c r="AT775" s="586"/>
      <c r="AU775" s="475" t="s">
        <v>730</v>
      </c>
      <c r="AV775" s="476"/>
      <c r="AW775" s="476"/>
      <c r="AX775" s="476"/>
      <c r="AY775" s="476"/>
      <c r="AZ775" s="476"/>
      <c r="BA775" s="476"/>
      <c r="BB775" s="477"/>
      <c r="BC775" s="544">
        <v>3</v>
      </c>
      <c r="BD775" s="545"/>
      <c r="BE775" s="545"/>
      <c r="BF775" s="545"/>
      <c r="BG775" s="545"/>
      <c r="BH775" s="545"/>
      <c r="BI775" s="545"/>
      <c r="BJ775" s="545"/>
      <c r="BK775" s="545"/>
      <c r="BL775" s="545"/>
      <c r="BM775" s="545"/>
      <c r="BN775" s="545"/>
      <c r="BO775" s="545"/>
      <c r="BP775" s="545"/>
      <c r="BQ775" s="545"/>
      <c r="BR775" s="546"/>
      <c r="BS775" s="639">
        <v>260</v>
      </c>
      <c r="BT775" s="640"/>
      <c r="BU775" s="640"/>
      <c r="BV775" s="640"/>
      <c r="BW775" s="640"/>
      <c r="BX775" s="640"/>
      <c r="BY775" s="640"/>
      <c r="BZ775" s="640"/>
      <c r="CA775" s="640"/>
      <c r="CB775" s="640"/>
      <c r="CC775" s="640"/>
      <c r="CD775" s="640"/>
      <c r="CE775" s="640"/>
      <c r="CF775" s="640"/>
      <c r="CG775" s="640"/>
      <c r="CH775" s="641"/>
      <c r="CI775" s="627">
        <f t="shared" si="14"/>
        <v>780</v>
      </c>
      <c r="CJ775" s="628"/>
      <c r="CK775" s="628"/>
      <c r="CL775" s="628"/>
      <c r="CM775" s="628"/>
      <c r="CN775" s="628"/>
      <c r="CO775" s="628"/>
      <c r="CP775" s="628"/>
      <c r="CQ775" s="628"/>
      <c r="CR775" s="628"/>
      <c r="CS775" s="628"/>
      <c r="CT775" s="628"/>
      <c r="CU775" s="628"/>
      <c r="CV775" s="628"/>
      <c r="CW775" s="628"/>
      <c r="CX775" s="628"/>
      <c r="CY775" s="628"/>
      <c r="CZ775" s="629"/>
      <c r="DA775" s="214"/>
    </row>
    <row r="776" spans="1:105" s="16" customFormat="1" ht="15" hidden="1" customHeight="1" x14ac:dyDescent="0.3">
      <c r="A776" s="630" t="s">
        <v>778</v>
      </c>
      <c r="B776" s="631"/>
      <c r="C776" s="631"/>
      <c r="D776" s="631"/>
      <c r="E776" s="631"/>
      <c r="F776" s="631"/>
      <c r="G776" s="632"/>
      <c r="H776" s="584" t="s">
        <v>779</v>
      </c>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5"/>
      <c r="AL776" s="585"/>
      <c r="AM776" s="585"/>
      <c r="AN776" s="585"/>
      <c r="AO776" s="585"/>
      <c r="AP776" s="585"/>
      <c r="AQ776" s="585"/>
      <c r="AR776" s="585"/>
      <c r="AS776" s="585"/>
      <c r="AT776" s="586"/>
      <c r="AU776" s="475" t="s">
        <v>730</v>
      </c>
      <c r="AV776" s="476"/>
      <c r="AW776" s="476"/>
      <c r="AX776" s="476"/>
      <c r="AY776" s="476"/>
      <c r="AZ776" s="476"/>
      <c r="BA776" s="476"/>
      <c r="BB776" s="477"/>
      <c r="BC776" s="544">
        <v>2</v>
      </c>
      <c r="BD776" s="545"/>
      <c r="BE776" s="545"/>
      <c r="BF776" s="545"/>
      <c r="BG776" s="545"/>
      <c r="BH776" s="545"/>
      <c r="BI776" s="545"/>
      <c r="BJ776" s="545"/>
      <c r="BK776" s="545"/>
      <c r="BL776" s="545"/>
      <c r="BM776" s="545"/>
      <c r="BN776" s="545"/>
      <c r="BO776" s="545"/>
      <c r="BP776" s="545"/>
      <c r="BQ776" s="545"/>
      <c r="BR776" s="546"/>
      <c r="BS776" s="639">
        <v>430</v>
      </c>
      <c r="BT776" s="640"/>
      <c r="BU776" s="640"/>
      <c r="BV776" s="640"/>
      <c r="BW776" s="640"/>
      <c r="BX776" s="640"/>
      <c r="BY776" s="640"/>
      <c r="BZ776" s="640"/>
      <c r="CA776" s="640"/>
      <c r="CB776" s="640"/>
      <c r="CC776" s="640"/>
      <c r="CD776" s="640"/>
      <c r="CE776" s="640"/>
      <c r="CF776" s="640"/>
      <c r="CG776" s="640"/>
      <c r="CH776" s="641"/>
      <c r="CI776" s="627">
        <f t="shared" si="14"/>
        <v>860</v>
      </c>
      <c r="CJ776" s="628"/>
      <c r="CK776" s="628"/>
      <c r="CL776" s="628"/>
      <c r="CM776" s="628"/>
      <c r="CN776" s="628"/>
      <c r="CO776" s="628"/>
      <c r="CP776" s="628"/>
      <c r="CQ776" s="628"/>
      <c r="CR776" s="628"/>
      <c r="CS776" s="628"/>
      <c r="CT776" s="628"/>
      <c r="CU776" s="628"/>
      <c r="CV776" s="628"/>
      <c r="CW776" s="628"/>
      <c r="CX776" s="628"/>
      <c r="CY776" s="628"/>
      <c r="CZ776" s="629"/>
      <c r="DA776" s="214"/>
    </row>
    <row r="777" spans="1:105" s="16" customFormat="1" ht="15" hidden="1" customHeight="1" x14ac:dyDescent="0.3">
      <c r="A777" s="630" t="s">
        <v>780</v>
      </c>
      <c r="B777" s="631"/>
      <c r="C777" s="631"/>
      <c r="D777" s="631"/>
      <c r="E777" s="631"/>
      <c r="F777" s="631"/>
      <c r="G777" s="632"/>
      <c r="H777" s="584" t="s">
        <v>781</v>
      </c>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5"/>
      <c r="AL777" s="585"/>
      <c r="AM777" s="585"/>
      <c r="AN777" s="585"/>
      <c r="AO777" s="585"/>
      <c r="AP777" s="585"/>
      <c r="AQ777" s="585"/>
      <c r="AR777" s="585"/>
      <c r="AS777" s="585"/>
      <c r="AT777" s="586"/>
      <c r="AU777" s="475" t="s">
        <v>730</v>
      </c>
      <c r="AV777" s="476"/>
      <c r="AW777" s="476"/>
      <c r="AX777" s="476"/>
      <c r="AY777" s="476"/>
      <c r="AZ777" s="476"/>
      <c r="BA777" s="476"/>
      <c r="BB777" s="477"/>
      <c r="BC777" s="544">
        <v>3</v>
      </c>
      <c r="BD777" s="545"/>
      <c r="BE777" s="545"/>
      <c r="BF777" s="545"/>
      <c r="BG777" s="545"/>
      <c r="BH777" s="545"/>
      <c r="BI777" s="545"/>
      <c r="BJ777" s="545"/>
      <c r="BK777" s="545"/>
      <c r="BL777" s="545"/>
      <c r="BM777" s="545"/>
      <c r="BN777" s="545"/>
      <c r="BO777" s="545"/>
      <c r="BP777" s="545"/>
      <c r="BQ777" s="545"/>
      <c r="BR777" s="546"/>
      <c r="BS777" s="639">
        <v>44.18</v>
      </c>
      <c r="BT777" s="640"/>
      <c r="BU777" s="640"/>
      <c r="BV777" s="640"/>
      <c r="BW777" s="640"/>
      <c r="BX777" s="640"/>
      <c r="BY777" s="640"/>
      <c r="BZ777" s="640"/>
      <c r="CA777" s="640"/>
      <c r="CB777" s="640"/>
      <c r="CC777" s="640"/>
      <c r="CD777" s="640"/>
      <c r="CE777" s="640"/>
      <c r="CF777" s="640"/>
      <c r="CG777" s="640"/>
      <c r="CH777" s="641"/>
      <c r="CI777" s="627">
        <f t="shared" si="14"/>
        <v>132.54</v>
      </c>
      <c r="CJ777" s="628"/>
      <c r="CK777" s="628"/>
      <c r="CL777" s="628"/>
      <c r="CM777" s="628"/>
      <c r="CN777" s="628"/>
      <c r="CO777" s="628"/>
      <c r="CP777" s="628"/>
      <c r="CQ777" s="628"/>
      <c r="CR777" s="628"/>
      <c r="CS777" s="628"/>
      <c r="CT777" s="628"/>
      <c r="CU777" s="628"/>
      <c r="CV777" s="628"/>
      <c r="CW777" s="628"/>
      <c r="CX777" s="628"/>
      <c r="CY777" s="628"/>
      <c r="CZ777" s="629"/>
      <c r="DA777" s="214"/>
    </row>
    <row r="778" spans="1:105" s="16" customFormat="1" ht="15" hidden="1" customHeight="1" x14ac:dyDescent="0.3">
      <c r="A778" s="630" t="s">
        <v>782</v>
      </c>
      <c r="B778" s="631"/>
      <c r="C778" s="631"/>
      <c r="D778" s="631"/>
      <c r="E778" s="631"/>
      <c r="F778" s="631"/>
      <c r="G778" s="632"/>
      <c r="H778" s="584" t="s">
        <v>783</v>
      </c>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5"/>
      <c r="AL778" s="585"/>
      <c r="AM778" s="585"/>
      <c r="AN778" s="585"/>
      <c r="AO778" s="585"/>
      <c r="AP778" s="585"/>
      <c r="AQ778" s="585"/>
      <c r="AR778" s="585"/>
      <c r="AS778" s="585"/>
      <c r="AT778" s="586"/>
      <c r="AU778" s="475" t="s">
        <v>730</v>
      </c>
      <c r="AV778" s="476"/>
      <c r="AW778" s="476"/>
      <c r="AX778" s="476"/>
      <c r="AY778" s="476"/>
      <c r="AZ778" s="476"/>
      <c r="BA778" s="476"/>
      <c r="BB778" s="477"/>
      <c r="BC778" s="544">
        <v>10</v>
      </c>
      <c r="BD778" s="545"/>
      <c r="BE778" s="545"/>
      <c r="BF778" s="545"/>
      <c r="BG778" s="545"/>
      <c r="BH778" s="545"/>
      <c r="BI778" s="545"/>
      <c r="BJ778" s="545"/>
      <c r="BK778" s="545"/>
      <c r="BL778" s="545"/>
      <c r="BM778" s="545"/>
      <c r="BN778" s="545"/>
      <c r="BO778" s="545"/>
      <c r="BP778" s="545"/>
      <c r="BQ778" s="545"/>
      <c r="BR778" s="546"/>
      <c r="BS778" s="639">
        <v>2.65</v>
      </c>
      <c r="BT778" s="640"/>
      <c r="BU778" s="640"/>
      <c r="BV778" s="640"/>
      <c r="BW778" s="640"/>
      <c r="BX778" s="640"/>
      <c r="BY778" s="640"/>
      <c r="BZ778" s="640"/>
      <c r="CA778" s="640"/>
      <c r="CB778" s="640"/>
      <c r="CC778" s="640"/>
      <c r="CD778" s="640"/>
      <c r="CE778" s="640"/>
      <c r="CF778" s="640"/>
      <c r="CG778" s="640"/>
      <c r="CH778" s="641"/>
      <c r="CI778" s="627">
        <f t="shared" si="14"/>
        <v>26.5</v>
      </c>
      <c r="CJ778" s="628"/>
      <c r="CK778" s="628"/>
      <c r="CL778" s="628"/>
      <c r="CM778" s="628"/>
      <c r="CN778" s="628"/>
      <c r="CO778" s="628"/>
      <c r="CP778" s="628"/>
      <c r="CQ778" s="628"/>
      <c r="CR778" s="628"/>
      <c r="CS778" s="628"/>
      <c r="CT778" s="628"/>
      <c r="CU778" s="628"/>
      <c r="CV778" s="628"/>
      <c r="CW778" s="628"/>
      <c r="CX778" s="628"/>
      <c r="CY778" s="628"/>
      <c r="CZ778" s="629"/>
      <c r="DA778" s="214"/>
    </row>
    <row r="779" spans="1:105" s="16" customFormat="1" ht="15" hidden="1" customHeight="1" x14ac:dyDescent="0.3">
      <c r="A779" s="630" t="s">
        <v>784</v>
      </c>
      <c r="B779" s="631"/>
      <c r="C779" s="631"/>
      <c r="D779" s="631"/>
      <c r="E779" s="631"/>
      <c r="F779" s="631"/>
      <c r="G779" s="632"/>
      <c r="H779" s="584" t="s">
        <v>785</v>
      </c>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5"/>
      <c r="AL779" s="585"/>
      <c r="AM779" s="585"/>
      <c r="AN779" s="585"/>
      <c r="AO779" s="585"/>
      <c r="AP779" s="585"/>
      <c r="AQ779" s="585"/>
      <c r="AR779" s="585"/>
      <c r="AS779" s="585"/>
      <c r="AT779" s="586"/>
      <c r="AU779" s="475" t="s">
        <v>730</v>
      </c>
      <c r="AV779" s="476"/>
      <c r="AW779" s="476"/>
      <c r="AX779" s="476"/>
      <c r="AY779" s="476"/>
      <c r="AZ779" s="476"/>
      <c r="BA779" s="476"/>
      <c r="BB779" s="477"/>
      <c r="BC779" s="544">
        <v>15</v>
      </c>
      <c r="BD779" s="545"/>
      <c r="BE779" s="545"/>
      <c r="BF779" s="545"/>
      <c r="BG779" s="545"/>
      <c r="BH779" s="545"/>
      <c r="BI779" s="545"/>
      <c r="BJ779" s="545"/>
      <c r="BK779" s="545"/>
      <c r="BL779" s="545"/>
      <c r="BM779" s="545"/>
      <c r="BN779" s="545"/>
      <c r="BO779" s="545"/>
      <c r="BP779" s="545"/>
      <c r="BQ779" s="545"/>
      <c r="BR779" s="546"/>
      <c r="BS779" s="639">
        <v>27.6</v>
      </c>
      <c r="BT779" s="640"/>
      <c r="BU779" s="640"/>
      <c r="BV779" s="640"/>
      <c r="BW779" s="640"/>
      <c r="BX779" s="640"/>
      <c r="BY779" s="640"/>
      <c r="BZ779" s="640"/>
      <c r="CA779" s="640"/>
      <c r="CB779" s="640"/>
      <c r="CC779" s="640"/>
      <c r="CD779" s="640"/>
      <c r="CE779" s="640"/>
      <c r="CF779" s="640"/>
      <c r="CG779" s="640"/>
      <c r="CH779" s="641"/>
      <c r="CI779" s="627">
        <f t="shared" si="14"/>
        <v>414</v>
      </c>
      <c r="CJ779" s="628"/>
      <c r="CK779" s="628"/>
      <c r="CL779" s="628"/>
      <c r="CM779" s="628"/>
      <c r="CN779" s="628"/>
      <c r="CO779" s="628"/>
      <c r="CP779" s="628"/>
      <c r="CQ779" s="628"/>
      <c r="CR779" s="628"/>
      <c r="CS779" s="628"/>
      <c r="CT779" s="628"/>
      <c r="CU779" s="628"/>
      <c r="CV779" s="628"/>
      <c r="CW779" s="628"/>
      <c r="CX779" s="628"/>
      <c r="CY779" s="628"/>
      <c r="CZ779" s="629"/>
      <c r="DA779" s="214"/>
    </row>
    <row r="780" spans="1:105" s="16" customFormat="1" ht="15" hidden="1" customHeight="1" x14ac:dyDescent="0.3">
      <c r="A780" s="630" t="s">
        <v>786</v>
      </c>
      <c r="B780" s="631"/>
      <c r="C780" s="631"/>
      <c r="D780" s="631"/>
      <c r="E780" s="631"/>
      <c r="F780" s="631"/>
      <c r="G780" s="632"/>
      <c r="H780" s="584" t="s">
        <v>787</v>
      </c>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5"/>
      <c r="AL780" s="585"/>
      <c r="AM780" s="585"/>
      <c r="AN780" s="585"/>
      <c r="AO780" s="585"/>
      <c r="AP780" s="585"/>
      <c r="AQ780" s="585"/>
      <c r="AR780" s="585"/>
      <c r="AS780" s="585"/>
      <c r="AT780" s="586"/>
      <c r="AU780" s="475" t="s">
        <v>730</v>
      </c>
      <c r="AV780" s="476"/>
      <c r="AW780" s="476"/>
      <c r="AX780" s="476"/>
      <c r="AY780" s="476"/>
      <c r="AZ780" s="476"/>
      <c r="BA780" s="476"/>
      <c r="BB780" s="477"/>
      <c r="BC780" s="544">
        <v>36</v>
      </c>
      <c r="BD780" s="545"/>
      <c r="BE780" s="545"/>
      <c r="BF780" s="545"/>
      <c r="BG780" s="545"/>
      <c r="BH780" s="545"/>
      <c r="BI780" s="545"/>
      <c r="BJ780" s="545"/>
      <c r="BK780" s="545"/>
      <c r="BL780" s="545"/>
      <c r="BM780" s="545"/>
      <c r="BN780" s="545"/>
      <c r="BO780" s="545"/>
      <c r="BP780" s="545"/>
      <c r="BQ780" s="545"/>
      <c r="BR780" s="546"/>
      <c r="BS780" s="639">
        <v>7.8000000000000007</v>
      </c>
      <c r="BT780" s="640"/>
      <c r="BU780" s="640"/>
      <c r="BV780" s="640"/>
      <c r="BW780" s="640"/>
      <c r="BX780" s="640"/>
      <c r="BY780" s="640"/>
      <c r="BZ780" s="640"/>
      <c r="CA780" s="640"/>
      <c r="CB780" s="640"/>
      <c r="CC780" s="640"/>
      <c r="CD780" s="640"/>
      <c r="CE780" s="640"/>
      <c r="CF780" s="640"/>
      <c r="CG780" s="640"/>
      <c r="CH780" s="641"/>
      <c r="CI780" s="627">
        <f t="shared" si="14"/>
        <v>280.8</v>
      </c>
      <c r="CJ780" s="628"/>
      <c r="CK780" s="628"/>
      <c r="CL780" s="628"/>
      <c r="CM780" s="628"/>
      <c r="CN780" s="628"/>
      <c r="CO780" s="628"/>
      <c r="CP780" s="628"/>
      <c r="CQ780" s="628"/>
      <c r="CR780" s="628"/>
      <c r="CS780" s="628"/>
      <c r="CT780" s="628"/>
      <c r="CU780" s="628"/>
      <c r="CV780" s="628"/>
      <c r="CW780" s="628"/>
      <c r="CX780" s="628"/>
      <c r="CY780" s="628"/>
      <c r="CZ780" s="629"/>
      <c r="DA780" s="214"/>
    </row>
    <row r="781" spans="1:105" s="16" customFormat="1" ht="15" hidden="1" customHeight="1" x14ac:dyDescent="0.3">
      <c r="A781" s="630" t="s">
        <v>788</v>
      </c>
      <c r="B781" s="631"/>
      <c r="C781" s="631"/>
      <c r="D781" s="631"/>
      <c r="E781" s="631"/>
      <c r="F781" s="631"/>
      <c r="G781" s="632"/>
      <c r="H781" s="584" t="s">
        <v>789</v>
      </c>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c r="AN781" s="585"/>
      <c r="AO781" s="585"/>
      <c r="AP781" s="585"/>
      <c r="AQ781" s="585"/>
      <c r="AR781" s="585"/>
      <c r="AS781" s="585"/>
      <c r="AT781" s="586"/>
      <c r="AU781" s="475" t="s">
        <v>730</v>
      </c>
      <c r="AV781" s="476"/>
      <c r="AW781" s="476"/>
      <c r="AX781" s="476"/>
      <c r="AY781" s="476"/>
      <c r="AZ781" s="476"/>
      <c r="BA781" s="476"/>
      <c r="BB781" s="477"/>
      <c r="BC781" s="544">
        <v>10</v>
      </c>
      <c r="BD781" s="545"/>
      <c r="BE781" s="545"/>
      <c r="BF781" s="545"/>
      <c r="BG781" s="545"/>
      <c r="BH781" s="545"/>
      <c r="BI781" s="545"/>
      <c r="BJ781" s="545"/>
      <c r="BK781" s="545"/>
      <c r="BL781" s="545"/>
      <c r="BM781" s="545"/>
      <c r="BN781" s="545"/>
      <c r="BO781" s="545"/>
      <c r="BP781" s="545"/>
      <c r="BQ781" s="545"/>
      <c r="BR781" s="546"/>
      <c r="BS781" s="639">
        <v>19.73</v>
      </c>
      <c r="BT781" s="640"/>
      <c r="BU781" s="640"/>
      <c r="BV781" s="640"/>
      <c r="BW781" s="640"/>
      <c r="BX781" s="640"/>
      <c r="BY781" s="640"/>
      <c r="BZ781" s="640"/>
      <c r="CA781" s="640"/>
      <c r="CB781" s="640"/>
      <c r="CC781" s="640"/>
      <c r="CD781" s="640"/>
      <c r="CE781" s="640"/>
      <c r="CF781" s="640"/>
      <c r="CG781" s="640"/>
      <c r="CH781" s="641"/>
      <c r="CI781" s="627">
        <f t="shared" si="14"/>
        <v>197.3</v>
      </c>
      <c r="CJ781" s="628"/>
      <c r="CK781" s="628"/>
      <c r="CL781" s="628"/>
      <c r="CM781" s="628"/>
      <c r="CN781" s="628"/>
      <c r="CO781" s="628"/>
      <c r="CP781" s="628"/>
      <c r="CQ781" s="628"/>
      <c r="CR781" s="628"/>
      <c r="CS781" s="628"/>
      <c r="CT781" s="628"/>
      <c r="CU781" s="628"/>
      <c r="CV781" s="628"/>
      <c r="CW781" s="628"/>
      <c r="CX781" s="628"/>
      <c r="CY781" s="628"/>
      <c r="CZ781" s="629"/>
      <c r="DA781" s="214"/>
    </row>
    <row r="782" spans="1:105" s="16" customFormat="1" ht="15" hidden="1" customHeight="1" x14ac:dyDescent="0.3">
      <c r="A782" s="630" t="s">
        <v>790</v>
      </c>
      <c r="B782" s="631"/>
      <c r="C782" s="631"/>
      <c r="D782" s="631"/>
      <c r="E782" s="631"/>
      <c r="F782" s="631"/>
      <c r="G782" s="632"/>
      <c r="H782" s="584" t="s">
        <v>791</v>
      </c>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5"/>
      <c r="AL782" s="585"/>
      <c r="AM782" s="585"/>
      <c r="AN782" s="585"/>
      <c r="AO782" s="585"/>
      <c r="AP782" s="585"/>
      <c r="AQ782" s="585"/>
      <c r="AR782" s="585"/>
      <c r="AS782" s="585"/>
      <c r="AT782" s="586"/>
      <c r="AU782" s="475" t="s">
        <v>730</v>
      </c>
      <c r="AV782" s="476"/>
      <c r="AW782" s="476"/>
      <c r="AX782" s="476"/>
      <c r="AY782" s="476"/>
      <c r="AZ782" s="476"/>
      <c r="BA782" s="476"/>
      <c r="BB782" s="477"/>
      <c r="BC782" s="544">
        <v>10</v>
      </c>
      <c r="BD782" s="545"/>
      <c r="BE782" s="545"/>
      <c r="BF782" s="545"/>
      <c r="BG782" s="545"/>
      <c r="BH782" s="545"/>
      <c r="BI782" s="545"/>
      <c r="BJ782" s="545"/>
      <c r="BK782" s="545"/>
      <c r="BL782" s="545"/>
      <c r="BM782" s="545"/>
      <c r="BN782" s="545"/>
      <c r="BO782" s="545"/>
      <c r="BP782" s="545"/>
      <c r="BQ782" s="545"/>
      <c r="BR782" s="546"/>
      <c r="BS782" s="639">
        <v>5.08</v>
      </c>
      <c r="BT782" s="640"/>
      <c r="BU782" s="640"/>
      <c r="BV782" s="640"/>
      <c r="BW782" s="640"/>
      <c r="BX782" s="640"/>
      <c r="BY782" s="640"/>
      <c r="BZ782" s="640"/>
      <c r="CA782" s="640"/>
      <c r="CB782" s="640"/>
      <c r="CC782" s="640"/>
      <c r="CD782" s="640"/>
      <c r="CE782" s="640"/>
      <c r="CF782" s="640"/>
      <c r="CG782" s="640"/>
      <c r="CH782" s="641"/>
      <c r="CI782" s="627">
        <f t="shared" si="14"/>
        <v>50.8</v>
      </c>
      <c r="CJ782" s="628"/>
      <c r="CK782" s="628"/>
      <c r="CL782" s="628"/>
      <c r="CM782" s="628"/>
      <c r="CN782" s="628"/>
      <c r="CO782" s="628"/>
      <c r="CP782" s="628"/>
      <c r="CQ782" s="628"/>
      <c r="CR782" s="628"/>
      <c r="CS782" s="628"/>
      <c r="CT782" s="628"/>
      <c r="CU782" s="628"/>
      <c r="CV782" s="628"/>
      <c r="CW782" s="628"/>
      <c r="CX782" s="628"/>
      <c r="CY782" s="628"/>
      <c r="CZ782" s="629"/>
      <c r="DA782" s="214"/>
    </row>
    <row r="783" spans="1:105" s="16" customFormat="1" ht="15" hidden="1" customHeight="1" x14ac:dyDescent="0.3">
      <c r="A783" s="630" t="s">
        <v>792</v>
      </c>
      <c r="B783" s="631"/>
      <c r="C783" s="631"/>
      <c r="D783" s="631"/>
      <c r="E783" s="631"/>
      <c r="F783" s="631"/>
      <c r="G783" s="632"/>
      <c r="H783" s="584" t="s">
        <v>793</v>
      </c>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5"/>
      <c r="AL783" s="585"/>
      <c r="AM783" s="585"/>
      <c r="AN783" s="585"/>
      <c r="AO783" s="585"/>
      <c r="AP783" s="585"/>
      <c r="AQ783" s="585"/>
      <c r="AR783" s="585"/>
      <c r="AS783" s="585"/>
      <c r="AT783" s="586"/>
      <c r="AU783" s="475" t="s">
        <v>690</v>
      </c>
      <c r="AV783" s="476"/>
      <c r="AW783" s="476"/>
      <c r="AX783" s="476"/>
      <c r="AY783" s="476"/>
      <c r="AZ783" s="476"/>
      <c r="BA783" s="476"/>
      <c r="BB783" s="477"/>
      <c r="BC783" s="544">
        <v>15</v>
      </c>
      <c r="BD783" s="545"/>
      <c r="BE783" s="545"/>
      <c r="BF783" s="545"/>
      <c r="BG783" s="545"/>
      <c r="BH783" s="545"/>
      <c r="BI783" s="545"/>
      <c r="BJ783" s="545"/>
      <c r="BK783" s="545"/>
      <c r="BL783" s="545"/>
      <c r="BM783" s="545"/>
      <c r="BN783" s="545"/>
      <c r="BO783" s="545"/>
      <c r="BP783" s="545"/>
      <c r="BQ783" s="545"/>
      <c r="BR783" s="546"/>
      <c r="BS783" s="639">
        <v>6.5</v>
      </c>
      <c r="BT783" s="640"/>
      <c r="BU783" s="640"/>
      <c r="BV783" s="640"/>
      <c r="BW783" s="640"/>
      <c r="BX783" s="640"/>
      <c r="BY783" s="640"/>
      <c r="BZ783" s="640"/>
      <c r="CA783" s="640"/>
      <c r="CB783" s="640"/>
      <c r="CC783" s="640"/>
      <c r="CD783" s="640"/>
      <c r="CE783" s="640"/>
      <c r="CF783" s="640"/>
      <c r="CG783" s="640"/>
      <c r="CH783" s="641"/>
      <c r="CI783" s="627">
        <f t="shared" si="14"/>
        <v>97.5</v>
      </c>
      <c r="CJ783" s="628"/>
      <c r="CK783" s="628"/>
      <c r="CL783" s="628"/>
      <c r="CM783" s="628"/>
      <c r="CN783" s="628"/>
      <c r="CO783" s="628"/>
      <c r="CP783" s="628"/>
      <c r="CQ783" s="628"/>
      <c r="CR783" s="628"/>
      <c r="CS783" s="628"/>
      <c r="CT783" s="628"/>
      <c r="CU783" s="628"/>
      <c r="CV783" s="628"/>
      <c r="CW783" s="628"/>
      <c r="CX783" s="628"/>
      <c r="CY783" s="628"/>
      <c r="CZ783" s="629"/>
      <c r="DA783" s="214"/>
    </row>
    <row r="784" spans="1:105" s="16" customFormat="1" ht="15" hidden="1" customHeight="1" x14ac:dyDescent="0.3">
      <c r="A784" s="630" t="s">
        <v>794</v>
      </c>
      <c r="B784" s="631"/>
      <c r="C784" s="631"/>
      <c r="D784" s="631"/>
      <c r="E784" s="631"/>
      <c r="F784" s="631"/>
      <c r="G784" s="632"/>
      <c r="H784" s="584" t="s">
        <v>795</v>
      </c>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5"/>
      <c r="AL784" s="585"/>
      <c r="AM784" s="585"/>
      <c r="AN784" s="585"/>
      <c r="AO784" s="585"/>
      <c r="AP784" s="585"/>
      <c r="AQ784" s="585"/>
      <c r="AR784" s="585"/>
      <c r="AS784" s="585"/>
      <c r="AT784" s="586"/>
      <c r="AU784" s="475" t="s">
        <v>690</v>
      </c>
      <c r="AV784" s="476"/>
      <c r="AW784" s="476"/>
      <c r="AX784" s="476"/>
      <c r="AY784" s="476"/>
      <c r="AZ784" s="476"/>
      <c r="BA784" s="476"/>
      <c r="BB784" s="477"/>
      <c r="BC784" s="544">
        <v>45</v>
      </c>
      <c r="BD784" s="545"/>
      <c r="BE784" s="545"/>
      <c r="BF784" s="545"/>
      <c r="BG784" s="545"/>
      <c r="BH784" s="545"/>
      <c r="BI784" s="545"/>
      <c r="BJ784" s="545"/>
      <c r="BK784" s="545"/>
      <c r="BL784" s="545"/>
      <c r="BM784" s="545"/>
      <c r="BN784" s="545"/>
      <c r="BO784" s="545"/>
      <c r="BP784" s="545"/>
      <c r="BQ784" s="545"/>
      <c r="BR784" s="546"/>
      <c r="BS784" s="639">
        <v>2.5714285714285716</v>
      </c>
      <c r="BT784" s="640"/>
      <c r="BU784" s="640"/>
      <c r="BV784" s="640"/>
      <c r="BW784" s="640"/>
      <c r="BX784" s="640"/>
      <c r="BY784" s="640"/>
      <c r="BZ784" s="640"/>
      <c r="CA784" s="640"/>
      <c r="CB784" s="640"/>
      <c r="CC784" s="640"/>
      <c r="CD784" s="640"/>
      <c r="CE784" s="640"/>
      <c r="CF784" s="640"/>
      <c r="CG784" s="640"/>
      <c r="CH784" s="641"/>
      <c r="CI784" s="627">
        <f t="shared" si="14"/>
        <v>115.71428571428572</v>
      </c>
      <c r="CJ784" s="628"/>
      <c r="CK784" s="628"/>
      <c r="CL784" s="628"/>
      <c r="CM784" s="628"/>
      <c r="CN784" s="628"/>
      <c r="CO784" s="628"/>
      <c r="CP784" s="628"/>
      <c r="CQ784" s="628"/>
      <c r="CR784" s="628"/>
      <c r="CS784" s="628"/>
      <c r="CT784" s="628"/>
      <c r="CU784" s="628"/>
      <c r="CV784" s="628"/>
      <c r="CW784" s="628"/>
      <c r="CX784" s="628"/>
      <c r="CY784" s="628"/>
      <c r="CZ784" s="629"/>
      <c r="DA784" s="214"/>
    </row>
    <row r="785" spans="1:105" s="16" customFormat="1" ht="15" hidden="1" customHeight="1" x14ac:dyDescent="0.3">
      <c r="A785" s="630" t="s">
        <v>796</v>
      </c>
      <c r="B785" s="631"/>
      <c r="C785" s="631"/>
      <c r="D785" s="631"/>
      <c r="E785" s="631"/>
      <c r="F785" s="631"/>
      <c r="G785" s="632"/>
      <c r="H785" s="584" t="s">
        <v>797</v>
      </c>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5"/>
      <c r="AL785" s="585"/>
      <c r="AM785" s="585"/>
      <c r="AN785" s="585"/>
      <c r="AO785" s="585"/>
      <c r="AP785" s="585"/>
      <c r="AQ785" s="585"/>
      <c r="AR785" s="585"/>
      <c r="AS785" s="585"/>
      <c r="AT785" s="586"/>
      <c r="AU785" s="475" t="s">
        <v>730</v>
      </c>
      <c r="AV785" s="476"/>
      <c r="AW785" s="476"/>
      <c r="AX785" s="476"/>
      <c r="AY785" s="476"/>
      <c r="AZ785" s="476"/>
      <c r="BA785" s="476"/>
      <c r="BB785" s="477"/>
      <c r="BC785" s="544">
        <v>5</v>
      </c>
      <c r="BD785" s="545"/>
      <c r="BE785" s="545"/>
      <c r="BF785" s="545"/>
      <c r="BG785" s="545"/>
      <c r="BH785" s="545"/>
      <c r="BI785" s="545"/>
      <c r="BJ785" s="545"/>
      <c r="BK785" s="545"/>
      <c r="BL785" s="545"/>
      <c r="BM785" s="545"/>
      <c r="BN785" s="545"/>
      <c r="BO785" s="545"/>
      <c r="BP785" s="545"/>
      <c r="BQ785" s="545"/>
      <c r="BR785" s="546"/>
      <c r="BS785" s="639">
        <v>37.619999999999997</v>
      </c>
      <c r="BT785" s="640"/>
      <c r="BU785" s="640"/>
      <c r="BV785" s="640"/>
      <c r="BW785" s="640"/>
      <c r="BX785" s="640"/>
      <c r="BY785" s="640"/>
      <c r="BZ785" s="640"/>
      <c r="CA785" s="640"/>
      <c r="CB785" s="640"/>
      <c r="CC785" s="640"/>
      <c r="CD785" s="640"/>
      <c r="CE785" s="640"/>
      <c r="CF785" s="640"/>
      <c r="CG785" s="640"/>
      <c r="CH785" s="641"/>
      <c r="CI785" s="627">
        <f t="shared" si="14"/>
        <v>188.1</v>
      </c>
      <c r="CJ785" s="628"/>
      <c r="CK785" s="628"/>
      <c r="CL785" s="628"/>
      <c r="CM785" s="628"/>
      <c r="CN785" s="628"/>
      <c r="CO785" s="628"/>
      <c r="CP785" s="628"/>
      <c r="CQ785" s="628"/>
      <c r="CR785" s="628"/>
      <c r="CS785" s="628"/>
      <c r="CT785" s="628"/>
      <c r="CU785" s="628"/>
      <c r="CV785" s="628"/>
      <c r="CW785" s="628"/>
      <c r="CX785" s="628"/>
      <c r="CY785" s="628"/>
      <c r="CZ785" s="629"/>
      <c r="DA785" s="214"/>
    </row>
    <row r="786" spans="1:105" s="16" customFormat="1" ht="15" hidden="1" customHeight="1" x14ac:dyDescent="0.3">
      <c r="A786" s="630"/>
      <c r="B786" s="631"/>
      <c r="C786" s="631"/>
      <c r="D786" s="631"/>
      <c r="E786" s="631"/>
      <c r="F786" s="631"/>
      <c r="G786" s="632"/>
      <c r="H786" s="651"/>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52"/>
      <c r="AL786" s="652"/>
      <c r="AM786" s="652"/>
      <c r="AN786" s="652"/>
      <c r="AO786" s="652"/>
      <c r="AP786" s="652"/>
      <c r="AQ786" s="652"/>
      <c r="AR786" s="652"/>
      <c r="AS786" s="652"/>
      <c r="AT786" s="653"/>
      <c r="AU786" s="475"/>
      <c r="AV786" s="476"/>
      <c r="AW786" s="476"/>
      <c r="AX786" s="476"/>
      <c r="AY786" s="476"/>
      <c r="AZ786" s="476"/>
      <c r="BA786" s="476"/>
      <c r="BB786" s="477"/>
      <c r="BC786" s="544"/>
      <c r="BD786" s="545"/>
      <c r="BE786" s="545"/>
      <c r="BF786" s="545"/>
      <c r="BG786" s="545"/>
      <c r="BH786" s="545"/>
      <c r="BI786" s="545"/>
      <c r="BJ786" s="545"/>
      <c r="BK786" s="545"/>
      <c r="BL786" s="545"/>
      <c r="BM786" s="545"/>
      <c r="BN786" s="545"/>
      <c r="BO786" s="545"/>
      <c r="BP786" s="545"/>
      <c r="BQ786" s="545"/>
      <c r="BR786" s="546"/>
      <c r="BS786" s="639"/>
      <c r="BT786" s="640"/>
      <c r="BU786" s="640"/>
      <c r="BV786" s="640"/>
      <c r="BW786" s="640"/>
      <c r="BX786" s="640"/>
      <c r="BY786" s="640"/>
      <c r="BZ786" s="640"/>
      <c r="CA786" s="640"/>
      <c r="CB786" s="640"/>
      <c r="CC786" s="640"/>
      <c r="CD786" s="640"/>
      <c r="CE786" s="640"/>
      <c r="CF786" s="640"/>
      <c r="CG786" s="640"/>
      <c r="CH786" s="641"/>
      <c r="CI786" s="627"/>
      <c r="CJ786" s="628"/>
      <c r="CK786" s="628"/>
      <c r="CL786" s="628"/>
      <c r="CM786" s="628"/>
      <c r="CN786" s="628"/>
      <c r="CO786" s="628"/>
      <c r="CP786" s="628"/>
      <c r="CQ786" s="628"/>
      <c r="CR786" s="628"/>
      <c r="CS786" s="628"/>
      <c r="CT786" s="628"/>
      <c r="CU786" s="628"/>
      <c r="CV786" s="628"/>
      <c r="CW786" s="628"/>
      <c r="CX786" s="628"/>
      <c r="CY786" s="628"/>
      <c r="CZ786" s="629"/>
      <c r="DA786" s="214"/>
    </row>
    <row r="787" spans="1:105" s="16" customFormat="1" ht="15" hidden="1" customHeight="1" x14ac:dyDescent="0.3">
      <c r="A787" s="630"/>
      <c r="B787" s="631"/>
      <c r="C787" s="631"/>
      <c r="D787" s="631"/>
      <c r="E787" s="631"/>
      <c r="F787" s="631"/>
      <c r="G787" s="632"/>
      <c r="H787" s="651" t="s">
        <v>691</v>
      </c>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52"/>
      <c r="AL787" s="652"/>
      <c r="AM787" s="652"/>
      <c r="AN787" s="652"/>
      <c r="AO787" s="652"/>
      <c r="AP787" s="652"/>
      <c r="AQ787" s="652"/>
      <c r="AR787" s="652"/>
      <c r="AS787" s="652"/>
      <c r="AT787" s="653"/>
      <c r="AU787" s="475"/>
      <c r="AV787" s="476"/>
      <c r="AW787" s="476"/>
      <c r="AX787" s="476"/>
      <c r="AY787" s="476"/>
      <c r="AZ787" s="476"/>
      <c r="BA787" s="476"/>
      <c r="BB787" s="477"/>
      <c r="BC787" s="647">
        <f>SUM(BC788:BR803)</f>
        <v>0</v>
      </c>
      <c r="BD787" s="637"/>
      <c r="BE787" s="637"/>
      <c r="BF787" s="637"/>
      <c r="BG787" s="637"/>
      <c r="BH787" s="637"/>
      <c r="BI787" s="637"/>
      <c r="BJ787" s="637"/>
      <c r="BK787" s="637"/>
      <c r="BL787" s="637"/>
      <c r="BM787" s="637"/>
      <c r="BN787" s="637"/>
      <c r="BO787" s="637"/>
      <c r="BP787" s="637"/>
      <c r="BQ787" s="637"/>
      <c r="BR787" s="638"/>
      <c r="BS787" s="644">
        <v>0</v>
      </c>
      <c r="BT787" s="645"/>
      <c r="BU787" s="645"/>
      <c r="BV787" s="645"/>
      <c r="BW787" s="645"/>
      <c r="BX787" s="645"/>
      <c r="BY787" s="645"/>
      <c r="BZ787" s="645"/>
      <c r="CA787" s="645"/>
      <c r="CB787" s="645"/>
      <c r="CC787" s="645"/>
      <c r="CD787" s="645"/>
      <c r="CE787" s="645"/>
      <c r="CF787" s="645"/>
      <c r="CG787" s="645"/>
      <c r="CH787" s="646"/>
      <c r="CI787" s="636">
        <f>SUM(CI788:CZ803)</f>
        <v>0</v>
      </c>
      <c r="CJ787" s="654"/>
      <c r="CK787" s="654"/>
      <c r="CL787" s="654"/>
      <c r="CM787" s="654"/>
      <c r="CN787" s="654"/>
      <c r="CO787" s="654"/>
      <c r="CP787" s="654"/>
      <c r="CQ787" s="654"/>
      <c r="CR787" s="654"/>
      <c r="CS787" s="654"/>
      <c r="CT787" s="654"/>
      <c r="CU787" s="654"/>
      <c r="CV787" s="654"/>
      <c r="CW787" s="654"/>
      <c r="CX787" s="654"/>
      <c r="CY787" s="654"/>
      <c r="CZ787" s="655"/>
      <c r="DA787" s="214"/>
    </row>
    <row r="788" spans="1:105" s="16" customFormat="1" ht="15" hidden="1" customHeight="1" x14ac:dyDescent="0.3">
      <c r="A788" s="630"/>
      <c r="B788" s="631"/>
      <c r="C788" s="631"/>
      <c r="D788" s="631"/>
      <c r="E788" s="631"/>
      <c r="F788" s="631"/>
      <c r="G788" s="632"/>
      <c r="H788" s="584" t="s">
        <v>932</v>
      </c>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5"/>
      <c r="AL788" s="585"/>
      <c r="AM788" s="585"/>
      <c r="AN788" s="585"/>
      <c r="AO788" s="585"/>
      <c r="AP788" s="585"/>
      <c r="AQ788" s="585"/>
      <c r="AR788" s="585"/>
      <c r="AS788" s="585"/>
      <c r="AT788" s="586"/>
      <c r="AU788" s="475" t="s">
        <v>690</v>
      </c>
      <c r="AV788" s="476"/>
      <c r="AW788" s="476"/>
      <c r="AX788" s="476"/>
      <c r="AY788" s="476"/>
      <c r="AZ788" s="476"/>
      <c r="BA788" s="476"/>
      <c r="BB788" s="477"/>
      <c r="BC788" s="627">
        <v>0</v>
      </c>
      <c r="BD788" s="628"/>
      <c r="BE788" s="628"/>
      <c r="BF788" s="628"/>
      <c r="BG788" s="628"/>
      <c r="BH788" s="628"/>
      <c r="BI788" s="628"/>
      <c r="BJ788" s="628"/>
      <c r="BK788" s="628"/>
      <c r="BL788" s="628"/>
      <c r="BM788" s="628"/>
      <c r="BN788" s="628"/>
      <c r="BO788" s="628"/>
      <c r="BP788" s="628"/>
      <c r="BQ788" s="628"/>
      <c r="BR788" s="629"/>
      <c r="BS788" s="681" t="e">
        <f t="shared" ref="BS788:BS797" si="15">CI788/BC788</f>
        <v>#DIV/0!</v>
      </c>
      <c r="BT788" s="681"/>
      <c r="BU788" s="681"/>
      <c r="BV788" s="681"/>
      <c r="BW788" s="681"/>
      <c r="BX788" s="681"/>
      <c r="BY788" s="681"/>
      <c r="BZ788" s="681"/>
      <c r="CA788" s="681"/>
      <c r="CB788" s="681"/>
      <c r="CC788" s="681"/>
      <c r="CD788" s="681"/>
      <c r="CE788" s="681"/>
      <c r="CF788" s="681"/>
      <c r="CG788" s="681"/>
      <c r="CH788" s="681"/>
      <c r="CI788" s="627"/>
      <c r="CJ788" s="628"/>
      <c r="CK788" s="628"/>
      <c r="CL788" s="628"/>
      <c r="CM788" s="628"/>
      <c r="CN788" s="628"/>
      <c r="CO788" s="628"/>
      <c r="CP788" s="628"/>
      <c r="CQ788" s="628"/>
      <c r="CR788" s="628"/>
      <c r="CS788" s="628"/>
      <c r="CT788" s="628"/>
      <c r="CU788" s="628"/>
      <c r="CV788" s="628"/>
      <c r="CW788" s="628"/>
      <c r="CX788" s="628"/>
      <c r="CY788" s="628"/>
      <c r="CZ788" s="629"/>
      <c r="DA788" s="214"/>
    </row>
    <row r="789" spans="1:105" s="16" customFormat="1" ht="15" hidden="1" customHeight="1" x14ac:dyDescent="0.3">
      <c r="A789" s="630"/>
      <c r="B789" s="631"/>
      <c r="C789" s="631"/>
      <c r="D789" s="631"/>
      <c r="E789" s="631"/>
      <c r="F789" s="631"/>
      <c r="G789" s="632"/>
      <c r="H789" s="584" t="s">
        <v>933</v>
      </c>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5"/>
      <c r="AL789" s="585"/>
      <c r="AM789" s="585"/>
      <c r="AN789" s="585"/>
      <c r="AO789" s="585"/>
      <c r="AP789" s="585"/>
      <c r="AQ789" s="585"/>
      <c r="AR789" s="585"/>
      <c r="AS789" s="585"/>
      <c r="AT789" s="586"/>
      <c r="AU789" s="475" t="s">
        <v>459</v>
      </c>
      <c r="AV789" s="476"/>
      <c r="AW789" s="476"/>
      <c r="AX789" s="476"/>
      <c r="AY789" s="476"/>
      <c r="AZ789" s="476"/>
      <c r="BA789" s="476"/>
      <c r="BB789" s="477"/>
      <c r="BC789" s="627">
        <v>0</v>
      </c>
      <c r="BD789" s="628"/>
      <c r="BE789" s="628"/>
      <c r="BF789" s="628"/>
      <c r="BG789" s="628"/>
      <c r="BH789" s="628"/>
      <c r="BI789" s="628"/>
      <c r="BJ789" s="628"/>
      <c r="BK789" s="628"/>
      <c r="BL789" s="628"/>
      <c r="BM789" s="628"/>
      <c r="BN789" s="628"/>
      <c r="BO789" s="628"/>
      <c r="BP789" s="628"/>
      <c r="BQ789" s="628"/>
      <c r="BR789" s="629"/>
      <c r="BS789" s="681" t="e">
        <f t="shared" si="15"/>
        <v>#DIV/0!</v>
      </c>
      <c r="BT789" s="681"/>
      <c r="BU789" s="681"/>
      <c r="BV789" s="681"/>
      <c r="BW789" s="681"/>
      <c r="BX789" s="681"/>
      <c r="BY789" s="681"/>
      <c r="BZ789" s="681"/>
      <c r="CA789" s="681"/>
      <c r="CB789" s="681"/>
      <c r="CC789" s="681"/>
      <c r="CD789" s="681"/>
      <c r="CE789" s="681"/>
      <c r="CF789" s="681"/>
      <c r="CG789" s="681"/>
      <c r="CH789" s="681"/>
      <c r="CI789" s="627"/>
      <c r="CJ789" s="628"/>
      <c r="CK789" s="628"/>
      <c r="CL789" s="628"/>
      <c r="CM789" s="628"/>
      <c r="CN789" s="628"/>
      <c r="CO789" s="628"/>
      <c r="CP789" s="628"/>
      <c r="CQ789" s="628"/>
      <c r="CR789" s="628"/>
      <c r="CS789" s="628"/>
      <c r="CT789" s="628"/>
      <c r="CU789" s="628"/>
      <c r="CV789" s="628"/>
      <c r="CW789" s="628"/>
      <c r="CX789" s="628"/>
      <c r="CY789" s="628"/>
      <c r="CZ789" s="629"/>
      <c r="DA789" s="214"/>
    </row>
    <row r="790" spans="1:105" s="16" customFormat="1" ht="15" hidden="1" customHeight="1" x14ac:dyDescent="0.3">
      <c r="A790" s="630"/>
      <c r="B790" s="631"/>
      <c r="C790" s="631"/>
      <c r="D790" s="631"/>
      <c r="E790" s="631"/>
      <c r="F790" s="631"/>
      <c r="G790" s="632"/>
      <c r="H790" s="584" t="s">
        <v>934</v>
      </c>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5"/>
      <c r="AL790" s="585"/>
      <c r="AM790" s="585"/>
      <c r="AN790" s="585"/>
      <c r="AO790" s="585"/>
      <c r="AP790" s="585"/>
      <c r="AQ790" s="585"/>
      <c r="AR790" s="585"/>
      <c r="AS790" s="585"/>
      <c r="AT790" s="586"/>
      <c r="AU790" s="475" t="s">
        <v>690</v>
      </c>
      <c r="AV790" s="476"/>
      <c r="AW790" s="476"/>
      <c r="AX790" s="476"/>
      <c r="AY790" s="476"/>
      <c r="AZ790" s="476"/>
      <c r="BA790" s="476"/>
      <c r="BB790" s="477"/>
      <c r="BC790" s="627">
        <v>0</v>
      </c>
      <c r="BD790" s="628"/>
      <c r="BE790" s="628"/>
      <c r="BF790" s="628"/>
      <c r="BG790" s="628"/>
      <c r="BH790" s="628"/>
      <c r="BI790" s="628"/>
      <c r="BJ790" s="628"/>
      <c r="BK790" s="628"/>
      <c r="BL790" s="628"/>
      <c r="BM790" s="628"/>
      <c r="BN790" s="628"/>
      <c r="BO790" s="628"/>
      <c r="BP790" s="628"/>
      <c r="BQ790" s="628"/>
      <c r="BR790" s="629"/>
      <c r="BS790" s="681" t="e">
        <f t="shared" si="15"/>
        <v>#DIV/0!</v>
      </c>
      <c r="BT790" s="681"/>
      <c r="BU790" s="681"/>
      <c r="BV790" s="681"/>
      <c r="BW790" s="681"/>
      <c r="BX790" s="681"/>
      <c r="BY790" s="681"/>
      <c r="BZ790" s="681"/>
      <c r="CA790" s="681"/>
      <c r="CB790" s="681"/>
      <c r="CC790" s="681"/>
      <c r="CD790" s="681"/>
      <c r="CE790" s="681"/>
      <c r="CF790" s="681"/>
      <c r="CG790" s="681"/>
      <c r="CH790" s="681"/>
      <c r="CI790" s="627"/>
      <c r="CJ790" s="628"/>
      <c r="CK790" s="628"/>
      <c r="CL790" s="628"/>
      <c r="CM790" s="628"/>
      <c r="CN790" s="628"/>
      <c r="CO790" s="628"/>
      <c r="CP790" s="628"/>
      <c r="CQ790" s="628"/>
      <c r="CR790" s="628"/>
      <c r="CS790" s="628"/>
      <c r="CT790" s="628"/>
      <c r="CU790" s="628"/>
      <c r="CV790" s="628"/>
      <c r="CW790" s="628"/>
      <c r="CX790" s="628"/>
      <c r="CY790" s="628"/>
      <c r="CZ790" s="629"/>
      <c r="DA790" s="214"/>
    </row>
    <row r="791" spans="1:105" s="16" customFormat="1" ht="15" hidden="1" customHeight="1" x14ac:dyDescent="0.3">
      <c r="A791" s="630"/>
      <c r="B791" s="631"/>
      <c r="C791" s="631"/>
      <c r="D791" s="631"/>
      <c r="E791" s="631"/>
      <c r="F791" s="631"/>
      <c r="G791" s="632"/>
      <c r="H791" s="584" t="s">
        <v>935</v>
      </c>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5"/>
      <c r="AL791" s="585"/>
      <c r="AM791" s="585"/>
      <c r="AN791" s="585"/>
      <c r="AO791" s="585"/>
      <c r="AP791" s="585"/>
      <c r="AQ791" s="585"/>
      <c r="AR791" s="585"/>
      <c r="AS791" s="585"/>
      <c r="AT791" s="586"/>
      <c r="AU791" s="475" t="s">
        <v>459</v>
      </c>
      <c r="AV791" s="476"/>
      <c r="AW791" s="476"/>
      <c r="AX791" s="476"/>
      <c r="AY791" s="476"/>
      <c r="AZ791" s="476"/>
      <c r="BA791" s="476"/>
      <c r="BB791" s="477"/>
      <c r="BC791" s="627">
        <v>0</v>
      </c>
      <c r="BD791" s="628"/>
      <c r="BE791" s="628"/>
      <c r="BF791" s="628"/>
      <c r="BG791" s="628"/>
      <c r="BH791" s="628"/>
      <c r="BI791" s="628"/>
      <c r="BJ791" s="628"/>
      <c r="BK791" s="628"/>
      <c r="BL791" s="628"/>
      <c r="BM791" s="628"/>
      <c r="BN791" s="628"/>
      <c r="BO791" s="628"/>
      <c r="BP791" s="628"/>
      <c r="BQ791" s="628"/>
      <c r="BR791" s="629"/>
      <c r="BS791" s="681" t="e">
        <f t="shared" si="15"/>
        <v>#DIV/0!</v>
      </c>
      <c r="BT791" s="681"/>
      <c r="BU791" s="681"/>
      <c r="BV791" s="681"/>
      <c r="BW791" s="681"/>
      <c r="BX791" s="681"/>
      <c r="BY791" s="681"/>
      <c r="BZ791" s="681"/>
      <c r="CA791" s="681"/>
      <c r="CB791" s="681"/>
      <c r="CC791" s="681"/>
      <c r="CD791" s="681"/>
      <c r="CE791" s="681"/>
      <c r="CF791" s="681"/>
      <c r="CG791" s="681"/>
      <c r="CH791" s="681"/>
      <c r="CI791" s="627"/>
      <c r="CJ791" s="628"/>
      <c r="CK791" s="628"/>
      <c r="CL791" s="628"/>
      <c r="CM791" s="628"/>
      <c r="CN791" s="628"/>
      <c r="CO791" s="628"/>
      <c r="CP791" s="628"/>
      <c r="CQ791" s="628"/>
      <c r="CR791" s="628"/>
      <c r="CS791" s="628"/>
      <c r="CT791" s="628"/>
      <c r="CU791" s="628"/>
      <c r="CV791" s="628"/>
      <c r="CW791" s="628"/>
      <c r="CX791" s="628"/>
      <c r="CY791" s="628"/>
      <c r="CZ791" s="629"/>
      <c r="DA791" s="214"/>
    </row>
    <row r="792" spans="1:105" s="16" customFormat="1" ht="15" hidden="1" customHeight="1" x14ac:dyDescent="0.3">
      <c r="A792" s="630"/>
      <c r="B792" s="631"/>
      <c r="C792" s="631"/>
      <c r="D792" s="631"/>
      <c r="E792" s="631"/>
      <c r="F792" s="631"/>
      <c r="G792" s="632"/>
      <c r="H792" s="584" t="s">
        <v>936</v>
      </c>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5"/>
      <c r="AL792" s="585"/>
      <c r="AM792" s="585"/>
      <c r="AN792" s="585"/>
      <c r="AO792" s="585"/>
      <c r="AP792" s="585"/>
      <c r="AQ792" s="585"/>
      <c r="AR792" s="585"/>
      <c r="AS792" s="585"/>
      <c r="AT792" s="586"/>
      <c r="AU792" s="475" t="s">
        <v>690</v>
      </c>
      <c r="AV792" s="476"/>
      <c r="AW792" s="476"/>
      <c r="AX792" s="476"/>
      <c r="AY792" s="476"/>
      <c r="AZ792" s="476"/>
      <c r="BA792" s="476"/>
      <c r="BB792" s="477"/>
      <c r="BC792" s="627">
        <v>0</v>
      </c>
      <c r="BD792" s="628"/>
      <c r="BE792" s="628"/>
      <c r="BF792" s="628"/>
      <c r="BG792" s="628"/>
      <c r="BH792" s="628"/>
      <c r="BI792" s="628"/>
      <c r="BJ792" s="628"/>
      <c r="BK792" s="628"/>
      <c r="BL792" s="628"/>
      <c r="BM792" s="628"/>
      <c r="BN792" s="628"/>
      <c r="BO792" s="628"/>
      <c r="BP792" s="628"/>
      <c r="BQ792" s="628"/>
      <c r="BR792" s="629"/>
      <c r="BS792" s="681" t="e">
        <f t="shared" si="15"/>
        <v>#DIV/0!</v>
      </c>
      <c r="BT792" s="681"/>
      <c r="BU792" s="681"/>
      <c r="BV792" s="681"/>
      <c r="BW792" s="681"/>
      <c r="BX792" s="681"/>
      <c r="BY792" s="681"/>
      <c r="BZ792" s="681"/>
      <c r="CA792" s="681"/>
      <c r="CB792" s="681"/>
      <c r="CC792" s="681"/>
      <c r="CD792" s="681"/>
      <c r="CE792" s="681"/>
      <c r="CF792" s="681"/>
      <c r="CG792" s="681"/>
      <c r="CH792" s="681"/>
      <c r="CI792" s="627"/>
      <c r="CJ792" s="628"/>
      <c r="CK792" s="628"/>
      <c r="CL792" s="628"/>
      <c r="CM792" s="628"/>
      <c r="CN792" s="628"/>
      <c r="CO792" s="628"/>
      <c r="CP792" s="628"/>
      <c r="CQ792" s="628"/>
      <c r="CR792" s="628"/>
      <c r="CS792" s="628"/>
      <c r="CT792" s="628"/>
      <c r="CU792" s="628"/>
      <c r="CV792" s="628"/>
      <c r="CW792" s="628"/>
      <c r="CX792" s="628"/>
      <c r="CY792" s="628"/>
      <c r="CZ792" s="629"/>
      <c r="DA792" s="214"/>
    </row>
    <row r="793" spans="1:105" s="16" customFormat="1" ht="15" hidden="1" customHeight="1" x14ac:dyDescent="0.3">
      <c r="A793" s="630"/>
      <c r="B793" s="631"/>
      <c r="C793" s="631"/>
      <c r="D793" s="631"/>
      <c r="E793" s="631"/>
      <c r="F793" s="631"/>
      <c r="G793" s="632"/>
      <c r="H793" s="584" t="s">
        <v>937</v>
      </c>
      <c r="I793" s="585"/>
      <c r="J793" s="585"/>
      <c r="K793" s="585"/>
      <c r="L793" s="585"/>
      <c r="M793" s="585"/>
      <c r="N793" s="585"/>
      <c r="O793" s="585"/>
      <c r="P793" s="585"/>
      <c r="Q793" s="585"/>
      <c r="R793" s="585"/>
      <c r="S793" s="585"/>
      <c r="T793" s="585"/>
      <c r="U793" s="585"/>
      <c r="V793" s="585"/>
      <c r="W793" s="585"/>
      <c r="X793" s="585"/>
      <c r="Y793" s="585"/>
      <c r="Z793" s="585"/>
      <c r="AA793" s="585"/>
      <c r="AB793" s="585"/>
      <c r="AC793" s="585"/>
      <c r="AD793" s="585"/>
      <c r="AE793" s="585"/>
      <c r="AF793" s="585"/>
      <c r="AG793" s="585"/>
      <c r="AH793" s="585"/>
      <c r="AI793" s="585"/>
      <c r="AJ793" s="585"/>
      <c r="AK793" s="585"/>
      <c r="AL793" s="585"/>
      <c r="AM793" s="585"/>
      <c r="AN793" s="585"/>
      <c r="AO793" s="585"/>
      <c r="AP793" s="585"/>
      <c r="AQ793" s="585"/>
      <c r="AR793" s="585"/>
      <c r="AS793" s="585"/>
      <c r="AT793" s="586"/>
      <c r="AU793" s="475" t="s">
        <v>690</v>
      </c>
      <c r="AV793" s="476"/>
      <c r="AW793" s="476"/>
      <c r="AX793" s="476"/>
      <c r="AY793" s="476"/>
      <c r="AZ793" s="476"/>
      <c r="BA793" s="476"/>
      <c r="BB793" s="477"/>
      <c r="BC793" s="627">
        <v>0</v>
      </c>
      <c r="BD793" s="628"/>
      <c r="BE793" s="628"/>
      <c r="BF793" s="628"/>
      <c r="BG793" s="628"/>
      <c r="BH793" s="628"/>
      <c r="BI793" s="628"/>
      <c r="BJ793" s="628"/>
      <c r="BK793" s="628"/>
      <c r="BL793" s="628"/>
      <c r="BM793" s="628"/>
      <c r="BN793" s="628"/>
      <c r="BO793" s="628"/>
      <c r="BP793" s="628"/>
      <c r="BQ793" s="628"/>
      <c r="BR793" s="629"/>
      <c r="BS793" s="681" t="e">
        <f t="shared" si="15"/>
        <v>#DIV/0!</v>
      </c>
      <c r="BT793" s="681"/>
      <c r="BU793" s="681"/>
      <c r="BV793" s="681"/>
      <c r="BW793" s="681"/>
      <c r="BX793" s="681"/>
      <c r="BY793" s="681"/>
      <c r="BZ793" s="681"/>
      <c r="CA793" s="681"/>
      <c r="CB793" s="681"/>
      <c r="CC793" s="681"/>
      <c r="CD793" s="681"/>
      <c r="CE793" s="681"/>
      <c r="CF793" s="681"/>
      <c r="CG793" s="681"/>
      <c r="CH793" s="681"/>
      <c r="CI793" s="627"/>
      <c r="CJ793" s="628"/>
      <c r="CK793" s="628"/>
      <c r="CL793" s="628"/>
      <c r="CM793" s="628"/>
      <c r="CN793" s="628"/>
      <c r="CO793" s="628"/>
      <c r="CP793" s="628"/>
      <c r="CQ793" s="628"/>
      <c r="CR793" s="628"/>
      <c r="CS793" s="628"/>
      <c r="CT793" s="628"/>
      <c r="CU793" s="628"/>
      <c r="CV793" s="628"/>
      <c r="CW793" s="628"/>
      <c r="CX793" s="628"/>
      <c r="CY793" s="628"/>
      <c r="CZ793" s="629"/>
      <c r="DA793" s="214"/>
    </row>
    <row r="794" spans="1:105" s="16" customFormat="1" ht="15" hidden="1" customHeight="1" x14ac:dyDescent="0.3">
      <c r="A794" s="630"/>
      <c r="B794" s="631"/>
      <c r="C794" s="631"/>
      <c r="D794" s="631"/>
      <c r="E794" s="631"/>
      <c r="F794" s="631"/>
      <c r="G794" s="632"/>
      <c r="H794" s="584" t="s">
        <v>930</v>
      </c>
      <c r="I794" s="585"/>
      <c r="J794" s="585"/>
      <c r="K794" s="585"/>
      <c r="L794" s="585"/>
      <c r="M794" s="585"/>
      <c r="N794" s="585"/>
      <c r="O794" s="585"/>
      <c r="P794" s="585"/>
      <c r="Q794" s="585"/>
      <c r="R794" s="585"/>
      <c r="S794" s="585"/>
      <c r="T794" s="585"/>
      <c r="U794" s="585"/>
      <c r="V794" s="585"/>
      <c r="W794" s="585"/>
      <c r="X794" s="585"/>
      <c r="Y794" s="585"/>
      <c r="Z794" s="585"/>
      <c r="AA794" s="585"/>
      <c r="AB794" s="585"/>
      <c r="AC794" s="585"/>
      <c r="AD794" s="585"/>
      <c r="AE794" s="585"/>
      <c r="AF794" s="585"/>
      <c r="AG794" s="585"/>
      <c r="AH794" s="585"/>
      <c r="AI794" s="585"/>
      <c r="AJ794" s="585"/>
      <c r="AK794" s="585"/>
      <c r="AL794" s="585"/>
      <c r="AM794" s="585"/>
      <c r="AN794" s="585"/>
      <c r="AO794" s="585"/>
      <c r="AP794" s="585"/>
      <c r="AQ794" s="585"/>
      <c r="AR794" s="585"/>
      <c r="AS794" s="585"/>
      <c r="AT794" s="586"/>
      <c r="AU794" s="475" t="s">
        <v>690</v>
      </c>
      <c r="AV794" s="476"/>
      <c r="AW794" s="476"/>
      <c r="AX794" s="476"/>
      <c r="AY794" s="476"/>
      <c r="AZ794" s="476"/>
      <c r="BA794" s="476"/>
      <c r="BB794" s="477"/>
      <c r="BC794" s="627">
        <v>0</v>
      </c>
      <c r="BD794" s="628"/>
      <c r="BE794" s="628"/>
      <c r="BF794" s="628"/>
      <c r="BG794" s="628"/>
      <c r="BH794" s="628"/>
      <c r="BI794" s="628"/>
      <c r="BJ794" s="628"/>
      <c r="BK794" s="628"/>
      <c r="BL794" s="628"/>
      <c r="BM794" s="628"/>
      <c r="BN794" s="628"/>
      <c r="BO794" s="628"/>
      <c r="BP794" s="628"/>
      <c r="BQ794" s="628"/>
      <c r="BR794" s="629"/>
      <c r="BS794" s="681" t="e">
        <f t="shared" si="15"/>
        <v>#DIV/0!</v>
      </c>
      <c r="BT794" s="681"/>
      <c r="BU794" s="681"/>
      <c r="BV794" s="681"/>
      <c r="BW794" s="681"/>
      <c r="BX794" s="681"/>
      <c r="BY794" s="681"/>
      <c r="BZ794" s="681"/>
      <c r="CA794" s="681"/>
      <c r="CB794" s="681"/>
      <c r="CC794" s="681"/>
      <c r="CD794" s="681"/>
      <c r="CE794" s="681"/>
      <c r="CF794" s="681"/>
      <c r="CG794" s="681"/>
      <c r="CH794" s="681"/>
      <c r="CI794" s="627"/>
      <c r="CJ794" s="628"/>
      <c r="CK794" s="628"/>
      <c r="CL794" s="628"/>
      <c r="CM794" s="628"/>
      <c r="CN794" s="628"/>
      <c r="CO794" s="628"/>
      <c r="CP794" s="628"/>
      <c r="CQ794" s="628"/>
      <c r="CR794" s="628"/>
      <c r="CS794" s="628"/>
      <c r="CT794" s="628"/>
      <c r="CU794" s="628"/>
      <c r="CV794" s="628"/>
      <c r="CW794" s="628"/>
      <c r="CX794" s="628"/>
      <c r="CY794" s="628"/>
      <c r="CZ794" s="629"/>
      <c r="DA794" s="214"/>
    </row>
    <row r="795" spans="1:105" s="16" customFormat="1" ht="15" hidden="1" customHeight="1" x14ac:dyDescent="0.3">
      <c r="A795" s="630"/>
      <c r="B795" s="631"/>
      <c r="C795" s="631"/>
      <c r="D795" s="631"/>
      <c r="E795" s="631"/>
      <c r="F795" s="631"/>
      <c r="G795" s="632"/>
      <c r="H795" s="584" t="s">
        <v>694</v>
      </c>
      <c r="I795" s="585"/>
      <c r="J795" s="585"/>
      <c r="K795" s="585"/>
      <c r="L795" s="585"/>
      <c r="M795" s="585"/>
      <c r="N795" s="585"/>
      <c r="O795" s="585"/>
      <c r="P795" s="585"/>
      <c r="Q795" s="585"/>
      <c r="R795" s="585"/>
      <c r="S795" s="585"/>
      <c r="T795" s="585"/>
      <c r="U795" s="585"/>
      <c r="V795" s="585"/>
      <c r="W795" s="585"/>
      <c r="X795" s="585"/>
      <c r="Y795" s="585"/>
      <c r="Z795" s="585"/>
      <c r="AA795" s="585"/>
      <c r="AB795" s="585"/>
      <c r="AC795" s="585"/>
      <c r="AD795" s="585"/>
      <c r="AE795" s="585"/>
      <c r="AF795" s="585"/>
      <c r="AG795" s="585"/>
      <c r="AH795" s="585"/>
      <c r="AI795" s="585"/>
      <c r="AJ795" s="585"/>
      <c r="AK795" s="585"/>
      <c r="AL795" s="585"/>
      <c r="AM795" s="585"/>
      <c r="AN795" s="585"/>
      <c r="AO795" s="585"/>
      <c r="AP795" s="585"/>
      <c r="AQ795" s="585"/>
      <c r="AR795" s="585"/>
      <c r="AS795" s="585"/>
      <c r="AT795" s="586"/>
      <c r="AU795" s="475" t="s">
        <v>459</v>
      </c>
      <c r="AV795" s="476"/>
      <c r="AW795" s="476"/>
      <c r="AX795" s="476"/>
      <c r="AY795" s="476"/>
      <c r="AZ795" s="476"/>
      <c r="BA795" s="476"/>
      <c r="BB795" s="477"/>
      <c r="BC795" s="627">
        <v>0</v>
      </c>
      <c r="BD795" s="628"/>
      <c r="BE795" s="628"/>
      <c r="BF795" s="628"/>
      <c r="BG795" s="628"/>
      <c r="BH795" s="628"/>
      <c r="BI795" s="628"/>
      <c r="BJ795" s="628"/>
      <c r="BK795" s="628"/>
      <c r="BL795" s="628"/>
      <c r="BM795" s="628"/>
      <c r="BN795" s="628"/>
      <c r="BO795" s="628"/>
      <c r="BP795" s="628"/>
      <c r="BQ795" s="628"/>
      <c r="BR795" s="629"/>
      <c r="BS795" s="681" t="e">
        <f t="shared" si="15"/>
        <v>#DIV/0!</v>
      </c>
      <c r="BT795" s="681"/>
      <c r="BU795" s="681"/>
      <c r="BV795" s="681"/>
      <c r="BW795" s="681"/>
      <c r="BX795" s="681"/>
      <c r="BY795" s="681"/>
      <c r="BZ795" s="681"/>
      <c r="CA795" s="681"/>
      <c r="CB795" s="681"/>
      <c r="CC795" s="681"/>
      <c r="CD795" s="681"/>
      <c r="CE795" s="681"/>
      <c r="CF795" s="681"/>
      <c r="CG795" s="681"/>
      <c r="CH795" s="681"/>
      <c r="CI795" s="627"/>
      <c r="CJ795" s="628"/>
      <c r="CK795" s="628"/>
      <c r="CL795" s="628"/>
      <c r="CM795" s="628"/>
      <c r="CN795" s="628"/>
      <c r="CO795" s="628"/>
      <c r="CP795" s="628"/>
      <c r="CQ795" s="628"/>
      <c r="CR795" s="628"/>
      <c r="CS795" s="628"/>
      <c r="CT795" s="628"/>
      <c r="CU795" s="628"/>
      <c r="CV795" s="628"/>
      <c r="CW795" s="628"/>
      <c r="CX795" s="628"/>
      <c r="CY795" s="628"/>
      <c r="CZ795" s="629"/>
      <c r="DA795" s="214"/>
    </row>
    <row r="796" spans="1:105" s="16" customFormat="1" ht="15" hidden="1" customHeight="1" x14ac:dyDescent="0.3">
      <c r="A796" s="630"/>
      <c r="B796" s="631"/>
      <c r="C796" s="631"/>
      <c r="D796" s="631"/>
      <c r="E796" s="631"/>
      <c r="F796" s="631"/>
      <c r="G796" s="632"/>
      <c r="H796" s="584" t="s">
        <v>938</v>
      </c>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5"/>
      <c r="AL796" s="585"/>
      <c r="AM796" s="585"/>
      <c r="AN796" s="585"/>
      <c r="AO796" s="585"/>
      <c r="AP796" s="585"/>
      <c r="AQ796" s="585"/>
      <c r="AR796" s="585"/>
      <c r="AS796" s="585"/>
      <c r="AT796" s="586"/>
      <c r="AU796" s="475" t="s">
        <v>459</v>
      </c>
      <c r="AV796" s="476"/>
      <c r="AW796" s="476"/>
      <c r="AX796" s="476"/>
      <c r="AY796" s="476"/>
      <c r="AZ796" s="476"/>
      <c r="BA796" s="476"/>
      <c r="BB796" s="477"/>
      <c r="BC796" s="627">
        <v>0</v>
      </c>
      <c r="BD796" s="628"/>
      <c r="BE796" s="628"/>
      <c r="BF796" s="628"/>
      <c r="BG796" s="628"/>
      <c r="BH796" s="628"/>
      <c r="BI796" s="628"/>
      <c r="BJ796" s="628"/>
      <c r="BK796" s="628"/>
      <c r="BL796" s="628"/>
      <c r="BM796" s="628"/>
      <c r="BN796" s="628"/>
      <c r="BO796" s="628"/>
      <c r="BP796" s="628"/>
      <c r="BQ796" s="628"/>
      <c r="BR796" s="629"/>
      <c r="BS796" s="681" t="e">
        <f t="shared" si="15"/>
        <v>#DIV/0!</v>
      </c>
      <c r="BT796" s="681"/>
      <c r="BU796" s="681"/>
      <c r="BV796" s="681"/>
      <c r="BW796" s="681"/>
      <c r="BX796" s="681"/>
      <c r="BY796" s="681"/>
      <c r="BZ796" s="681"/>
      <c r="CA796" s="681"/>
      <c r="CB796" s="681"/>
      <c r="CC796" s="681"/>
      <c r="CD796" s="681"/>
      <c r="CE796" s="681"/>
      <c r="CF796" s="681"/>
      <c r="CG796" s="681"/>
      <c r="CH796" s="681"/>
      <c r="CI796" s="627"/>
      <c r="CJ796" s="628"/>
      <c r="CK796" s="628"/>
      <c r="CL796" s="628"/>
      <c r="CM796" s="628"/>
      <c r="CN796" s="628"/>
      <c r="CO796" s="628"/>
      <c r="CP796" s="628"/>
      <c r="CQ796" s="628"/>
      <c r="CR796" s="628"/>
      <c r="CS796" s="628"/>
      <c r="CT796" s="628"/>
      <c r="CU796" s="628"/>
      <c r="CV796" s="628"/>
      <c r="CW796" s="628"/>
      <c r="CX796" s="628"/>
      <c r="CY796" s="628"/>
      <c r="CZ796" s="629"/>
      <c r="DA796" s="214"/>
    </row>
    <row r="797" spans="1:105" s="16" customFormat="1" ht="15" hidden="1" customHeight="1" x14ac:dyDescent="0.3">
      <c r="A797" s="630"/>
      <c r="B797" s="631"/>
      <c r="C797" s="631"/>
      <c r="D797" s="631"/>
      <c r="E797" s="631"/>
      <c r="F797" s="631"/>
      <c r="G797" s="632"/>
      <c r="H797" s="584" t="s">
        <v>939</v>
      </c>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5"/>
      <c r="AL797" s="585"/>
      <c r="AM797" s="585"/>
      <c r="AN797" s="585"/>
      <c r="AO797" s="585"/>
      <c r="AP797" s="585"/>
      <c r="AQ797" s="585"/>
      <c r="AR797" s="585"/>
      <c r="AS797" s="585"/>
      <c r="AT797" s="586"/>
      <c r="AU797" s="475" t="s">
        <v>690</v>
      </c>
      <c r="AV797" s="476"/>
      <c r="AW797" s="476"/>
      <c r="AX797" s="476"/>
      <c r="AY797" s="476"/>
      <c r="AZ797" s="476"/>
      <c r="BA797" s="476"/>
      <c r="BB797" s="477"/>
      <c r="BC797" s="627">
        <v>0</v>
      </c>
      <c r="BD797" s="628"/>
      <c r="BE797" s="628"/>
      <c r="BF797" s="628"/>
      <c r="BG797" s="628"/>
      <c r="BH797" s="628"/>
      <c r="BI797" s="628"/>
      <c r="BJ797" s="628"/>
      <c r="BK797" s="628"/>
      <c r="BL797" s="628"/>
      <c r="BM797" s="628"/>
      <c r="BN797" s="628"/>
      <c r="BO797" s="628"/>
      <c r="BP797" s="628"/>
      <c r="BQ797" s="628"/>
      <c r="BR797" s="629"/>
      <c r="BS797" s="681" t="e">
        <f t="shared" si="15"/>
        <v>#DIV/0!</v>
      </c>
      <c r="BT797" s="681"/>
      <c r="BU797" s="681"/>
      <c r="BV797" s="681"/>
      <c r="BW797" s="681"/>
      <c r="BX797" s="681"/>
      <c r="BY797" s="681"/>
      <c r="BZ797" s="681"/>
      <c r="CA797" s="681"/>
      <c r="CB797" s="681"/>
      <c r="CC797" s="681"/>
      <c r="CD797" s="681"/>
      <c r="CE797" s="681"/>
      <c r="CF797" s="681"/>
      <c r="CG797" s="681"/>
      <c r="CH797" s="681"/>
      <c r="CI797" s="627"/>
      <c r="CJ797" s="628"/>
      <c r="CK797" s="628"/>
      <c r="CL797" s="628"/>
      <c r="CM797" s="628"/>
      <c r="CN797" s="628"/>
      <c r="CO797" s="628"/>
      <c r="CP797" s="628"/>
      <c r="CQ797" s="628"/>
      <c r="CR797" s="628"/>
      <c r="CS797" s="628"/>
      <c r="CT797" s="628"/>
      <c r="CU797" s="628"/>
      <c r="CV797" s="628"/>
      <c r="CW797" s="628"/>
      <c r="CX797" s="628"/>
      <c r="CY797" s="628"/>
      <c r="CZ797" s="629"/>
      <c r="DA797" s="214"/>
    </row>
    <row r="798" spans="1:105" s="16" customFormat="1" ht="15" hidden="1" customHeight="1" x14ac:dyDescent="0.3">
      <c r="A798" s="630"/>
      <c r="B798" s="631"/>
      <c r="C798" s="631"/>
      <c r="D798" s="631"/>
      <c r="E798" s="631"/>
      <c r="F798" s="631"/>
      <c r="G798" s="632"/>
      <c r="H798" s="584"/>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5"/>
      <c r="AL798" s="585"/>
      <c r="AM798" s="585"/>
      <c r="AN798" s="585"/>
      <c r="AO798" s="585"/>
      <c r="AP798" s="585"/>
      <c r="AQ798" s="585"/>
      <c r="AR798" s="585"/>
      <c r="AS798" s="585"/>
      <c r="AT798" s="586"/>
      <c r="AU798" s="475"/>
      <c r="AV798" s="476"/>
      <c r="AW798" s="476"/>
      <c r="AX798" s="476"/>
      <c r="AY798" s="476"/>
      <c r="AZ798" s="476"/>
      <c r="BA798" s="476"/>
      <c r="BB798" s="477"/>
      <c r="BC798" s="627">
        <v>0</v>
      </c>
      <c r="BD798" s="628"/>
      <c r="BE798" s="628"/>
      <c r="BF798" s="628"/>
      <c r="BG798" s="628"/>
      <c r="BH798" s="628"/>
      <c r="BI798" s="628"/>
      <c r="BJ798" s="628"/>
      <c r="BK798" s="628"/>
      <c r="BL798" s="628"/>
      <c r="BM798" s="628"/>
      <c r="BN798" s="628"/>
      <c r="BO798" s="628"/>
      <c r="BP798" s="628"/>
      <c r="BQ798" s="628"/>
      <c r="BR798" s="629"/>
      <c r="BS798" s="681"/>
      <c r="BT798" s="681"/>
      <c r="BU798" s="681"/>
      <c r="BV798" s="681"/>
      <c r="BW798" s="681"/>
      <c r="BX798" s="681"/>
      <c r="BY798" s="681"/>
      <c r="BZ798" s="681"/>
      <c r="CA798" s="681"/>
      <c r="CB798" s="681"/>
      <c r="CC798" s="681"/>
      <c r="CD798" s="681"/>
      <c r="CE798" s="681"/>
      <c r="CF798" s="681"/>
      <c r="CG798" s="681"/>
      <c r="CH798" s="681"/>
      <c r="CI798" s="627"/>
      <c r="CJ798" s="628"/>
      <c r="CK798" s="628"/>
      <c r="CL798" s="628"/>
      <c r="CM798" s="628"/>
      <c r="CN798" s="628"/>
      <c r="CO798" s="628"/>
      <c r="CP798" s="628"/>
      <c r="CQ798" s="628"/>
      <c r="CR798" s="628"/>
      <c r="CS798" s="628"/>
      <c r="CT798" s="628"/>
      <c r="CU798" s="628"/>
      <c r="CV798" s="628"/>
      <c r="CW798" s="628"/>
      <c r="CX798" s="628"/>
      <c r="CY798" s="628"/>
      <c r="CZ798" s="629"/>
      <c r="DA798" s="214"/>
    </row>
    <row r="799" spans="1:105" s="16" customFormat="1" ht="15" hidden="1" customHeight="1" x14ac:dyDescent="0.3">
      <c r="A799" s="630"/>
      <c r="B799" s="631"/>
      <c r="C799" s="631"/>
      <c r="D799" s="631"/>
      <c r="E799" s="631"/>
      <c r="F799" s="631"/>
      <c r="G799" s="632"/>
      <c r="H799" s="584"/>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5"/>
      <c r="AL799" s="585"/>
      <c r="AM799" s="585"/>
      <c r="AN799" s="585"/>
      <c r="AO799" s="585"/>
      <c r="AP799" s="585"/>
      <c r="AQ799" s="585"/>
      <c r="AR799" s="585"/>
      <c r="AS799" s="585"/>
      <c r="AT799" s="586"/>
      <c r="AU799" s="475"/>
      <c r="AV799" s="476"/>
      <c r="AW799" s="476"/>
      <c r="AX799" s="476"/>
      <c r="AY799" s="476"/>
      <c r="AZ799" s="476"/>
      <c r="BA799" s="476"/>
      <c r="BB799" s="477"/>
      <c r="BC799" s="627">
        <v>0</v>
      </c>
      <c r="BD799" s="628"/>
      <c r="BE799" s="628"/>
      <c r="BF799" s="628"/>
      <c r="BG799" s="628"/>
      <c r="BH799" s="628"/>
      <c r="BI799" s="628"/>
      <c r="BJ799" s="628"/>
      <c r="BK799" s="628"/>
      <c r="BL799" s="628"/>
      <c r="BM799" s="628"/>
      <c r="BN799" s="628"/>
      <c r="BO799" s="628"/>
      <c r="BP799" s="628"/>
      <c r="BQ799" s="628"/>
      <c r="BR799" s="629"/>
      <c r="BS799" s="681"/>
      <c r="BT799" s="681"/>
      <c r="BU799" s="681"/>
      <c r="BV799" s="681"/>
      <c r="BW799" s="681"/>
      <c r="BX799" s="681"/>
      <c r="BY799" s="681"/>
      <c r="BZ799" s="681"/>
      <c r="CA799" s="681"/>
      <c r="CB799" s="681"/>
      <c r="CC799" s="681"/>
      <c r="CD799" s="681"/>
      <c r="CE799" s="681"/>
      <c r="CF799" s="681"/>
      <c r="CG799" s="681"/>
      <c r="CH799" s="681"/>
      <c r="CI799" s="627"/>
      <c r="CJ799" s="628"/>
      <c r="CK799" s="628"/>
      <c r="CL799" s="628"/>
      <c r="CM799" s="628"/>
      <c r="CN799" s="628"/>
      <c r="CO799" s="628"/>
      <c r="CP799" s="628"/>
      <c r="CQ799" s="628"/>
      <c r="CR799" s="628"/>
      <c r="CS799" s="628"/>
      <c r="CT799" s="628"/>
      <c r="CU799" s="628"/>
      <c r="CV799" s="628"/>
      <c r="CW799" s="628"/>
      <c r="CX799" s="628"/>
      <c r="CY799" s="628"/>
      <c r="CZ799" s="629"/>
      <c r="DA799" s="214"/>
    </row>
    <row r="800" spans="1:105" s="16" customFormat="1" ht="15" hidden="1" customHeight="1" x14ac:dyDescent="0.3">
      <c r="A800" s="630"/>
      <c r="B800" s="631"/>
      <c r="C800" s="631"/>
      <c r="D800" s="631"/>
      <c r="E800" s="631"/>
      <c r="F800" s="631"/>
      <c r="G800" s="632"/>
      <c r="H800" s="584"/>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5"/>
      <c r="AL800" s="585"/>
      <c r="AM800" s="585"/>
      <c r="AN800" s="585"/>
      <c r="AO800" s="585"/>
      <c r="AP800" s="585"/>
      <c r="AQ800" s="585"/>
      <c r="AR800" s="585"/>
      <c r="AS800" s="585"/>
      <c r="AT800" s="586"/>
      <c r="AU800" s="475"/>
      <c r="AV800" s="476"/>
      <c r="AW800" s="476"/>
      <c r="AX800" s="476"/>
      <c r="AY800" s="476"/>
      <c r="AZ800" s="476"/>
      <c r="BA800" s="476"/>
      <c r="BB800" s="477"/>
      <c r="BC800" s="627">
        <v>0</v>
      </c>
      <c r="BD800" s="628"/>
      <c r="BE800" s="628"/>
      <c r="BF800" s="628"/>
      <c r="BG800" s="628"/>
      <c r="BH800" s="628"/>
      <c r="BI800" s="628"/>
      <c r="BJ800" s="628"/>
      <c r="BK800" s="628"/>
      <c r="BL800" s="628"/>
      <c r="BM800" s="628"/>
      <c r="BN800" s="628"/>
      <c r="BO800" s="628"/>
      <c r="BP800" s="628"/>
      <c r="BQ800" s="628"/>
      <c r="BR800" s="629"/>
      <c r="BS800" s="681"/>
      <c r="BT800" s="681"/>
      <c r="BU800" s="681"/>
      <c r="BV800" s="681"/>
      <c r="BW800" s="681"/>
      <c r="BX800" s="681"/>
      <c r="BY800" s="681"/>
      <c r="BZ800" s="681"/>
      <c r="CA800" s="681"/>
      <c r="CB800" s="681"/>
      <c r="CC800" s="681"/>
      <c r="CD800" s="681"/>
      <c r="CE800" s="681"/>
      <c r="CF800" s="681"/>
      <c r="CG800" s="681"/>
      <c r="CH800" s="681"/>
      <c r="CI800" s="627"/>
      <c r="CJ800" s="628"/>
      <c r="CK800" s="628"/>
      <c r="CL800" s="628"/>
      <c r="CM800" s="628"/>
      <c r="CN800" s="628"/>
      <c r="CO800" s="628"/>
      <c r="CP800" s="628"/>
      <c r="CQ800" s="628"/>
      <c r="CR800" s="628"/>
      <c r="CS800" s="628"/>
      <c r="CT800" s="628"/>
      <c r="CU800" s="628"/>
      <c r="CV800" s="628"/>
      <c r="CW800" s="628"/>
      <c r="CX800" s="628"/>
      <c r="CY800" s="628"/>
      <c r="CZ800" s="629"/>
      <c r="DA800" s="214"/>
    </row>
    <row r="801" spans="1:105" s="16" customFormat="1" ht="24" hidden="1" customHeight="1" x14ac:dyDescent="0.3">
      <c r="A801" s="630"/>
      <c r="B801" s="631"/>
      <c r="C801" s="631"/>
      <c r="D801" s="631"/>
      <c r="E801" s="631"/>
      <c r="F801" s="631"/>
      <c r="G801" s="632"/>
      <c r="H801" s="584"/>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5"/>
      <c r="AL801" s="585"/>
      <c r="AM801" s="585"/>
      <c r="AN801" s="585"/>
      <c r="AO801" s="585"/>
      <c r="AP801" s="585"/>
      <c r="AQ801" s="585"/>
      <c r="AR801" s="585"/>
      <c r="AS801" s="585"/>
      <c r="AT801" s="586"/>
      <c r="AU801" s="475"/>
      <c r="AV801" s="476"/>
      <c r="AW801" s="476"/>
      <c r="AX801" s="476"/>
      <c r="AY801" s="476"/>
      <c r="AZ801" s="476"/>
      <c r="BA801" s="476"/>
      <c r="BB801" s="477"/>
      <c r="BC801" s="627">
        <v>0</v>
      </c>
      <c r="BD801" s="628"/>
      <c r="BE801" s="628"/>
      <c r="BF801" s="628"/>
      <c r="BG801" s="628"/>
      <c r="BH801" s="628"/>
      <c r="BI801" s="628"/>
      <c r="BJ801" s="628"/>
      <c r="BK801" s="628"/>
      <c r="BL801" s="628"/>
      <c r="BM801" s="628"/>
      <c r="BN801" s="628"/>
      <c r="BO801" s="628"/>
      <c r="BP801" s="628"/>
      <c r="BQ801" s="628"/>
      <c r="BR801" s="629"/>
      <c r="BS801" s="681"/>
      <c r="BT801" s="681"/>
      <c r="BU801" s="681"/>
      <c r="BV801" s="681"/>
      <c r="BW801" s="681"/>
      <c r="BX801" s="681"/>
      <c r="BY801" s="681"/>
      <c r="BZ801" s="681"/>
      <c r="CA801" s="681"/>
      <c r="CB801" s="681"/>
      <c r="CC801" s="681"/>
      <c r="CD801" s="681"/>
      <c r="CE801" s="681"/>
      <c r="CF801" s="681"/>
      <c r="CG801" s="681"/>
      <c r="CH801" s="681"/>
      <c r="CI801" s="627"/>
      <c r="CJ801" s="628"/>
      <c r="CK801" s="628"/>
      <c r="CL801" s="628"/>
      <c r="CM801" s="628"/>
      <c r="CN801" s="628"/>
      <c r="CO801" s="628"/>
      <c r="CP801" s="628"/>
      <c r="CQ801" s="628"/>
      <c r="CR801" s="628"/>
      <c r="CS801" s="628"/>
      <c r="CT801" s="628"/>
      <c r="CU801" s="628"/>
      <c r="CV801" s="628"/>
      <c r="CW801" s="628"/>
      <c r="CX801" s="628"/>
      <c r="CY801" s="628"/>
      <c r="CZ801" s="629"/>
      <c r="DA801" s="214"/>
    </row>
    <row r="802" spans="1:105" s="16" customFormat="1" ht="15" hidden="1" customHeight="1" x14ac:dyDescent="0.3">
      <c r="A802" s="630"/>
      <c r="B802" s="631"/>
      <c r="C802" s="631"/>
      <c r="D802" s="631"/>
      <c r="E802" s="631"/>
      <c r="F802" s="631"/>
      <c r="G802" s="632"/>
      <c r="H802" s="584"/>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5"/>
      <c r="AL802" s="585"/>
      <c r="AM802" s="585"/>
      <c r="AN802" s="585"/>
      <c r="AO802" s="585"/>
      <c r="AP802" s="585"/>
      <c r="AQ802" s="585"/>
      <c r="AR802" s="585"/>
      <c r="AS802" s="585"/>
      <c r="AT802" s="586"/>
      <c r="AU802" s="475"/>
      <c r="AV802" s="476"/>
      <c r="AW802" s="476"/>
      <c r="AX802" s="476"/>
      <c r="AY802" s="476"/>
      <c r="AZ802" s="476"/>
      <c r="BA802" s="476"/>
      <c r="BB802" s="477"/>
      <c r="BC802" s="627">
        <v>0</v>
      </c>
      <c r="BD802" s="628"/>
      <c r="BE802" s="628"/>
      <c r="BF802" s="628"/>
      <c r="BG802" s="628"/>
      <c r="BH802" s="628"/>
      <c r="BI802" s="628"/>
      <c r="BJ802" s="628"/>
      <c r="BK802" s="628"/>
      <c r="BL802" s="628"/>
      <c r="BM802" s="628"/>
      <c r="BN802" s="628"/>
      <c r="BO802" s="628"/>
      <c r="BP802" s="628"/>
      <c r="BQ802" s="628"/>
      <c r="BR802" s="629"/>
      <c r="BS802" s="681"/>
      <c r="BT802" s="681"/>
      <c r="BU802" s="681"/>
      <c r="BV802" s="681"/>
      <c r="BW802" s="681"/>
      <c r="BX802" s="681"/>
      <c r="BY802" s="681"/>
      <c r="BZ802" s="681"/>
      <c r="CA802" s="681"/>
      <c r="CB802" s="681"/>
      <c r="CC802" s="681"/>
      <c r="CD802" s="681"/>
      <c r="CE802" s="681"/>
      <c r="CF802" s="681"/>
      <c r="CG802" s="681"/>
      <c r="CH802" s="681"/>
      <c r="CI802" s="627"/>
      <c r="CJ802" s="628"/>
      <c r="CK802" s="628"/>
      <c r="CL802" s="628"/>
      <c r="CM802" s="628"/>
      <c r="CN802" s="628"/>
      <c r="CO802" s="628"/>
      <c r="CP802" s="628"/>
      <c r="CQ802" s="628"/>
      <c r="CR802" s="628"/>
      <c r="CS802" s="628"/>
      <c r="CT802" s="628"/>
      <c r="CU802" s="628"/>
      <c r="CV802" s="628"/>
      <c r="CW802" s="628"/>
      <c r="CX802" s="628"/>
      <c r="CY802" s="628"/>
      <c r="CZ802" s="629"/>
      <c r="DA802" s="214"/>
    </row>
    <row r="803" spans="1:105" s="16" customFormat="1" ht="15" hidden="1" customHeight="1" x14ac:dyDescent="0.3">
      <c r="A803" s="630"/>
      <c r="B803" s="631"/>
      <c r="C803" s="631"/>
      <c r="D803" s="631"/>
      <c r="E803" s="631"/>
      <c r="F803" s="631"/>
      <c r="G803" s="632"/>
      <c r="H803" s="584"/>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5"/>
      <c r="AL803" s="585"/>
      <c r="AM803" s="585"/>
      <c r="AN803" s="585"/>
      <c r="AO803" s="585"/>
      <c r="AP803" s="585"/>
      <c r="AQ803" s="585"/>
      <c r="AR803" s="585"/>
      <c r="AS803" s="585"/>
      <c r="AT803" s="586"/>
      <c r="AU803" s="475"/>
      <c r="AV803" s="476"/>
      <c r="AW803" s="476"/>
      <c r="AX803" s="476"/>
      <c r="AY803" s="476"/>
      <c r="AZ803" s="476"/>
      <c r="BA803" s="476"/>
      <c r="BB803" s="477"/>
      <c r="BC803" s="627">
        <v>0</v>
      </c>
      <c r="BD803" s="628"/>
      <c r="BE803" s="628"/>
      <c r="BF803" s="628"/>
      <c r="BG803" s="628"/>
      <c r="BH803" s="628"/>
      <c r="BI803" s="628"/>
      <c r="BJ803" s="628"/>
      <c r="BK803" s="628"/>
      <c r="BL803" s="628"/>
      <c r="BM803" s="628"/>
      <c r="BN803" s="628"/>
      <c r="BO803" s="628"/>
      <c r="BP803" s="628"/>
      <c r="BQ803" s="628"/>
      <c r="BR803" s="629"/>
      <c r="BS803" s="681"/>
      <c r="BT803" s="681"/>
      <c r="BU803" s="681"/>
      <c r="BV803" s="681"/>
      <c r="BW803" s="681"/>
      <c r="BX803" s="681"/>
      <c r="BY803" s="681"/>
      <c r="BZ803" s="681"/>
      <c r="CA803" s="681"/>
      <c r="CB803" s="681"/>
      <c r="CC803" s="681"/>
      <c r="CD803" s="681"/>
      <c r="CE803" s="681"/>
      <c r="CF803" s="681"/>
      <c r="CG803" s="681"/>
      <c r="CH803" s="681"/>
      <c r="CI803" s="627"/>
      <c r="CJ803" s="628"/>
      <c r="CK803" s="628"/>
      <c r="CL803" s="628"/>
      <c r="CM803" s="628"/>
      <c r="CN803" s="628"/>
      <c r="CO803" s="628"/>
      <c r="CP803" s="628"/>
      <c r="CQ803" s="628"/>
      <c r="CR803" s="628"/>
      <c r="CS803" s="628"/>
      <c r="CT803" s="628"/>
      <c r="CU803" s="628"/>
      <c r="CV803" s="628"/>
      <c r="CW803" s="628"/>
      <c r="CX803" s="628"/>
      <c r="CY803" s="628"/>
      <c r="CZ803" s="629"/>
      <c r="DA803" s="214"/>
    </row>
    <row r="804" spans="1:105" s="16" customFormat="1" ht="15" hidden="1" customHeight="1" x14ac:dyDescent="0.3">
      <c r="A804" s="630"/>
      <c r="B804" s="631"/>
      <c r="C804" s="631"/>
      <c r="D804" s="631"/>
      <c r="E804" s="631"/>
      <c r="F804" s="631"/>
      <c r="G804" s="632"/>
      <c r="H804" s="651"/>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c r="AI804" s="652"/>
      <c r="AJ804" s="652"/>
      <c r="AK804" s="652"/>
      <c r="AL804" s="652"/>
      <c r="AM804" s="652"/>
      <c r="AN804" s="652"/>
      <c r="AO804" s="652"/>
      <c r="AP804" s="652"/>
      <c r="AQ804" s="652"/>
      <c r="AR804" s="652"/>
      <c r="AS804" s="652"/>
      <c r="AT804" s="653"/>
      <c r="AU804" s="541"/>
      <c r="AV804" s="542"/>
      <c r="AW804" s="542"/>
      <c r="AX804" s="542"/>
      <c r="AY804" s="542"/>
      <c r="AZ804" s="542"/>
      <c r="BA804" s="542"/>
      <c r="BB804" s="543"/>
      <c r="BC804" s="647"/>
      <c r="BD804" s="637"/>
      <c r="BE804" s="637"/>
      <c r="BF804" s="637"/>
      <c r="BG804" s="637"/>
      <c r="BH804" s="637"/>
      <c r="BI804" s="637"/>
      <c r="BJ804" s="637"/>
      <c r="BK804" s="637"/>
      <c r="BL804" s="637"/>
      <c r="BM804" s="637"/>
      <c r="BN804" s="637"/>
      <c r="BO804" s="637"/>
      <c r="BP804" s="637"/>
      <c r="BQ804" s="637"/>
      <c r="BR804" s="638"/>
      <c r="BS804" s="644"/>
      <c r="BT804" s="645"/>
      <c r="BU804" s="645"/>
      <c r="BV804" s="645"/>
      <c r="BW804" s="645"/>
      <c r="BX804" s="645"/>
      <c r="BY804" s="645"/>
      <c r="BZ804" s="645"/>
      <c r="CA804" s="645"/>
      <c r="CB804" s="645"/>
      <c r="CC804" s="645"/>
      <c r="CD804" s="645"/>
      <c r="CE804" s="645"/>
      <c r="CF804" s="645"/>
      <c r="CG804" s="645"/>
      <c r="CH804" s="646"/>
      <c r="CI804" s="636"/>
      <c r="CJ804" s="654"/>
      <c r="CK804" s="654"/>
      <c r="CL804" s="654"/>
      <c r="CM804" s="654"/>
      <c r="CN804" s="654"/>
      <c r="CO804" s="654"/>
      <c r="CP804" s="654"/>
      <c r="CQ804" s="654"/>
      <c r="CR804" s="654"/>
      <c r="CS804" s="654"/>
      <c r="CT804" s="654"/>
      <c r="CU804" s="654"/>
      <c r="CV804" s="654"/>
      <c r="CW804" s="654"/>
      <c r="CX804" s="654"/>
      <c r="CY804" s="654"/>
      <c r="CZ804" s="655"/>
      <c r="DA804" s="214"/>
    </row>
    <row r="805" spans="1:105" s="16" customFormat="1" ht="15" customHeight="1" x14ac:dyDescent="0.3">
      <c r="A805" s="630"/>
      <c r="B805" s="631"/>
      <c r="C805" s="631"/>
      <c r="D805" s="631"/>
      <c r="E805" s="631"/>
      <c r="F805" s="631"/>
      <c r="G805" s="632"/>
      <c r="H805" s="651" t="s">
        <v>710</v>
      </c>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c r="AI805" s="652"/>
      <c r="AJ805" s="652"/>
      <c r="AK805" s="652"/>
      <c r="AL805" s="652"/>
      <c r="AM805" s="652"/>
      <c r="AN805" s="652"/>
      <c r="AO805" s="652"/>
      <c r="AP805" s="652"/>
      <c r="AQ805" s="652"/>
      <c r="AR805" s="652"/>
      <c r="AS805" s="652"/>
      <c r="AT805" s="653"/>
      <c r="AU805" s="541" t="s">
        <v>697</v>
      </c>
      <c r="AV805" s="542"/>
      <c r="AW805" s="542"/>
      <c r="AX805" s="542"/>
      <c r="AY805" s="542"/>
      <c r="AZ805" s="542"/>
      <c r="BA805" s="542"/>
      <c r="BB805" s="543"/>
      <c r="BC805" s="678">
        <v>350</v>
      </c>
      <c r="BD805" s="679"/>
      <c r="BE805" s="679"/>
      <c r="BF805" s="679"/>
      <c r="BG805" s="679"/>
      <c r="BH805" s="679"/>
      <c r="BI805" s="679"/>
      <c r="BJ805" s="679"/>
      <c r="BK805" s="679"/>
      <c r="BL805" s="679"/>
      <c r="BM805" s="679"/>
      <c r="BN805" s="679"/>
      <c r="BO805" s="679"/>
      <c r="BP805" s="679"/>
      <c r="BQ805" s="679"/>
      <c r="BR805" s="680"/>
      <c r="BS805" s="644">
        <f>CI805/BC805</f>
        <v>54.285714285714285</v>
      </c>
      <c r="BT805" s="645"/>
      <c r="BU805" s="645"/>
      <c r="BV805" s="645"/>
      <c r="BW805" s="645"/>
      <c r="BX805" s="645"/>
      <c r="BY805" s="645"/>
      <c r="BZ805" s="645"/>
      <c r="CA805" s="645"/>
      <c r="CB805" s="645"/>
      <c r="CC805" s="645"/>
      <c r="CD805" s="645"/>
      <c r="CE805" s="645"/>
      <c r="CF805" s="645"/>
      <c r="CG805" s="645"/>
      <c r="CH805" s="646"/>
      <c r="CI805" s="636">
        <v>19000</v>
      </c>
      <c r="CJ805" s="654"/>
      <c r="CK805" s="654"/>
      <c r="CL805" s="654"/>
      <c r="CM805" s="654"/>
      <c r="CN805" s="654"/>
      <c r="CO805" s="654"/>
      <c r="CP805" s="654"/>
      <c r="CQ805" s="654"/>
      <c r="CR805" s="654"/>
      <c r="CS805" s="654"/>
      <c r="CT805" s="654"/>
      <c r="CU805" s="654"/>
      <c r="CV805" s="654"/>
      <c r="CW805" s="654"/>
      <c r="CX805" s="654"/>
      <c r="CY805" s="654"/>
      <c r="CZ805" s="655"/>
      <c r="DA805" s="214"/>
    </row>
    <row r="806" spans="1:105" s="16" customFormat="1" ht="15" customHeight="1" x14ac:dyDescent="0.3">
      <c r="A806" s="630"/>
      <c r="B806" s="631"/>
      <c r="C806" s="631"/>
      <c r="D806" s="631"/>
      <c r="E806" s="631"/>
      <c r="F806" s="631"/>
      <c r="G806" s="632"/>
      <c r="H806" s="651"/>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52"/>
      <c r="AL806" s="652"/>
      <c r="AM806" s="652"/>
      <c r="AN806" s="652"/>
      <c r="AO806" s="652"/>
      <c r="AP806" s="652"/>
      <c r="AQ806" s="652"/>
      <c r="AR806" s="652"/>
      <c r="AS806" s="652"/>
      <c r="AT806" s="653"/>
      <c r="AU806" s="475"/>
      <c r="AV806" s="476"/>
      <c r="AW806" s="476"/>
      <c r="AX806" s="476"/>
      <c r="AY806" s="476"/>
      <c r="AZ806" s="476"/>
      <c r="BA806" s="476"/>
      <c r="BB806" s="477"/>
      <c r="BC806" s="544"/>
      <c r="BD806" s="545"/>
      <c r="BE806" s="545"/>
      <c r="BF806" s="545"/>
      <c r="BG806" s="545"/>
      <c r="BH806" s="545"/>
      <c r="BI806" s="545"/>
      <c r="BJ806" s="545"/>
      <c r="BK806" s="545"/>
      <c r="BL806" s="545"/>
      <c r="BM806" s="545"/>
      <c r="BN806" s="545"/>
      <c r="BO806" s="545"/>
      <c r="BP806" s="545"/>
      <c r="BQ806" s="545"/>
      <c r="BR806" s="546"/>
      <c r="BS806" s="639"/>
      <c r="BT806" s="640"/>
      <c r="BU806" s="640"/>
      <c r="BV806" s="640"/>
      <c r="BW806" s="640"/>
      <c r="BX806" s="640"/>
      <c r="BY806" s="640"/>
      <c r="BZ806" s="640"/>
      <c r="CA806" s="640"/>
      <c r="CB806" s="640"/>
      <c r="CC806" s="640"/>
      <c r="CD806" s="640"/>
      <c r="CE806" s="640"/>
      <c r="CF806" s="640"/>
      <c r="CG806" s="640"/>
      <c r="CH806" s="641"/>
      <c r="CI806" s="627"/>
      <c r="CJ806" s="628"/>
      <c r="CK806" s="628"/>
      <c r="CL806" s="628"/>
      <c r="CM806" s="628"/>
      <c r="CN806" s="628"/>
      <c r="CO806" s="628"/>
      <c r="CP806" s="628"/>
      <c r="CQ806" s="628"/>
      <c r="CR806" s="628"/>
      <c r="CS806" s="628"/>
      <c r="CT806" s="628"/>
      <c r="CU806" s="628"/>
      <c r="CV806" s="628"/>
      <c r="CW806" s="628"/>
      <c r="CX806" s="628"/>
      <c r="CY806" s="628"/>
      <c r="CZ806" s="629"/>
      <c r="DA806" s="214"/>
    </row>
    <row r="807" spans="1:105" s="16" customFormat="1" ht="28.5" customHeight="1" x14ac:dyDescent="0.3">
      <c r="A807" s="630"/>
      <c r="B807" s="631"/>
      <c r="C807" s="631"/>
      <c r="D807" s="631"/>
      <c r="E807" s="631"/>
      <c r="F807" s="631"/>
      <c r="G807" s="632"/>
      <c r="H807" s="584" t="s">
        <v>798</v>
      </c>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5"/>
      <c r="AL807" s="585"/>
      <c r="AM807" s="585"/>
      <c r="AN807" s="585"/>
      <c r="AO807" s="585"/>
      <c r="AP807" s="585"/>
      <c r="AQ807" s="585"/>
      <c r="AR807" s="585"/>
      <c r="AS807" s="585"/>
      <c r="AT807" s="586"/>
      <c r="AU807" s="475"/>
      <c r="AV807" s="476"/>
      <c r="AW807" s="476"/>
      <c r="AX807" s="476"/>
      <c r="AY807" s="476"/>
      <c r="AZ807" s="476"/>
      <c r="BA807" s="476"/>
      <c r="BB807" s="477"/>
      <c r="BC807" s="647">
        <f>SUM(BC808:BQ820)</f>
        <v>1253</v>
      </c>
      <c r="BD807" s="637"/>
      <c r="BE807" s="637"/>
      <c r="BF807" s="637"/>
      <c r="BG807" s="637"/>
      <c r="BH807" s="637"/>
      <c r="BI807" s="637"/>
      <c r="BJ807" s="637"/>
      <c r="BK807" s="637"/>
      <c r="BL807" s="637"/>
      <c r="BM807" s="637"/>
      <c r="BN807" s="637"/>
      <c r="BO807" s="637"/>
      <c r="BP807" s="637"/>
      <c r="BQ807" s="637"/>
      <c r="BR807" s="638"/>
      <c r="BS807" s="644">
        <f>CI807/BC807</f>
        <v>36.320830007980845</v>
      </c>
      <c r="BT807" s="645"/>
      <c r="BU807" s="645"/>
      <c r="BV807" s="645"/>
      <c r="BW807" s="645"/>
      <c r="BX807" s="645"/>
      <c r="BY807" s="645"/>
      <c r="BZ807" s="645"/>
      <c r="CA807" s="645"/>
      <c r="CB807" s="645"/>
      <c r="CC807" s="645"/>
      <c r="CD807" s="645"/>
      <c r="CE807" s="645"/>
      <c r="CF807" s="645"/>
      <c r="CG807" s="645"/>
      <c r="CH807" s="646"/>
      <c r="CI807" s="636">
        <f>CI808+CI809+CI810+CI811+CI812+CI813+CI814+CI815+CI816+CI817+CI818+CI819+CI820+CI821+CI822+CI823+CI824+CI825+CI826+CI827+CI828</f>
        <v>45510</v>
      </c>
      <c r="CJ807" s="654"/>
      <c r="CK807" s="654"/>
      <c r="CL807" s="654"/>
      <c r="CM807" s="654"/>
      <c r="CN807" s="654"/>
      <c r="CO807" s="654"/>
      <c r="CP807" s="654"/>
      <c r="CQ807" s="654"/>
      <c r="CR807" s="654"/>
      <c r="CS807" s="654"/>
      <c r="CT807" s="654"/>
      <c r="CU807" s="654"/>
      <c r="CV807" s="654"/>
      <c r="CW807" s="654"/>
      <c r="CX807" s="654"/>
      <c r="CY807" s="654"/>
      <c r="CZ807" s="655"/>
      <c r="DA807" s="214"/>
    </row>
    <row r="808" spans="1:105" s="16" customFormat="1" ht="15" hidden="1" customHeight="1" x14ac:dyDescent="0.3">
      <c r="A808" s="630" t="s">
        <v>441</v>
      </c>
      <c r="B808" s="631"/>
      <c r="C808" s="631"/>
      <c r="D808" s="631"/>
      <c r="E808" s="631"/>
      <c r="F808" s="631"/>
      <c r="G808" s="632"/>
      <c r="H808" s="584" t="s">
        <v>982</v>
      </c>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5"/>
      <c r="AL808" s="585"/>
      <c r="AM808" s="585"/>
      <c r="AN808" s="585"/>
      <c r="AO808" s="585"/>
      <c r="AP808" s="585"/>
      <c r="AQ808" s="585"/>
      <c r="AR808" s="585"/>
      <c r="AS808" s="585"/>
      <c r="AT808" s="586"/>
      <c r="AU808" s="475" t="s">
        <v>690</v>
      </c>
      <c r="AV808" s="476"/>
      <c r="AW808" s="476"/>
      <c r="AX808" s="476"/>
      <c r="AY808" s="476"/>
      <c r="AZ808" s="476"/>
      <c r="BA808" s="476"/>
      <c r="BB808" s="477"/>
      <c r="BC808" s="544">
        <v>29</v>
      </c>
      <c r="BD808" s="545"/>
      <c r="BE808" s="545"/>
      <c r="BF808" s="545"/>
      <c r="BG808" s="545"/>
      <c r="BH808" s="545"/>
      <c r="BI808" s="545"/>
      <c r="BJ808" s="545"/>
      <c r="BK808" s="545"/>
      <c r="BL808" s="545"/>
      <c r="BM808" s="545"/>
      <c r="BN808" s="545"/>
      <c r="BO808" s="545"/>
      <c r="BP808" s="545"/>
      <c r="BQ808" s="545"/>
      <c r="BR808" s="546"/>
      <c r="BS808" s="639">
        <f>CI808/BC808</f>
        <v>0</v>
      </c>
      <c r="BT808" s="640"/>
      <c r="BU808" s="640"/>
      <c r="BV808" s="640"/>
      <c r="BW808" s="640"/>
      <c r="BX808" s="640"/>
      <c r="BY808" s="640"/>
      <c r="BZ808" s="640"/>
      <c r="CA808" s="640"/>
      <c r="CB808" s="640"/>
      <c r="CC808" s="640"/>
      <c r="CD808" s="640"/>
      <c r="CE808" s="640"/>
      <c r="CF808" s="640"/>
      <c r="CG808" s="640"/>
      <c r="CH808" s="641"/>
      <c r="CI808" s="627"/>
      <c r="CJ808" s="628"/>
      <c r="CK808" s="628"/>
      <c r="CL808" s="628"/>
      <c r="CM808" s="628"/>
      <c r="CN808" s="628"/>
      <c r="CO808" s="628"/>
      <c r="CP808" s="628"/>
      <c r="CQ808" s="628"/>
      <c r="CR808" s="628"/>
      <c r="CS808" s="628"/>
      <c r="CT808" s="628"/>
      <c r="CU808" s="628"/>
      <c r="CV808" s="628"/>
      <c r="CW808" s="628"/>
      <c r="CX808" s="628"/>
      <c r="CY808" s="628"/>
      <c r="CZ808" s="629"/>
      <c r="DA808" s="214"/>
    </row>
    <row r="809" spans="1:105" s="16" customFormat="1" ht="15" hidden="1" customHeight="1" x14ac:dyDescent="0.3">
      <c r="A809" s="630" t="s">
        <v>444</v>
      </c>
      <c r="B809" s="631"/>
      <c r="C809" s="631"/>
      <c r="D809" s="631"/>
      <c r="E809" s="631"/>
      <c r="F809" s="631"/>
      <c r="G809" s="632"/>
      <c r="H809" s="584" t="s">
        <v>979</v>
      </c>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5"/>
      <c r="AL809" s="585"/>
      <c r="AM809" s="585"/>
      <c r="AN809" s="585"/>
      <c r="AO809" s="585"/>
      <c r="AP809" s="585"/>
      <c r="AQ809" s="585"/>
      <c r="AR809" s="585"/>
      <c r="AS809" s="585"/>
      <c r="AT809" s="586"/>
      <c r="AU809" s="475" t="s">
        <v>690</v>
      </c>
      <c r="AV809" s="476"/>
      <c r="AW809" s="476"/>
      <c r="AX809" s="476"/>
      <c r="AY809" s="476"/>
      <c r="AZ809" s="476"/>
      <c r="BA809" s="476"/>
      <c r="BB809" s="477"/>
      <c r="BC809" s="544">
        <v>133</v>
      </c>
      <c r="BD809" s="545"/>
      <c r="BE809" s="545"/>
      <c r="BF809" s="545"/>
      <c r="BG809" s="545"/>
      <c r="BH809" s="545"/>
      <c r="BI809" s="545"/>
      <c r="BJ809" s="545"/>
      <c r="BK809" s="545"/>
      <c r="BL809" s="545"/>
      <c r="BM809" s="545"/>
      <c r="BN809" s="545"/>
      <c r="BO809" s="545"/>
      <c r="BP809" s="545"/>
      <c r="BQ809" s="545"/>
      <c r="BR809" s="546"/>
      <c r="BS809" s="639">
        <f t="shared" ref="BS809:BS823" si="16">CI809/BC809</f>
        <v>0</v>
      </c>
      <c r="BT809" s="640"/>
      <c r="BU809" s="640"/>
      <c r="BV809" s="640"/>
      <c r="BW809" s="640"/>
      <c r="BX809" s="640"/>
      <c r="BY809" s="640"/>
      <c r="BZ809" s="640"/>
      <c r="CA809" s="640"/>
      <c r="CB809" s="640"/>
      <c r="CC809" s="640"/>
      <c r="CD809" s="640"/>
      <c r="CE809" s="640"/>
      <c r="CF809" s="640"/>
      <c r="CG809" s="640"/>
      <c r="CH809" s="641"/>
      <c r="CI809" s="627"/>
      <c r="CJ809" s="628"/>
      <c r="CK809" s="628"/>
      <c r="CL809" s="628"/>
      <c r="CM809" s="628"/>
      <c r="CN809" s="628"/>
      <c r="CO809" s="628"/>
      <c r="CP809" s="628"/>
      <c r="CQ809" s="628"/>
      <c r="CR809" s="628"/>
      <c r="CS809" s="628"/>
      <c r="CT809" s="628"/>
      <c r="CU809" s="628"/>
      <c r="CV809" s="628"/>
      <c r="CW809" s="628"/>
      <c r="CX809" s="628"/>
      <c r="CY809" s="628"/>
      <c r="CZ809" s="629"/>
      <c r="DA809" s="214"/>
    </row>
    <row r="810" spans="1:105" s="16" customFormat="1" ht="15" hidden="1" customHeight="1" x14ac:dyDescent="0.3">
      <c r="A810" s="630" t="s">
        <v>446</v>
      </c>
      <c r="B810" s="631"/>
      <c r="C810" s="631"/>
      <c r="D810" s="631"/>
      <c r="E810" s="631"/>
      <c r="F810" s="631"/>
      <c r="G810" s="632"/>
      <c r="H810" s="584" t="s">
        <v>983</v>
      </c>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5"/>
      <c r="AL810" s="585"/>
      <c r="AM810" s="585"/>
      <c r="AN810" s="585"/>
      <c r="AO810" s="585"/>
      <c r="AP810" s="585"/>
      <c r="AQ810" s="585"/>
      <c r="AR810" s="585"/>
      <c r="AS810" s="585"/>
      <c r="AT810" s="586"/>
      <c r="AU810" s="475" t="s">
        <v>690</v>
      </c>
      <c r="AV810" s="476"/>
      <c r="AW810" s="476"/>
      <c r="AX810" s="476"/>
      <c r="AY810" s="476"/>
      <c r="AZ810" s="476"/>
      <c r="BA810" s="476"/>
      <c r="BB810" s="477"/>
      <c r="BC810" s="544">
        <v>484</v>
      </c>
      <c r="BD810" s="545"/>
      <c r="BE810" s="545"/>
      <c r="BF810" s="545"/>
      <c r="BG810" s="545"/>
      <c r="BH810" s="545"/>
      <c r="BI810" s="545"/>
      <c r="BJ810" s="545"/>
      <c r="BK810" s="545"/>
      <c r="BL810" s="545"/>
      <c r="BM810" s="545"/>
      <c r="BN810" s="545"/>
      <c r="BO810" s="545"/>
      <c r="BP810" s="545"/>
      <c r="BQ810" s="545"/>
      <c r="BR810" s="546"/>
      <c r="BS810" s="639">
        <f t="shared" si="16"/>
        <v>0</v>
      </c>
      <c r="BT810" s="640"/>
      <c r="BU810" s="640"/>
      <c r="BV810" s="640"/>
      <c r="BW810" s="640"/>
      <c r="BX810" s="640"/>
      <c r="BY810" s="640"/>
      <c r="BZ810" s="640"/>
      <c r="CA810" s="640"/>
      <c r="CB810" s="640"/>
      <c r="CC810" s="640"/>
      <c r="CD810" s="640"/>
      <c r="CE810" s="640"/>
      <c r="CF810" s="640"/>
      <c r="CG810" s="640"/>
      <c r="CH810" s="641"/>
      <c r="CI810" s="627"/>
      <c r="CJ810" s="628"/>
      <c r="CK810" s="628"/>
      <c r="CL810" s="628"/>
      <c r="CM810" s="628"/>
      <c r="CN810" s="628"/>
      <c r="CO810" s="628"/>
      <c r="CP810" s="628"/>
      <c r="CQ810" s="628"/>
      <c r="CR810" s="628"/>
      <c r="CS810" s="628"/>
      <c r="CT810" s="628"/>
      <c r="CU810" s="628"/>
      <c r="CV810" s="628"/>
      <c r="CW810" s="628"/>
      <c r="CX810" s="628"/>
      <c r="CY810" s="628"/>
      <c r="CZ810" s="629"/>
      <c r="DA810" s="214"/>
    </row>
    <row r="811" spans="1:105" s="16" customFormat="1" ht="15" customHeight="1" x14ac:dyDescent="0.3">
      <c r="A811" s="630" t="s">
        <v>67</v>
      </c>
      <c r="B811" s="631"/>
      <c r="C811" s="631"/>
      <c r="D811" s="631"/>
      <c r="E811" s="631"/>
      <c r="F811" s="631"/>
      <c r="G811" s="632"/>
      <c r="H811" s="584" t="s">
        <v>716</v>
      </c>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5"/>
      <c r="AL811" s="585"/>
      <c r="AM811" s="585"/>
      <c r="AN811" s="585"/>
      <c r="AO811" s="585"/>
      <c r="AP811" s="585"/>
      <c r="AQ811" s="585"/>
      <c r="AR811" s="585"/>
      <c r="AS811" s="585"/>
      <c r="AT811" s="586"/>
      <c r="AU811" s="475" t="s">
        <v>690</v>
      </c>
      <c r="AV811" s="476"/>
      <c r="AW811" s="476"/>
      <c r="AX811" s="476"/>
      <c r="AY811" s="476"/>
      <c r="AZ811" s="476"/>
      <c r="BA811" s="476"/>
      <c r="BB811" s="477"/>
      <c r="BC811" s="544">
        <v>24</v>
      </c>
      <c r="BD811" s="545"/>
      <c r="BE811" s="545"/>
      <c r="BF811" s="545"/>
      <c r="BG811" s="545"/>
      <c r="BH811" s="545"/>
      <c r="BI811" s="545"/>
      <c r="BJ811" s="545"/>
      <c r="BK811" s="545"/>
      <c r="BL811" s="545"/>
      <c r="BM811" s="545"/>
      <c r="BN811" s="545"/>
      <c r="BO811" s="545"/>
      <c r="BP811" s="545"/>
      <c r="BQ811" s="545"/>
      <c r="BR811" s="546"/>
      <c r="BS811" s="639">
        <f t="shared" si="16"/>
        <v>341.66666666666669</v>
      </c>
      <c r="BT811" s="640"/>
      <c r="BU811" s="640"/>
      <c r="BV811" s="640"/>
      <c r="BW811" s="640"/>
      <c r="BX811" s="640"/>
      <c r="BY811" s="640"/>
      <c r="BZ811" s="640"/>
      <c r="CA811" s="640"/>
      <c r="CB811" s="640"/>
      <c r="CC811" s="640"/>
      <c r="CD811" s="640"/>
      <c r="CE811" s="640"/>
      <c r="CF811" s="640"/>
      <c r="CG811" s="640"/>
      <c r="CH811" s="641"/>
      <c r="CI811" s="627">
        <v>8200</v>
      </c>
      <c r="CJ811" s="628"/>
      <c r="CK811" s="628"/>
      <c r="CL811" s="628"/>
      <c r="CM811" s="628"/>
      <c r="CN811" s="628"/>
      <c r="CO811" s="628"/>
      <c r="CP811" s="628"/>
      <c r="CQ811" s="628"/>
      <c r="CR811" s="628"/>
      <c r="CS811" s="628"/>
      <c r="CT811" s="628"/>
      <c r="CU811" s="628"/>
      <c r="CV811" s="628"/>
      <c r="CW811" s="628"/>
      <c r="CX811" s="628"/>
      <c r="CY811" s="628"/>
      <c r="CZ811" s="629"/>
      <c r="DA811" s="214"/>
    </row>
    <row r="812" spans="1:105" s="16" customFormat="1" ht="15" hidden="1" customHeight="1" x14ac:dyDescent="0.3">
      <c r="A812" s="630" t="s">
        <v>599</v>
      </c>
      <c r="B812" s="631"/>
      <c r="C812" s="631"/>
      <c r="D812" s="631"/>
      <c r="E812" s="631"/>
      <c r="F812" s="631"/>
      <c r="G812" s="632"/>
      <c r="H812" s="584" t="s">
        <v>984</v>
      </c>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5"/>
      <c r="AL812" s="585"/>
      <c r="AM812" s="585"/>
      <c r="AN812" s="585"/>
      <c r="AO812" s="585"/>
      <c r="AP812" s="585"/>
      <c r="AQ812" s="585"/>
      <c r="AR812" s="585"/>
      <c r="AS812" s="585"/>
      <c r="AT812" s="586"/>
      <c r="AU812" s="475" t="s">
        <v>690</v>
      </c>
      <c r="AV812" s="476"/>
      <c r="AW812" s="476"/>
      <c r="AX812" s="476"/>
      <c r="AY812" s="476"/>
      <c r="AZ812" s="476"/>
      <c r="BA812" s="476"/>
      <c r="BB812" s="477"/>
      <c r="BC812" s="544">
        <v>65</v>
      </c>
      <c r="BD812" s="545"/>
      <c r="BE812" s="545"/>
      <c r="BF812" s="545"/>
      <c r="BG812" s="545"/>
      <c r="BH812" s="545"/>
      <c r="BI812" s="545"/>
      <c r="BJ812" s="545"/>
      <c r="BK812" s="545"/>
      <c r="BL812" s="545"/>
      <c r="BM812" s="545"/>
      <c r="BN812" s="545"/>
      <c r="BO812" s="545"/>
      <c r="BP812" s="545"/>
      <c r="BQ812" s="545"/>
      <c r="BR812" s="546"/>
      <c r="BS812" s="639">
        <f t="shared" si="16"/>
        <v>0</v>
      </c>
      <c r="BT812" s="640"/>
      <c r="BU812" s="640"/>
      <c r="BV812" s="640"/>
      <c r="BW812" s="640"/>
      <c r="BX812" s="640"/>
      <c r="BY812" s="640"/>
      <c r="BZ812" s="640"/>
      <c r="CA812" s="640"/>
      <c r="CB812" s="640"/>
      <c r="CC812" s="640"/>
      <c r="CD812" s="640"/>
      <c r="CE812" s="640"/>
      <c r="CF812" s="640"/>
      <c r="CG812" s="640"/>
      <c r="CH812" s="641"/>
      <c r="CI812" s="627"/>
      <c r="CJ812" s="628"/>
      <c r="CK812" s="628"/>
      <c r="CL812" s="628"/>
      <c r="CM812" s="628"/>
      <c r="CN812" s="628"/>
      <c r="CO812" s="628"/>
      <c r="CP812" s="628"/>
      <c r="CQ812" s="628"/>
      <c r="CR812" s="628"/>
      <c r="CS812" s="628"/>
      <c r="CT812" s="628"/>
      <c r="CU812" s="628"/>
      <c r="CV812" s="628"/>
      <c r="CW812" s="628"/>
      <c r="CX812" s="628"/>
      <c r="CY812" s="628"/>
      <c r="CZ812" s="629"/>
      <c r="DA812" s="214"/>
    </row>
    <row r="813" spans="1:105" s="16" customFormat="1" ht="15" hidden="1" customHeight="1" x14ac:dyDescent="0.3">
      <c r="A813" s="630" t="s">
        <v>642</v>
      </c>
      <c r="B813" s="631"/>
      <c r="C813" s="631"/>
      <c r="D813" s="631"/>
      <c r="E813" s="631"/>
      <c r="F813" s="631"/>
      <c r="G813" s="632"/>
      <c r="H813" s="584" t="s">
        <v>991</v>
      </c>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5"/>
      <c r="AL813" s="585"/>
      <c r="AM813" s="585"/>
      <c r="AN813" s="585"/>
      <c r="AO813" s="585"/>
      <c r="AP813" s="585"/>
      <c r="AQ813" s="585"/>
      <c r="AR813" s="585"/>
      <c r="AS813" s="585"/>
      <c r="AT813" s="586"/>
      <c r="AU813" s="475" t="s">
        <v>690</v>
      </c>
      <c r="AV813" s="476"/>
      <c r="AW813" s="476"/>
      <c r="AX813" s="476"/>
      <c r="AY813" s="476"/>
      <c r="AZ813" s="476"/>
      <c r="BA813" s="476"/>
      <c r="BB813" s="477"/>
      <c r="BC813" s="544">
        <v>93</v>
      </c>
      <c r="BD813" s="545"/>
      <c r="BE813" s="545"/>
      <c r="BF813" s="545"/>
      <c r="BG813" s="545"/>
      <c r="BH813" s="545"/>
      <c r="BI813" s="545"/>
      <c r="BJ813" s="545"/>
      <c r="BK813" s="545"/>
      <c r="BL813" s="545"/>
      <c r="BM813" s="545"/>
      <c r="BN813" s="545"/>
      <c r="BO813" s="545"/>
      <c r="BP813" s="545"/>
      <c r="BQ813" s="545"/>
      <c r="BR813" s="546"/>
      <c r="BS813" s="639">
        <f t="shared" si="16"/>
        <v>0</v>
      </c>
      <c r="BT813" s="640"/>
      <c r="BU813" s="640"/>
      <c r="BV813" s="640"/>
      <c r="BW813" s="640"/>
      <c r="BX813" s="640"/>
      <c r="BY813" s="640"/>
      <c r="BZ813" s="640"/>
      <c r="CA813" s="640"/>
      <c r="CB813" s="640"/>
      <c r="CC813" s="640"/>
      <c r="CD813" s="640"/>
      <c r="CE813" s="640"/>
      <c r="CF813" s="640"/>
      <c r="CG813" s="640"/>
      <c r="CH813" s="641"/>
      <c r="CI813" s="627"/>
      <c r="CJ813" s="628"/>
      <c r="CK813" s="628"/>
      <c r="CL813" s="628"/>
      <c r="CM813" s="628"/>
      <c r="CN813" s="628"/>
      <c r="CO813" s="628"/>
      <c r="CP813" s="628"/>
      <c r="CQ813" s="628"/>
      <c r="CR813" s="628"/>
      <c r="CS813" s="628"/>
      <c r="CT813" s="628"/>
      <c r="CU813" s="628"/>
      <c r="CV813" s="628"/>
      <c r="CW813" s="628"/>
      <c r="CX813" s="628"/>
      <c r="CY813" s="628"/>
      <c r="CZ813" s="629"/>
      <c r="DA813" s="214"/>
    </row>
    <row r="814" spans="1:105" s="16" customFormat="1" ht="15" customHeight="1" x14ac:dyDescent="0.3">
      <c r="A814" s="630" t="s">
        <v>71</v>
      </c>
      <c r="B814" s="631"/>
      <c r="C814" s="631"/>
      <c r="D814" s="631"/>
      <c r="E814" s="631"/>
      <c r="F814" s="631"/>
      <c r="G814" s="632"/>
      <c r="H814" s="584" t="s">
        <v>985</v>
      </c>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5"/>
      <c r="AL814" s="585"/>
      <c r="AM814" s="585"/>
      <c r="AN814" s="585"/>
      <c r="AO814" s="585"/>
      <c r="AP814" s="585"/>
      <c r="AQ814" s="585"/>
      <c r="AR814" s="585"/>
      <c r="AS814" s="585"/>
      <c r="AT814" s="586"/>
      <c r="AU814" s="475" t="s">
        <v>690</v>
      </c>
      <c r="AV814" s="476"/>
      <c r="AW814" s="476"/>
      <c r="AX814" s="476"/>
      <c r="AY814" s="476"/>
      <c r="AZ814" s="476"/>
      <c r="BA814" s="476"/>
      <c r="BB814" s="477"/>
      <c r="BC814" s="544">
        <v>164</v>
      </c>
      <c r="BD814" s="545"/>
      <c r="BE814" s="545"/>
      <c r="BF814" s="545"/>
      <c r="BG814" s="545"/>
      <c r="BH814" s="545"/>
      <c r="BI814" s="545"/>
      <c r="BJ814" s="545"/>
      <c r="BK814" s="545"/>
      <c r="BL814" s="545"/>
      <c r="BM814" s="545"/>
      <c r="BN814" s="545"/>
      <c r="BO814" s="545"/>
      <c r="BP814" s="545"/>
      <c r="BQ814" s="545"/>
      <c r="BR814" s="546"/>
      <c r="BS814" s="639">
        <f t="shared" si="16"/>
        <v>49.756097560975611</v>
      </c>
      <c r="BT814" s="640"/>
      <c r="BU814" s="640"/>
      <c r="BV814" s="640"/>
      <c r="BW814" s="640"/>
      <c r="BX814" s="640"/>
      <c r="BY814" s="640"/>
      <c r="BZ814" s="640"/>
      <c r="CA814" s="640"/>
      <c r="CB814" s="640"/>
      <c r="CC814" s="640"/>
      <c r="CD814" s="640"/>
      <c r="CE814" s="640"/>
      <c r="CF814" s="640"/>
      <c r="CG814" s="640"/>
      <c r="CH814" s="641"/>
      <c r="CI814" s="627">
        <v>8160</v>
      </c>
      <c r="CJ814" s="628"/>
      <c r="CK814" s="628"/>
      <c r="CL814" s="628"/>
      <c r="CM814" s="628"/>
      <c r="CN814" s="628"/>
      <c r="CO814" s="628"/>
      <c r="CP814" s="628"/>
      <c r="CQ814" s="628"/>
      <c r="CR814" s="628"/>
      <c r="CS814" s="628"/>
      <c r="CT814" s="628"/>
      <c r="CU814" s="628"/>
      <c r="CV814" s="628"/>
      <c r="CW814" s="628"/>
      <c r="CX814" s="628"/>
      <c r="CY814" s="628"/>
      <c r="CZ814" s="629"/>
      <c r="DA814" s="214"/>
    </row>
    <row r="815" spans="1:105" s="16" customFormat="1" ht="15" hidden="1" customHeight="1" x14ac:dyDescent="0.3">
      <c r="A815" s="630" t="s">
        <v>650</v>
      </c>
      <c r="B815" s="631"/>
      <c r="C815" s="631"/>
      <c r="D815" s="631"/>
      <c r="E815" s="631"/>
      <c r="F815" s="631"/>
      <c r="G815" s="632"/>
      <c r="H815" s="584" t="s">
        <v>986</v>
      </c>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5"/>
      <c r="AL815" s="585"/>
      <c r="AM815" s="585"/>
      <c r="AN815" s="585"/>
      <c r="AO815" s="585"/>
      <c r="AP815" s="585"/>
      <c r="AQ815" s="585"/>
      <c r="AR815" s="585"/>
      <c r="AS815" s="585"/>
      <c r="AT815" s="586"/>
      <c r="AU815" s="475" t="s">
        <v>690</v>
      </c>
      <c r="AV815" s="476"/>
      <c r="AW815" s="476"/>
      <c r="AX815" s="476"/>
      <c r="AY815" s="476"/>
      <c r="AZ815" s="476"/>
      <c r="BA815" s="476"/>
      <c r="BB815" s="477"/>
      <c r="BC815" s="544">
        <v>173</v>
      </c>
      <c r="BD815" s="545"/>
      <c r="BE815" s="545"/>
      <c r="BF815" s="545"/>
      <c r="BG815" s="545"/>
      <c r="BH815" s="545"/>
      <c r="BI815" s="545"/>
      <c r="BJ815" s="545"/>
      <c r="BK815" s="545"/>
      <c r="BL815" s="545"/>
      <c r="BM815" s="545"/>
      <c r="BN815" s="545"/>
      <c r="BO815" s="545"/>
      <c r="BP815" s="545"/>
      <c r="BQ815" s="545"/>
      <c r="BR815" s="546"/>
      <c r="BS815" s="639">
        <f t="shared" si="16"/>
        <v>0</v>
      </c>
      <c r="BT815" s="640"/>
      <c r="BU815" s="640"/>
      <c r="BV815" s="640"/>
      <c r="BW815" s="640"/>
      <c r="BX815" s="640"/>
      <c r="BY815" s="640"/>
      <c r="BZ815" s="640"/>
      <c r="CA815" s="640"/>
      <c r="CB815" s="640"/>
      <c r="CC815" s="640"/>
      <c r="CD815" s="640"/>
      <c r="CE815" s="640"/>
      <c r="CF815" s="640"/>
      <c r="CG815" s="640"/>
      <c r="CH815" s="641"/>
      <c r="CI815" s="627"/>
      <c r="CJ815" s="628"/>
      <c r="CK815" s="628"/>
      <c r="CL815" s="628"/>
      <c r="CM815" s="628"/>
      <c r="CN815" s="628"/>
      <c r="CO815" s="628"/>
      <c r="CP815" s="628"/>
      <c r="CQ815" s="628"/>
      <c r="CR815" s="628"/>
      <c r="CS815" s="628"/>
      <c r="CT815" s="628"/>
      <c r="CU815" s="628"/>
      <c r="CV815" s="628"/>
      <c r="CW815" s="628"/>
      <c r="CX815" s="628"/>
      <c r="CY815" s="628"/>
      <c r="CZ815" s="629"/>
      <c r="DA815" s="214"/>
    </row>
    <row r="816" spans="1:105" s="16" customFormat="1" ht="15" customHeight="1" x14ac:dyDescent="0.3">
      <c r="A816" s="630" t="s">
        <v>462</v>
      </c>
      <c r="B816" s="631"/>
      <c r="C816" s="631"/>
      <c r="D816" s="631"/>
      <c r="E816" s="631"/>
      <c r="F816" s="631"/>
      <c r="G816" s="632"/>
      <c r="H816" s="584" t="s">
        <v>976</v>
      </c>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5"/>
      <c r="AL816" s="585"/>
      <c r="AM816" s="585"/>
      <c r="AN816" s="585"/>
      <c r="AO816" s="585"/>
      <c r="AP816" s="585"/>
      <c r="AQ816" s="585"/>
      <c r="AR816" s="585"/>
      <c r="AS816" s="585"/>
      <c r="AT816" s="586"/>
      <c r="AU816" s="475" t="s">
        <v>690</v>
      </c>
      <c r="AV816" s="476"/>
      <c r="AW816" s="476"/>
      <c r="AX816" s="476"/>
      <c r="AY816" s="476"/>
      <c r="AZ816" s="476"/>
      <c r="BA816" s="476"/>
      <c r="BB816" s="477"/>
      <c r="BC816" s="544">
        <v>27</v>
      </c>
      <c r="BD816" s="545"/>
      <c r="BE816" s="545"/>
      <c r="BF816" s="545"/>
      <c r="BG816" s="545"/>
      <c r="BH816" s="545"/>
      <c r="BI816" s="545"/>
      <c r="BJ816" s="545"/>
      <c r="BK816" s="545"/>
      <c r="BL816" s="545"/>
      <c r="BM816" s="545"/>
      <c r="BN816" s="545"/>
      <c r="BO816" s="545"/>
      <c r="BP816" s="545"/>
      <c r="BQ816" s="545"/>
      <c r="BR816" s="546"/>
      <c r="BS816" s="639">
        <f t="shared" si="16"/>
        <v>372.22222222222223</v>
      </c>
      <c r="BT816" s="640"/>
      <c r="BU816" s="640"/>
      <c r="BV816" s="640"/>
      <c r="BW816" s="640"/>
      <c r="BX816" s="640"/>
      <c r="BY816" s="640"/>
      <c r="BZ816" s="640"/>
      <c r="CA816" s="640"/>
      <c r="CB816" s="640"/>
      <c r="CC816" s="640"/>
      <c r="CD816" s="640"/>
      <c r="CE816" s="640"/>
      <c r="CF816" s="640"/>
      <c r="CG816" s="640"/>
      <c r="CH816" s="641"/>
      <c r="CI816" s="627">
        <v>10050</v>
      </c>
      <c r="CJ816" s="628"/>
      <c r="CK816" s="628"/>
      <c r="CL816" s="628"/>
      <c r="CM816" s="628"/>
      <c r="CN816" s="628"/>
      <c r="CO816" s="628"/>
      <c r="CP816" s="628"/>
      <c r="CQ816" s="628"/>
      <c r="CR816" s="628"/>
      <c r="CS816" s="628"/>
      <c r="CT816" s="628"/>
      <c r="CU816" s="628"/>
      <c r="CV816" s="628"/>
      <c r="CW816" s="628"/>
      <c r="CX816" s="628"/>
      <c r="CY816" s="628"/>
      <c r="CZ816" s="629"/>
      <c r="DA816" s="214"/>
    </row>
    <row r="817" spans="1:105" s="16" customFormat="1" ht="15" customHeight="1" x14ac:dyDescent="0.3">
      <c r="A817" s="630" t="s">
        <v>477</v>
      </c>
      <c r="B817" s="631"/>
      <c r="C817" s="631"/>
      <c r="D817" s="631"/>
      <c r="E817" s="631"/>
      <c r="F817" s="631"/>
      <c r="G817" s="632"/>
      <c r="H817" s="584" t="s">
        <v>987</v>
      </c>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5"/>
      <c r="AL817" s="585"/>
      <c r="AM817" s="585"/>
      <c r="AN817" s="585"/>
      <c r="AO817" s="585"/>
      <c r="AP817" s="585"/>
      <c r="AQ817" s="585"/>
      <c r="AR817" s="585"/>
      <c r="AS817" s="585"/>
      <c r="AT817" s="586"/>
      <c r="AU817" s="475" t="s">
        <v>690</v>
      </c>
      <c r="AV817" s="476"/>
      <c r="AW817" s="476"/>
      <c r="AX817" s="476"/>
      <c r="AY817" s="476"/>
      <c r="AZ817" s="476"/>
      <c r="BA817" s="476"/>
      <c r="BB817" s="477"/>
      <c r="BC817" s="544">
        <v>11</v>
      </c>
      <c r="BD817" s="545"/>
      <c r="BE817" s="545"/>
      <c r="BF817" s="545"/>
      <c r="BG817" s="545"/>
      <c r="BH817" s="545"/>
      <c r="BI817" s="545"/>
      <c r="BJ817" s="545"/>
      <c r="BK817" s="545"/>
      <c r="BL817" s="545"/>
      <c r="BM817" s="545"/>
      <c r="BN817" s="545"/>
      <c r="BO817" s="545"/>
      <c r="BP817" s="545"/>
      <c r="BQ817" s="545"/>
      <c r="BR817" s="546"/>
      <c r="BS817" s="639">
        <f t="shared" si="16"/>
        <v>509.09090909090907</v>
      </c>
      <c r="BT817" s="640"/>
      <c r="BU817" s="640"/>
      <c r="BV817" s="640"/>
      <c r="BW817" s="640"/>
      <c r="BX817" s="640"/>
      <c r="BY817" s="640"/>
      <c r="BZ817" s="640"/>
      <c r="CA817" s="640"/>
      <c r="CB817" s="640"/>
      <c r="CC817" s="640"/>
      <c r="CD817" s="640"/>
      <c r="CE817" s="640"/>
      <c r="CF817" s="640"/>
      <c r="CG817" s="640"/>
      <c r="CH817" s="641"/>
      <c r="CI817" s="627">
        <v>5600</v>
      </c>
      <c r="CJ817" s="628"/>
      <c r="CK817" s="628"/>
      <c r="CL817" s="628"/>
      <c r="CM817" s="628"/>
      <c r="CN817" s="628"/>
      <c r="CO817" s="628"/>
      <c r="CP817" s="628"/>
      <c r="CQ817" s="628"/>
      <c r="CR817" s="628"/>
      <c r="CS817" s="628"/>
      <c r="CT817" s="628"/>
      <c r="CU817" s="628"/>
      <c r="CV817" s="628"/>
      <c r="CW817" s="628"/>
      <c r="CX817" s="628"/>
      <c r="CY817" s="628"/>
      <c r="CZ817" s="629"/>
      <c r="DA817" s="214"/>
    </row>
    <row r="818" spans="1:105" s="16" customFormat="1" ht="15" customHeight="1" x14ac:dyDescent="0.3">
      <c r="A818" s="630" t="s">
        <v>479</v>
      </c>
      <c r="B818" s="631"/>
      <c r="C818" s="631"/>
      <c r="D818" s="631"/>
      <c r="E818" s="631"/>
      <c r="F818" s="631"/>
      <c r="G818" s="632"/>
      <c r="H818" s="584" t="s">
        <v>714</v>
      </c>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5"/>
      <c r="AL818" s="585"/>
      <c r="AM818" s="585"/>
      <c r="AN818" s="585"/>
      <c r="AO818" s="585"/>
      <c r="AP818" s="585"/>
      <c r="AQ818" s="585"/>
      <c r="AR818" s="585"/>
      <c r="AS818" s="585"/>
      <c r="AT818" s="586"/>
      <c r="AU818" s="475" t="s">
        <v>690</v>
      </c>
      <c r="AV818" s="476"/>
      <c r="AW818" s="476"/>
      <c r="AX818" s="476"/>
      <c r="AY818" s="476"/>
      <c r="AZ818" s="476"/>
      <c r="BA818" s="476"/>
      <c r="BB818" s="477"/>
      <c r="BC818" s="544">
        <v>15</v>
      </c>
      <c r="BD818" s="545"/>
      <c r="BE818" s="545"/>
      <c r="BF818" s="545"/>
      <c r="BG818" s="545"/>
      <c r="BH818" s="545"/>
      <c r="BI818" s="545"/>
      <c r="BJ818" s="545"/>
      <c r="BK818" s="545"/>
      <c r="BL818" s="545"/>
      <c r="BM818" s="545"/>
      <c r="BN818" s="545"/>
      <c r="BO818" s="545"/>
      <c r="BP818" s="545"/>
      <c r="BQ818" s="545"/>
      <c r="BR818" s="546"/>
      <c r="BS818" s="639">
        <f t="shared" si="16"/>
        <v>366.66666666666669</v>
      </c>
      <c r="BT818" s="640"/>
      <c r="BU818" s="640"/>
      <c r="BV818" s="640"/>
      <c r="BW818" s="640"/>
      <c r="BX818" s="640"/>
      <c r="BY818" s="640"/>
      <c r="BZ818" s="640"/>
      <c r="CA818" s="640"/>
      <c r="CB818" s="640"/>
      <c r="CC818" s="640"/>
      <c r="CD818" s="640"/>
      <c r="CE818" s="640"/>
      <c r="CF818" s="640"/>
      <c r="CG818" s="640"/>
      <c r="CH818" s="641"/>
      <c r="CI818" s="627">
        <v>5500</v>
      </c>
      <c r="CJ818" s="628"/>
      <c r="CK818" s="628"/>
      <c r="CL818" s="628"/>
      <c r="CM818" s="628"/>
      <c r="CN818" s="628"/>
      <c r="CO818" s="628"/>
      <c r="CP818" s="628"/>
      <c r="CQ818" s="628"/>
      <c r="CR818" s="628"/>
      <c r="CS818" s="628"/>
      <c r="CT818" s="628"/>
      <c r="CU818" s="628"/>
      <c r="CV818" s="628"/>
      <c r="CW818" s="628"/>
      <c r="CX818" s="628"/>
      <c r="CY818" s="628"/>
      <c r="CZ818" s="629"/>
      <c r="DA818" s="214"/>
    </row>
    <row r="819" spans="1:105" s="16" customFormat="1" ht="22.5" hidden="1" customHeight="1" x14ac:dyDescent="0.3">
      <c r="A819" s="630" t="s">
        <v>655</v>
      </c>
      <c r="B819" s="631"/>
      <c r="C819" s="631"/>
      <c r="D819" s="631"/>
      <c r="E819" s="631"/>
      <c r="F819" s="631"/>
      <c r="G819" s="632"/>
      <c r="H819" s="584" t="s">
        <v>919</v>
      </c>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5"/>
      <c r="AL819" s="585"/>
      <c r="AM819" s="585"/>
      <c r="AN819" s="585"/>
      <c r="AO819" s="585"/>
      <c r="AP819" s="585"/>
      <c r="AQ819" s="585"/>
      <c r="AR819" s="585"/>
      <c r="AS819" s="585"/>
      <c r="AT819" s="586"/>
      <c r="AU819" s="475" t="s">
        <v>690</v>
      </c>
      <c r="AV819" s="476"/>
      <c r="AW819" s="476"/>
      <c r="AX819" s="476"/>
      <c r="AY819" s="476"/>
      <c r="AZ819" s="476"/>
      <c r="BA819" s="476"/>
      <c r="BB819" s="477"/>
      <c r="BC819" s="544">
        <v>31</v>
      </c>
      <c r="BD819" s="545"/>
      <c r="BE819" s="545"/>
      <c r="BF819" s="545"/>
      <c r="BG819" s="545"/>
      <c r="BH819" s="545"/>
      <c r="BI819" s="545"/>
      <c r="BJ819" s="545"/>
      <c r="BK819" s="545"/>
      <c r="BL819" s="545"/>
      <c r="BM819" s="545"/>
      <c r="BN819" s="545"/>
      <c r="BO819" s="545"/>
      <c r="BP819" s="545"/>
      <c r="BQ819" s="545"/>
      <c r="BR819" s="546"/>
      <c r="BS819" s="639">
        <f t="shared" si="16"/>
        <v>0</v>
      </c>
      <c r="BT819" s="640"/>
      <c r="BU819" s="640"/>
      <c r="BV819" s="640"/>
      <c r="BW819" s="640"/>
      <c r="BX819" s="640"/>
      <c r="BY819" s="640"/>
      <c r="BZ819" s="640"/>
      <c r="CA819" s="640"/>
      <c r="CB819" s="640"/>
      <c r="CC819" s="640"/>
      <c r="CD819" s="640"/>
      <c r="CE819" s="640"/>
      <c r="CF819" s="640"/>
      <c r="CG819" s="640"/>
      <c r="CH819" s="641"/>
      <c r="CI819" s="627"/>
      <c r="CJ819" s="628"/>
      <c r="CK819" s="628"/>
      <c r="CL819" s="628"/>
      <c r="CM819" s="628"/>
      <c r="CN819" s="628"/>
      <c r="CO819" s="628"/>
      <c r="CP819" s="628"/>
      <c r="CQ819" s="628"/>
      <c r="CR819" s="628"/>
      <c r="CS819" s="628"/>
      <c r="CT819" s="628"/>
      <c r="CU819" s="628"/>
      <c r="CV819" s="628"/>
      <c r="CW819" s="628"/>
      <c r="CX819" s="628"/>
      <c r="CY819" s="628"/>
      <c r="CZ819" s="629"/>
      <c r="DA819" s="214"/>
    </row>
    <row r="820" spans="1:105" s="16" customFormat="1" ht="15" hidden="1" customHeight="1" x14ac:dyDescent="0.3">
      <c r="A820" s="630" t="s">
        <v>656</v>
      </c>
      <c r="B820" s="631"/>
      <c r="C820" s="631"/>
      <c r="D820" s="631"/>
      <c r="E820" s="631"/>
      <c r="F820" s="631"/>
      <c r="G820" s="632"/>
      <c r="H820" s="584" t="s">
        <v>988</v>
      </c>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5"/>
      <c r="AL820" s="585"/>
      <c r="AM820" s="585"/>
      <c r="AN820" s="585"/>
      <c r="AO820" s="585"/>
      <c r="AP820" s="585"/>
      <c r="AQ820" s="585"/>
      <c r="AR820" s="585"/>
      <c r="AS820" s="585"/>
      <c r="AT820" s="586"/>
      <c r="AU820" s="475" t="s">
        <v>690</v>
      </c>
      <c r="AV820" s="476"/>
      <c r="AW820" s="476"/>
      <c r="AX820" s="476"/>
      <c r="AY820" s="476"/>
      <c r="AZ820" s="476"/>
      <c r="BA820" s="476"/>
      <c r="BB820" s="477"/>
      <c r="BC820" s="544">
        <v>4</v>
      </c>
      <c r="BD820" s="545"/>
      <c r="BE820" s="545"/>
      <c r="BF820" s="545"/>
      <c r="BG820" s="545"/>
      <c r="BH820" s="545"/>
      <c r="BI820" s="545"/>
      <c r="BJ820" s="545"/>
      <c r="BK820" s="545"/>
      <c r="BL820" s="545"/>
      <c r="BM820" s="545"/>
      <c r="BN820" s="545"/>
      <c r="BO820" s="545"/>
      <c r="BP820" s="545"/>
      <c r="BQ820" s="545"/>
      <c r="BR820" s="546"/>
      <c r="BS820" s="639">
        <f t="shared" si="16"/>
        <v>0</v>
      </c>
      <c r="BT820" s="640"/>
      <c r="BU820" s="640"/>
      <c r="BV820" s="640"/>
      <c r="BW820" s="640"/>
      <c r="BX820" s="640"/>
      <c r="BY820" s="640"/>
      <c r="BZ820" s="640"/>
      <c r="CA820" s="640"/>
      <c r="CB820" s="640"/>
      <c r="CC820" s="640"/>
      <c r="CD820" s="640"/>
      <c r="CE820" s="640"/>
      <c r="CF820" s="640"/>
      <c r="CG820" s="640"/>
      <c r="CH820" s="641"/>
      <c r="CI820" s="627"/>
      <c r="CJ820" s="628"/>
      <c r="CK820" s="628"/>
      <c r="CL820" s="628"/>
      <c r="CM820" s="628"/>
      <c r="CN820" s="628"/>
      <c r="CO820" s="628"/>
      <c r="CP820" s="628"/>
      <c r="CQ820" s="628"/>
      <c r="CR820" s="628"/>
      <c r="CS820" s="628"/>
      <c r="CT820" s="628"/>
      <c r="CU820" s="628"/>
      <c r="CV820" s="628"/>
      <c r="CW820" s="628"/>
      <c r="CX820" s="628"/>
      <c r="CY820" s="628"/>
      <c r="CZ820" s="629"/>
      <c r="DA820" s="214"/>
    </row>
    <row r="821" spans="1:105" s="16" customFormat="1" ht="24" hidden="1" customHeight="1" x14ac:dyDescent="0.3">
      <c r="A821" s="630" t="s">
        <v>657</v>
      </c>
      <c r="B821" s="631"/>
      <c r="C821" s="631"/>
      <c r="D821" s="631"/>
      <c r="E821" s="631"/>
      <c r="F821" s="631"/>
      <c r="G821" s="632"/>
      <c r="H821" s="584" t="s">
        <v>989</v>
      </c>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5"/>
      <c r="AL821" s="585"/>
      <c r="AM821" s="585"/>
      <c r="AN821" s="585"/>
      <c r="AO821" s="585"/>
      <c r="AP821" s="585"/>
      <c r="AQ821" s="585"/>
      <c r="AR821" s="585"/>
      <c r="AS821" s="585"/>
      <c r="AT821" s="586"/>
      <c r="AU821" s="475" t="s">
        <v>690</v>
      </c>
      <c r="AV821" s="476"/>
      <c r="AW821" s="476"/>
      <c r="AX821" s="476"/>
      <c r="AY821" s="476"/>
      <c r="AZ821" s="476"/>
      <c r="BA821" s="476"/>
      <c r="BB821" s="477"/>
      <c r="BC821" s="544">
        <v>26</v>
      </c>
      <c r="BD821" s="545"/>
      <c r="BE821" s="545"/>
      <c r="BF821" s="545"/>
      <c r="BG821" s="545"/>
      <c r="BH821" s="545"/>
      <c r="BI821" s="545"/>
      <c r="BJ821" s="545"/>
      <c r="BK821" s="545"/>
      <c r="BL821" s="545"/>
      <c r="BM821" s="545"/>
      <c r="BN821" s="545"/>
      <c r="BO821" s="545"/>
      <c r="BP821" s="545"/>
      <c r="BQ821" s="545"/>
      <c r="BR821" s="546"/>
      <c r="BS821" s="639">
        <f t="shared" si="16"/>
        <v>0</v>
      </c>
      <c r="BT821" s="640"/>
      <c r="BU821" s="640"/>
      <c r="BV821" s="640"/>
      <c r="BW821" s="640"/>
      <c r="BX821" s="640"/>
      <c r="BY821" s="640"/>
      <c r="BZ821" s="640"/>
      <c r="CA821" s="640"/>
      <c r="CB821" s="640"/>
      <c r="CC821" s="640"/>
      <c r="CD821" s="640"/>
      <c r="CE821" s="640"/>
      <c r="CF821" s="640"/>
      <c r="CG821" s="640"/>
      <c r="CH821" s="641"/>
      <c r="CI821" s="627"/>
      <c r="CJ821" s="628"/>
      <c r="CK821" s="628"/>
      <c r="CL821" s="628"/>
      <c r="CM821" s="628"/>
      <c r="CN821" s="628"/>
      <c r="CO821" s="628"/>
      <c r="CP821" s="628"/>
      <c r="CQ821" s="628"/>
      <c r="CR821" s="628"/>
      <c r="CS821" s="628"/>
      <c r="CT821" s="628"/>
      <c r="CU821" s="628"/>
      <c r="CV821" s="628"/>
      <c r="CW821" s="628"/>
      <c r="CX821" s="628"/>
      <c r="CY821" s="628"/>
      <c r="CZ821" s="629"/>
      <c r="DA821" s="214"/>
    </row>
    <row r="822" spans="1:105" s="16" customFormat="1" ht="15" hidden="1" customHeight="1" x14ac:dyDescent="0.3">
      <c r="A822" s="630" t="s">
        <v>659</v>
      </c>
      <c r="B822" s="631"/>
      <c r="C822" s="631"/>
      <c r="D822" s="631"/>
      <c r="E822" s="631"/>
      <c r="F822" s="631"/>
      <c r="G822" s="632"/>
      <c r="H822" s="584" t="s">
        <v>990</v>
      </c>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5"/>
      <c r="AL822" s="585"/>
      <c r="AM822" s="585"/>
      <c r="AN822" s="585"/>
      <c r="AO822" s="585"/>
      <c r="AP822" s="585"/>
      <c r="AQ822" s="585"/>
      <c r="AR822" s="585"/>
      <c r="AS822" s="585"/>
      <c r="AT822" s="586"/>
      <c r="AU822" s="475" t="s">
        <v>690</v>
      </c>
      <c r="AV822" s="476"/>
      <c r="AW822" s="476"/>
      <c r="AX822" s="476"/>
      <c r="AY822" s="476"/>
      <c r="AZ822" s="476"/>
      <c r="BA822" s="476"/>
      <c r="BB822" s="477"/>
      <c r="BC822" s="544">
        <v>9</v>
      </c>
      <c r="BD822" s="545"/>
      <c r="BE822" s="545"/>
      <c r="BF822" s="545"/>
      <c r="BG822" s="545"/>
      <c r="BH822" s="545"/>
      <c r="BI822" s="545"/>
      <c r="BJ822" s="545"/>
      <c r="BK822" s="545"/>
      <c r="BL822" s="545"/>
      <c r="BM822" s="545"/>
      <c r="BN822" s="545"/>
      <c r="BO822" s="545"/>
      <c r="BP822" s="545"/>
      <c r="BQ822" s="545"/>
      <c r="BR822" s="546"/>
      <c r="BS822" s="639">
        <f t="shared" si="16"/>
        <v>0</v>
      </c>
      <c r="BT822" s="640"/>
      <c r="BU822" s="640"/>
      <c r="BV822" s="640"/>
      <c r="BW822" s="640"/>
      <c r="BX822" s="640"/>
      <c r="BY822" s="640"/>
      <c r="BZ822" s="640"/>
      <c r="CA822" s="640"/>
      <c r="CB822" s="640"/>
      <c r="CC822" s="640"/>
      <c r="CD822" s="640"/>
      <c r="CE822" s="640"/>
      <c r="CF822" s="640"/>
      <c r="CG822" s="640"/>
      <c r="CH822" s="641"/>
      <c r="CI822" s="627"/>
      <c r="CJ822" s="628"/>
      <c r="CK822" s="628"/>
      <c r="CL822" s="628"/>
      <c r="CM822" s="628"/>
      <c r="CN822" s="628"/>
      <c r="CO822" s="628"/>
      <c r="CP822" s="628"/>
      <c r="CQ822" s="628"/>
      <c r="CR822" s="628"/>
      <c r="CS822" s="628"/>
      <c r="CT822" s="628"/>
      <c r="CU822" s="628"/>
      <c r="CV822" s="628"/>
      <c r="CW822" s="628"/>
      <c r="CX822" s="628"/>
      <c r="CY822" s="628"/>
      <c r="CZ822" s="629"/>
      <c r="DA822" s="214"/>
    </row>
    <row r="823" spans="1:105" s="16" customFormat="1" ht="15" customHeight="1" x14ac:dyDescent="0.3">
      <c r="A823" s="630" t="s">
        <v>481</v>
      </c>
      <c r="B823" s="631"/>
      <c r="C823" s="631"/>
      <c r="D823" s="631"/>
      <c r="E823" s="631"/>
      <c r="F823" s="631"/>
      <c r="G823" s="632"/>
      <c r="H823" s="584" t="s">
        <v>973</v>
      </c>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5"/>
      <c r="AL823" s="585"/>
      <c r="AM823" s="585"/>
      <c r="AN823" s="585"/>
      <c r="AO823" s="585"/>
      <c r="AP823" s="585"/>
      <c r="AQ823" s="585"/>
      <c r="AR823" s="585"/>
      <c r="AS823" s="585"/>
      <c r="AT823" s="586"/>
      <c r="AU823" s="475" t="s">
        <v>690</v>
      </c>
      <c r="AV823" s="476"/>
      <c r="AW823" s="476"/>
      <c r="AX823" s="476"/>
      <c r="AY823" s="476"/>
      <c r="AZ823" s="476"/>
      <c r="BA823" s="476"/>
      <c r="BB823" s="477"/>
      <c r="BC823" s="544">
        <v>10</v>
      </c>
      <c r="BD823" s="545"/>
      <c r="BE823" s="545"/>
      <c r="BF823" s="545"/>
      <c r="BG823" s="545"/>
      <c r="BH823" s="545"/>
      <c r="BI823" s="545"/>
      <c r="BJ823" s="545"/>
      <c r="BK823" s="545"/>
      <c r="BL823" s="545"/>
      <c r="BM823" s="545"/>
      <c r="BN823" s="545"/>
      <c r="BO823" s="545"/>
      <c r="BP823" s="545"/>
      <c r="BQ823" s="545"/>
      <c r="BR823" s="546"/>
      <c r="BS823" s="639">
        <f t="shared" si="16"/>
        <v>800</v>
      </c>
      <c r="BT823" s="640"/>
      <c r="BU823" s="640"/>
      <c r="BV823" s="640"/>
      <c r="BW823" s="640"/>
      <c r="BX823" s="640"/>
      <c r="BY823" s="640"/>
      <c r="BZ823" s="640"/>
      <c r="CA823" s="640"/>
      <c r="CB823" s="640"/>
      <c r="CC823" s="640"/>
      <c r="CD823" s="640"/>
      <c r="CE823" s="640"/>
      <c r="CF823" s="640"/>
      <c r="CG823" s="640"/>
      <c r="CH823" s="641"/>
      <c r="CI823" s="627">
        <v>8000</v>
      </c>
      <c r="CJ823" s="628"/>
      <c r="CK823" s="628"/>
      <c r="CL823" s="628"/>
      <c r="CM823" s="628"/>
      <c r="CN823" s="628"/>
      <c r="CO823" s="628"/>
      <c r="CP823" s="628"/>
      <c r="CQ823" s="628"/>
      <c r="CR823" s="628"/>
      <c r="CS823" s="628"/>
      <c r="CT823" s="628"/>
      <c r="CU823" s="628"/>
      <c r="CV823" s="628"/>
      <c r="CW823" s="628"/>
      <c r="CX823" s="628"/>
      <c r="CY823" s="628"/>
      <c r="CZ823" s="629"/>
      <c r="DA823" s="214"/>
    </row>
    <row r="824" spans="1:105" s="16" customFormat="1" ht="15" hidden="1" customHeight="1" x14ac:dyDescent="0.3">
      <c r="A824" s="630" t="s">
        <v>662</v>
      </c>
      <c r="B824" s="631"/>
      <c r="C824" s="631"/>
      <c r="D824" s="631"/>
      <c r="E824" s="631"/>
      <c r="F824" s="631"/>
      <c r="G824" s="632"/>
      <c r="H824" s="584"/>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5"/>
      <c r="AL824" s="585"/>
      <c r="AM824" s="585"/>
      <c r="AN824" s="585"/>
      <c r="AO824" s="585"/>
      <c r="AP824" s="585"/>
      <c r="AQ824" s="585"/>
      <c r="AR824" s="585"/>
      <c r="AS824" s="585"/>
      <c r="AT824" s="586"/>
      <c r="AU824" s="475" t="s">
        <v>690</v>
      </c>
      <c r="AV824" s="476"/>
      <c r="AW824" s="476"/>
      <c r="AX824" s="476"/>
      <c r="AY824" s="476"/>
      <c r="AZ824" s="476"/>
      <c r="BA824" s="476"/>
      <c r="BB824" s="477"/>
      <c r="BC824" s="544"/>
      <c r="BD824" s="545"/>
      <c r="BE824" s="545"/>
      <c r="BF824" s="545"/>
      <c r="BG824" s="545"/>
      <c r="BH824" s="545"/>
      <c r="BI824" s="545"/>
      <c r="BJ824" s="545"/>
      <c r="BK824" s="545"/>
      <c r="BL824" s="545"/>
      <c r="BM824" s="545"/>
      <c r="BN824" s="545"/>
      <c r="BO824" s="545"/>
      <c r="BP824" s="545"/>
      <c r="BQ824" s="545"/>
      <c r="BR824" s="546"/>
      <c r="BS824" s="639"/>
      <c r="BT824" s="640"/>
      <c r="BU824" s="640"/>
      <c r="BV824" s="640"/>
      <c r="BW824" s="640"/>
      <c r="BX824" s="640"/>
      <c r="BY824" s="640"/>
      <c r="BZ824" s="640"/>
      <c r="CA824" s="640"/>
      <c r="CB824" s="640"/>
      <c r="CC824" s="640"/>
      <c r="CD824" s="640"/>
      <c r="CE824" s="640"/>
      <c r="CF824" s="640"/>
      <c r="CG824" s="640"/>
      <c r="CH824" s="641"/>
      <c r="CI824" s="627"/>
      <c r="CJ824" s="628"/>
      <c r="CK824" s="628"/>
      <c r="CL824" s="628"/>
      <c r="CM824" s="628"/>
      <c r="CN824" s="628"/>
      <c r="CO824" s="628"/>
      <c r="CP824" s="628"/>
      <c r="CQ824" s="628"/>
      <c r="CR824" s="628"/>
      <c r="CS824" s="628"/>
      <c r="CT824" s="628"/>
      <c r="CU824" s="628"/>
      <c r="CV824" s="628"/>
      <c r="CW824" s="628"/>
      <c r="CX824" s="628"/>
      <c r="CY824" s="628"/>
      <c r="CZ824" s="629"/>
      <c r="DA824" s="214"/>
    </row>
    <row r="825" spans="1:105" s="16" customFormat="1" ht="15" hidden="1" customHeight="1" x14ac:dyDescent="0.3">
      <c r="A825" s="630" t="s">
        <v>666</v>
      </c>
      <c r="B825" s="631"/>
      <c r="C825" s="631"/>
      <c r="D825" s="631"/>
      <c r="E825" s="631"/>
      <c r="F825" s="631"/>
      <c r="G825" s="632"/>
      <c r="H825" s="584"/>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5"/>
      <c r="AL825" s="585"/>
      <c r="AM825" s="585"/>
      <c r="AN825" s="585"/>
      <c r="AO825" s="585"/>
      <c r="AP825" s="585"/>
      <c r="AQ825" s="585"/>
      <c r="AR825" s="585"/>
      <c r="AS825" s="585"/>
      <c r="AT825" s="586"/>
      <c r="AU825" s="475" t="s">
        <v>690</v>
      </c>
      <c r="AV825" s="476"/>
      <c r="AW825" s="476"/>
      <c r="AX825" s="476"/>
      <c r="AY825" s="476"/>
      <c r="AZ825" s="476"/>
      <c r="BA825" s="476"/>
      <c r="BB825" s="477"/>
      <c r="BC825" s="544"/>
      <c r="BD825" s="545"/>
      <c r="BE825" s="545"/>
      <c r="BF825" s="545"/>
      <c r="BG825" s="545"/>
      <c r="BH825" s="545"/>
      <c r="BI825" s="545"/>
      <c r="BJ825" s="545"/>
      <c r="BK825" s="545"/>
      <c r="BL825" s="545"/>
      <c r="BM825" s="545"/>
      <c r="BN825" s="545"/>
      <c r="BO825" s="545"/>
      <c r="BP825" s="545"/>
      <c r="BQ825" s="545"/>
      <c r="BR825" s="546"/>
      <c r="BS825" s="639"/>
      <c r="BT825" s="640"/>
      <c r="BU825" s="640"/>
      <c r="BV825" s="640"/>
      <c r="BW825" s="640"/>
      <c r="BX825" s="640"/>
      <c r="BY825" s="640"/>
      <c r="BZ825" s="640"/>
      <c r="CA825" s="640"/>
      <c r="CB825" s="640"/>
      <c r="CC825" s="640"/>
      <c r="CD825" s="640"/>
      <c r="CE825" s="640"/>
      <c r="CF825" s="640"/>
      <c r="CG825" s="640"/>
      <c r="CH825" s="641"/>
      <c r="CI825" s="627"/>
      <c r="CJ825" s="628"/>
      <c r="CK825" s="628"/>
      <c r="CL825" s="628"/>
      <c r="CM825" s="628"/>
      <c r="CN825" s="628"/>
      <c r="CO825" s="628"/>
      <c r="CP825" s="628"/>
      <c r="CQ825" s="628"/>
      <c r="CR825" s="628"/>
      <c r="CS825" s="628"/>
      <c r="CT825" s="628"/>
      <c r="CU825" s="628"/>
      <c r="CV825" s="628"/>
      <c r="CW825" s="628"/>
      <c r="CX825" s="628"/>
      <c r="CY825" s="628"/>
      <c r="CZ825" s="629"/>
      <c r="DA825" s="214"/>
    </row>
    <row r="826" spans="1:105" s="16" customFormat="1" ht="15" hidden="1" customHeight="1" x14ac:dyDescent="0.3">
      <c r="A826" s="630" t="s">
        <v>667</v>
      </c>
      <c r="B826" s="631"/>
      <c r="C826" s="631"/>
      <c r="D826" s="631"/>
      <c r="E826" s="631"/>
      <c r="F826" s="631"/>
      <c r="G826" s="632"/>
      <c r="H826" s="584"/>
      <c r="I826" s="585"/>
      <c r="J826" s="585"/>
      <c r="K826" s="585"/>
      <c r="L826" s="585"/>
      <c r="M826" s="585"/>
      <c r="N826" s="585"/>
      <c r="O826" s="585"/>
      <c r="P826" s="585"/>
      <c r="Q826" s="585"/>
      <c r="R826" s="585"/>
      <c r="S826" s="585"/>
      <c r="T826" s="585"/>
      <c r="U826" s="585"/>
      <c r="V826" s="585"/>
      <c r="W826" s="585"/>
      <c r="X826" s="585"/>
      <c r="Y826" s="585"/>
      <c r="Z826" s="585"/>
      <c r="AA826" s="585"/>
      <c r="AB826" s="585"/>
      <c r="AC826" s="585"/>
      <c r="AD826" s="585"/>
      <c r="AE826" s="585"/>
      <c r="AF826" s="585"/>
      <c r="AG826" s="585"/>
      <c r="AH826" s="585"/>
      <c r="AI826" s="585"/>
      <c r="AJ826" s="585"/>
      <c r="AK826" s="585"/>
      <c r="AL826" s="585"/>
      <c r="AM826" s="585"/>
      <c r="AN826" s="585"/>
      <c r="AO826" s="585"/>
      <c r="AP826" s="585"/>
      <c r="AQ826" s="585"/>
      <c r="AR826" s="585"/>
      <c r="AS826" s="585"/>
      <c r="AT826" s="586"/>
      <c r="AU826" s="475" t="s">
        <v>690</v>
      </c>
      <c r="AV826" s="476"/>
      <c r="AW826" s="476"/>
      <c r="AX826" s="476"/>
      <c r="AY826" s="476"/>
      <c r="AZ826" s="476"/>
      <c r="BA826" s="476"/>
      <c r="BB826" s="477"/>
      <c r="BC826" s="544"/>
      <c r="BD826" s="545"/>
      <c r="BE826" s="545"/>
      <c r="BF826" s="545"/>
      <c r="BG826" s="545"/>
      <c r="BH826" s="545"/>
      <c r="BI826" s="545"/>
      <c r="BJ826" s="545"/>
      <c r="BK826" s="545"/>
      <c r="BL826" s="545"/>
      <c r="BM826" s="545"/>
      <c r="BN826" s="545"/>
      <c r="BO826" s="545"/>
      <c r="BP826" s="545"/>
      <c r="BQ826" s="545"/>
      <c r="BR826" s="546"/>
      <c r="BS826" s="639"/>
      <c r="BT826" s="640"/>
      <c r="BU826" s="640"/>
      <c r="BV826" s="640"/>
      <c r="BW826" s="640"/>
      <c r="BX826" s="640"/>
      <c r="BY826" s="640"/>
      <c r="BZ826" s="640"/>
      <c r="CA826" s="640"/>
      <c r="CB826" s="640"/>
      <c r="CC826" s="640"/>
      <c r="CD826" s="640"/>
      <c r="CE826" s="640"/>
      <c r="CF826" s="640"/>
      <c r="CG826" s="640"/>
      <c r="CH826" s="641"/>
      <c r="CI826" s="627"/>
      <c r="CJ826" s="628"/>
      <c r="CK826" s="628"/>
      <c r="CL826" s="628"/>
      <c r="CM826" s="628"/>
      <c r="CN826" s="628"/>
      <c r="CO826" s="628"/>
      <c r="CP826" s="628"/>
      <c r="CQ826" s="628"/>
      <c r="CR826" s="628"/>
      <c r="CS826" s="628"/>
      <c r="CT826" s="628"/>
      <c r="CU826" s="628"/>
      <c r="CV826" s="628"/>
      <c r="CW826" s="628"/>
      <c r="CX826" s="628"/>
      <c r="CY826" s="628"/>
      <c r="CZ826" s="629"/>
      <c r="DA826" s="214"/>
    </row>
    <row r="827" spans="1:105" s="16" customFormat="1" ht="15" hidden="1" customHeight="1" x14ac:dyDescent="0.3">
      <c r="A827" s="630" t="s">
        <v>670</v>
      </c>
      <c r="B827" s="631"/>
      <c r="C827" s="631"/>
      <c r="D827" s="631"/>
      <c r="E827" s="631"/>
      <c r="F827" s="631"/>
      <c r="G827" s="632"/>
      <c r="H827" s="584"/>
      <c r="I827" s="585"/>
      <c r="J827" s="585"/>
      <c r="K827" s="585"/>
      <c r="L827" s="585"/>
      <c r="M827" s="585"/>
      <c r="N827" s="585"/>
      <c r="O827" s="585"/>
      <c r="P827" s="585"/>
      <c r="Q827" s="585"/>
      <c r="R827" s="585"/>
      <c r="S827" s="585"/>
      <c r="T827" s="585"/>
      <c r="U827" s="585"/>
      <c r="V827" s="585"/>
      <c r="W827" s="585"/>
      <c r="X827" s="585"/>
      <c r="Y827" s="585"/>
      <c r="Z827" s="585"/>
      <c r="AA827" s="585"/>
      <c r="AB827" s="585"/>
      <c r="AC827" s="585"/>
      <c r="AD827" s="585"/>
      <c r="AE827" s="585"/>
      <c r="AF827" s="585"/>
      <c r="AG827" s="585"/>
      <c r="AH827" s="585"/>
      <c r="AI827" s="585"/>
      <c r="AJ827" s="585"/>
      <c r="AK827" s="585"/>
      <c r="AL827" s="585"/>
      <c r="AM827" s="585"/>
      <c r="AN827" s="585"/>
      <c r="AO827" s="585"/>
      <c r="AP827" s="585"/>
      <c r="AQ827" s="585"/>
      <c r="AR827" s="585"/>
      <c r="AS827" s="585"/>
      <c r="AT827" s="586"/>
      <c r="AU827" s="475" t="s">
        <v>690</v>
      </c>
      <c r="AV827" s="476"/>
      <c r="AW827" s="476"/>
      <c r="AX827" s="476"/>
      <c r="AY827" s="476"/>
      <c r="AZ827" s="476"/>
      <c r="BA827" s="476"/>
      <c r="BB827" s="477"/>
      <c r="BC827" s="544"/>
      <c r="BD827" s="545"/>
      <c r="BE827" s="545"/>
      <c r="BF827" s="545"/>
      <c r="BG827" s="545"/>
      <c r="BH827" s="545"/>
      <c r="BI827" s="545"/>
      <c r="BJ827" s="545"/>
      <c r="BK827" s="545"/>
      <c r="BL827" s="545"/>
      <c r="BM827" s="545"/>
      <c r="BN827" s="545"/>
      <c r="BO827" s="545"/>
      <c r="BP827" s="545"/>
      <c r="BQ827" s="545"/>
      <c r="BR827" s="546"/>
      <c r="BS827" s="639"/>
      <c r="BT827" s="640"/>
      <c r="BU827" s="640"/>
      <c r="BV827" s="640"/>
      <c r="BW827" s="640"/>
      <c r="BX827" s="640"/>
      <c r="BY827" s="640"/>
      <c r="BZ827" s="640"/>
      <c r="CA827" s="640"/>
      <c r="CB827" s="640"/>
      <c r="CC827" s="640"/>
      <c r="CD827" s="640"/>
      <c r="CE827" s="640"/>
      <c r="CF827" s="640"/>
      <c r="CG827" s="640"/>
      <c r="CH827" s="641"/>
      <c r="CI827" s="627"/>
      <c r="CJ827" s="628"/>
      <c r="CK827" s="628"/>
      <c r="CL827" s="628"/>
      <c r="CM827" s="628"/>
      <c r="CN827" s="628"/>
      <c r="CO827" s="628"/>
      <c r="CP827" s="628"/>
      <c r="CQ827" s="628"/>
      <c r="CR827" s="628"/>
      <c r="CS827" s="628"/>
      <c r="CT827" s="628"/>
      <c r="CU827" s="628"/>
      <c r="CV827" s="628"/>
      <c r="CW827" s="628"/>
      <c r="CX827" s="628"/>
      <c r="CY827" s="628"/>
      <c r="CZ827" s="629"/>
      <c r="DA827" s="220"/>
    </row>
    <row r="828" spans="1:105" s="16" customFormat="1" ht="15" hidden="1" customHeight="1" x14ac:dyDescent="0.3">
      <c r="A828" s="630" t="s">
        <v>672</v>
      </c>
      <c r="B828" s="631"/>
      <c r="C828" s="631"/>
      <c r="D828" s="631"/>
      <c r="E828" s="631"/>
      <c r="F828" s="631"/>
      <c r="G828" s="632"/>
      <c r="H828" s="584"/>
      <c r="I828" s="585"/>
      <c r="J828" s="585"/>
      <c r="K828" s="585"/>
      <c r="L828" s="585"/>
      <c r="M828" s="585"/>
      <c r="N828" s="585"/>
      <c r="O828" s="585"/>
      <c r="P828" s="585"/>
      <c r="Q828" s="585"/>
      <c r="R828" s="585"/>
      <c r="S828" s="585"/>
      <c r="T828" s="585"/>
      <c r="U828" s="585"/>
      <c r="V828" s="585"/>
      <c r="W828" s="585"/>
      <c r="X828" s="585"/>
      <c r="Y828" s="585"/>
      <c r="Z828" s="585"/>
      <c r="AA828" s="585"/>
      <c r="AB828" s="585"/>
      <c r="AC828" s="585"/>
      <c r="AD828" s="585"/>
      <c r="AE828" s="585"/>
      <c r="AF828" s="585"/>
      <c r="AG828" s="585"/>
      <c r="AH828" s="585"/>
      <c r="AI828" s="585"/>
      <c r="AJ828" s="585"/>
      <c r="AK828" s="585"/>
      <c r="AL828" s="585"/>
      <c r="AM828" s="585"/>
      <c r="AN828" s="585"/>
      <c r="AO828" s="585"/>
      <c r="AP828" s="585"/>
      <c r="AQ828" s="585"/>
      <c r="AR828" s="585"/>
      <c r="AS828" s="585"/>
      <c r="AT828" s="586"/>
      <c r="AU828" s="475" t="s">
        <v>690</v>
      </c>
      <c r="AV828" s="476"/>
      <c r="AW828" s="476"/>
      <c r="AX828" s="476"/>
      <c r="AY828" s="476"/>
      <c r="AZ828" s="476"/>
      <c r="BA828" s="476"/>
      <c r="BB828" s="477"/>
      <c r="BC828" s="544"/>
      <c r="BD828" s="545"/>
      <c r="BE828" s="545"/>
      <c r="BF828" s="545"/>
      <c r="BG828" s="545"/>
      <c r="BH828" s="545"/>
      <c r="BI828" s="545"/>
      <c r="BJ828" s="545"/>
      <c r="BK828" s="545"/>
      <c r="BL828" s="545"/>
      <c r="BM828" s="545"/>
      <c r="BN828" s="545"/>
      <c r="BO828" s="545"/>
      <c r="BP828" s="545"/>
      <c r="BQ828" s="545"/>
      <c r="BR828" s="546"/>
      <c r="BS828" s="639"/>
      <c r="BT828" s="640"/>
      <c r="BU828" s="640"/>
      <c r="BV828" s="640"/>
      <c r="BW828" s="640"/>
      <c r="BX828" s="640"/>
      <c r="BY828" s="640"/>
      <c r="BZ828" s="640"/>
      <c r="CA828" s="640"/>
      <c r="CB828" s="640"/>
      <c r="CC828" s="640"/>
      <c r="CD828" s="640"/>
      <c r="CE828" s="640"/>
      <c r="CF828" s="640"/>
      <c r="CG828" s="640"/>
      <c r="CH828" s="641"/>
      <c r="CI828" s="627"/>
      <c r="CJ828" s="628"/>
      <c r="CK828" s="628"/>
      <c r="CL828" s="628"/>
      <c r="CM828" s="628"/>
      <c r="CN828" s="628"/>
      <c r="CO828" s="628"/>
      <c r="CP828" s="628"/>
      <c r="CQ828" s="628"/>
      <c r="CR828" s="628"/>
      <c r="CS828" s="628"/>
      <c r="CT828" s="628"/>
      <c r="CU828" s="628"/>
      <c r="CV828" s="628"/>
      <c r="CW828" s="628"/>
      <c r="CX828" s="628"/>
      <c r="CY828" s="628"/>
      <c r="CZ828" s="629"/>
      <c r="DA828" s="220"/>
    </row>
    <row r="829" spans="1:105" s="16" customFormat="1" ht="15" hidden="1" customHeight="1" x14ac:dyDescent="0.3">
      <c r="A829" s="630" t="s">
        <v>654</v>
      </c>
      <c r="B829" s="631"/>
      <c r="C829" s="631"/>
      <c r="D829" s="631"/>
      <c r="E829" s="631"/>
      <c r="F829" s="631"/>
      <c r="G829" s="632"/>
      <c r="H829" s="584"/>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5"/>
      <c r="AL829" s="585"/>
      <c r="AM829" s="585"/>
      <c r="AN829" s="585"/>
      <c r="AO829" s="585"/>
      <c r="AP829" s="585"/>
      <c r="AQ829" s="585"/>
      <c r="AR829" s="585"/>
      <c r="AS829" s="585"/>
      <c r="AT829" s="586"/>
      <c r="AU829" s="475" t="s">
        <v>690</v>
      </c>
      <c r="AV829" s="476"/>
      <c r="AW829" s="476"/>
      <c r="AX829" s="476"/>
      <c r="AY829" s="476"/>
      <c r="AZ829" s="476"/>
      <c r="BA829" s="476"/>
      <c r="BB829" s="477"/>
      <c r="BC829" s="544"/>
      <c r="BD829" s="545"/>
      <c r="BE829" s="545"/>
      <c r="BF829" s="545"/>
      <c r="BG829" s="545"/>
      <c r="BH829" s="545"/>
      <c r="BI829" s="545"/>
      <c r="BJ829" s="545"/>
      <c r="BK829" s="545"/>
      <c r="BL829" s="545"/>
      <c r="BM829" s="545"/>
      <c r="BN829" s="545"/>
      <c r="BO829" s="545"/>
      <c r="BP829" s="545"/>
      <c r="BQ829" s="545"/>
      <c r="BR829" s="546"/>
      <c r="BS829" s="639"/>
      <c r="BT829" s="640"/>
      <c r="BU829" s="640"/>
      <c r="BV829" s="640"/>
      <c r="BW829" s="640"/>
      <c r="BX829" s="640"/>
      <c r="BY829" s="640"/>
      <c r="BZ829" s="640"/>
      <c r="CA829" s="640"/>
      <c r="CB829" s="640"/>
      <c r="CC829" s="640"/>
      <c r="CD829" s="640"/>
      <c r="CE829" s="640"/>
      <c r="CF829" s="640"/>
      <c r="CG829" s="640"/>
      <c r="CH829" s="641"/>
      <c r="CI829" s="627"/>
      <c r="CJ829" s="628"/>
      <c r="CK829" s="628"/>
      <c r="CL829" s="628"/>
      <c r="CM829" s="628"/>
      <c r="CN829" s="628"/>
      <c r="CO829" s="628"/>
      <c r="CP829" s="628"/>
      <c r="CQ829" s="628"/>
      <c r="CR829" s="628"/>
      <c r="CS829" s="628"/>
      <c r="CT829" s="628"/>
      <c r="CU829" s="628"/>
      <c r="CV829" s="628"/>
      <c r="CW829" s="628"/>
      <c r="CX829" s="628"/>
      <c r="CY829" s="628"/>
      <c r="CZ829" s="629"/>
      <c r="DA829" s="214"/>
    </row>
    <row r="830" spans="1:105" s="16" customFormat="1" ht="21" hidden="1" customHeight="1" x14ac:dyDescent="0.3">
      <c r="A830" s="630"/>
      <c r="B830" s="631"/>
      <c r="C830" s="631"/>
      <c r="D830" s="631"/>
      <c r="E830" s="631"/>
      <c r="F830" s="631"/>
      <c r="G830" s="632"/>
      <c r="H830" s="651" t="s">
        <v>851</v>
      </c>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52"/>
      <c r="AL830" s="652"/>
      <c r="AM830" s="652"/>
      <c r="AN830" s="652"/>
      <c r="AO830" s="652"/>
      <c r="AP830" s="652"/>
      <c r="AQ830" s="652"/>
      <c r="AR830" s="652"/>
      <c r="AS830" s="652"/>
      <c r="AT830" s="653"/>
      <c r="AU830" s="475"/>
      <c r="AV830" s="476"/>
      <c r="AW830" s="476"/>
      <c r="AX830" s="476"/>
      <c r="AY830" s="476"/>
      <c r="AZ830" s="476"/>
      <c r="BA830" s="476"/>
      <c r="BB830" s="477"/>
      <c r="BC830" s="647">
        <f>BC831+BC832+BC833+BC835</f>
        <v>6</v>
      </c>
      <c r="BD830" s="637"/>
      <c r="BE830" s="637"/>
      <c r="BF830" s="637"/>
      <c r="BG830" s="637"/>
      <c r="BH830" s="637"/>
      <c r="BI830" s="637"/>
      <c r="BJ830" s="637"/>
      <c r="BK830" s="637"/>
      <c r="BL830" s="637"/>
      <c r="BM830" s="637"/>
      <c r="BN830" s="637"/>
      <c r="BO830" s="637"/>
      <c r="BP830" s="637"/>
      <c r="BQ830" s="637"/>
      <c r="BR830" s="638"/>
      <c r="BS830" s="644">
        <f>BS831+BS832+BS833+BS835</f>
        <v>0</v>
      </c>
      <c r="BT830" s="645"/>
      <c r="BU830" s="645"/>
      <c r="BV830" s="645"/>
      <c r="BW830" s="645"/>
      <c r="BX830" s="645"/>
      <c r="BY830" s="645"/>
      <c r="BZ830" s="645"/>
      <c r="CA830" s="645"/>
      <c r="CB830" s="645"/>
      <c r="CC830" s="645"/>
      <c r="CD830" s="645"/>
      <c r="CE830" s="645"/>
      <c r="CF830" s="645"/>
      <c r="CG830" s="645"/>
      <c r="CH830" s="646"/>
      <c r="CI830" s="636">
        <f>+CI831+CI832+CI833+CI835+CI834</f>
        <v>0</v>
      </c>
      <c r="CJ830" s="654"/>
      <c r="CK830" s="654"/>
      <c r="CL830" s="654"/>
      <c r="CM830" s="654"/>
      <c r="CN830" s="654"/>
      <c r="CO830" s="654"/>
      <c r="CP830" s="654"/>
      <c r="CQ830" s="654"/>
      <c r="CR830" s="654"/>
      <c r="CS830" s="654"/>
      <c r="CT830" s="654"/>
      <c r="CU830" s="654"/>
      <c r="CV830" s="654"/>
      <c r="CW830" s="654"/>
      <c r="CX830" s="654"/>
      <c r="CY830" s="654"/>
      <c r="CZ830" s="655"/>
      <c r="DA830" s="214"/>
    </row>
    <row r="831" spans="1:105" s="16" customFormat="1" ht="22.95" hidden="1" customHeight="1" x14ac:dyDescent="0.3">
      <c r="A831" s="630" t="s">
        <v>441</v>
      </c>
      <c r="B831" s="631"/>
      <c r="C831" s="631"/>
      <c r="D831" s="631"/>
      <c r="E831" s="631"/>
      <c r="F831" s="631"/>
      <c r="G831" s="632"/>
      <c r="H831" s="584" t="s">
        <v>852</v>
      </c>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5"/>
      <c r="AL831" s="585"/>
      <c r="AM831" s="585"/>
      <c r="AN831" s="585"/>
      <c r="AO831" s="585"/>
      <c r="AP831" s="585"/>
      <c r="AQ831" s="585"/>
      <c r="AR831" s="585"/>
      <c r="AS831" s="585"/>
      <c r="AT831" s="586"/>
      <c r="AU831" s="475" t="s">
        <v>690</v>
      </c>
      <c r="AV831" s="476"/>
      <c r="AW831" s="476"/>
      <c r="AX831" s="476"/>
      <c r="AY831" s="476"/>
      <c r="AZ831" s="476"/>
      <c r="BA831" s="476"/>
      <c r="BB831" s="477"/>
      <c r="BC831" s="544">
        <v>2</v>
      </c>
      <c r="BD831" s="545"/>
      <c r="BE831" s="545"/>
      <c r="BF831" s="545"/>
      <c r="BG831" s="545"/>
      <c r="BH831" s="545"/>
      <c r="BI831" s="545"/>
      <c r="BJ831" s="545"/>
      <c r="BK831" s="545"/>
      <c r="BL831" s="545"/>
      <c r="BM831" s="545"/>
      <c r="BN831" s="545"/>
      <c r="BO831" s="545"/>
      <c r="BP831" s="545"/>
      <c r="BQ831" s="545"/>
      <c r="BR831" s="546"/>
      <c r="BS831" s="639">
        <f>CI831/BC831</f>
        <v>0</v>
      </c>
      <c r="BT831" s="640"/>
      <c r="BU831" s="640"/>
      <c r="BV831" s="640"/>
      <c r="BW831" s="640"/>
      <c r="BX831" s="640"/>
      <c r="BY831" s="640"/>
      <c r="BZ831" s="640"/>
      <c r="CA831" s="640"/>
      <c r="CB831" s="640"/>
      <c r="CC831" s="640"/>
      <c r="CD831" s="640"/>
      <c r="CE831" s="640"/>
      <c r="CF831" s="640"/>
      <c r="CG831" s="640"/>
      <c r="CH831" s="641"/>
      <c r="CI831" s="627"/>
      <c r="CJ831" s="628"/>
      <c r="CK831" s="628"/>
      <c r="CL831" s="628"/>
      <c r="CM831" s="628"/>
      <c r="CN831" s="628"/>
      <c r="CO831" s="628"/>
      <c r="CP831" s="628"/>
      <c r="CQ831" s="628"/>
      <c r="CR831" s="628"/>
      <c r="CS831" s="628"/>
      <c r="CT831" s="628"/>
      <c r="CU831" s="628"/>
      <c r="CV831" s="628"/>
      <c r="CW831" s="628"/>
      <c r="CX831" s="628"/>
      <c r="CY831" s="628"/>
      <c r="CZ831" s="629"/>
      <c r="DA831" s="214"/>
    </row>
    <row r="832" spans="1:105" s="16" customFormat="1" ht="24" hidden="1" customHeight="1" x14ac:dyDescent="0.3">
      <c r="A832" s="630" t="s">
        <v>444</v>
      </c>
      <c r="B832" s="631"/>
      <c r="C832" s="631"/>
      <c r="D832" s="631"/>
      <c r="E832" s="631"/>
      <c r="F832" s="631"/>
      <c r="G832" s="632"/>
      <c r="H832" s="584" t="s">
        <v>853</v>
      </c>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5"/>
      <c r="AL832" s="585"/>
      <c r="AM832" s="585"/>
      <c r="AN832" s="585"/>
      <c r="AO832" s="585"/>
      <c r="AP832" s="585"/>
      <c r="AQ832" s="585"/>
      <c r="AR832" s="585"/>
      <c r="AS832" s="585"/>
      <c r="AT832" s="586"/>
      <c r="AU832" s="475" t="s">
        <v>690</v>
      </c>
      <c r="AV832" s="476"/>
      <c r="AW832" s="476"/>
      <c r="AX832" s="476"/>
      <c r="AY832" s="476"/>
      <c r="AZ832" s="476"/>
      <c r="BA832" s="476"/>
      <c r="BB832" s="477"/>
      <c r="BC832" s="544">
        <v>2</v>
      </c>
      <c r="BD832" s="545"/>
      <c r="BE832" s="545"/>
      <c r="BF832" s="545"/>
      <c r="BG832" s="545"/>
      <c r="BH832" s="545"/>
      <c r="BI832" s="545"/>
      <c r="BJ832" s="545"/>
      <c r="BK832" s="545"/>
      <c r="BL832" s="545"/>
      <c r="BM832" s="545"/>
      <c r="BN832" s="545"/>
      <c r="BO832" s="545"/>
      <c r="BP832" s="545"/>
      <c r="BQ832" s="545"/>
      <c r="BR832" s="546"/>
      <c r="BS832" s="639">
        <f t="shared" ref="BS832:BS834" si="17">CI832/BC832</f>
        <v>0</v>
      </c>
      <c r="BT832" s="640"/>
      <c r="BU832" s="640"/>
      <c r="BV832" s="640"/>
      <c r="BW832" s="640"/>
      <c r="BX832" s="640"/>
      <c r="BY832" s="640"/>
      <c r="BZ832" s="640"/>
      <c r="CA832" s="640"/>
      <c r="CB832" s="640"/>
      <c r="CC832" s="640"/>
      <c r="CD832" s="640"/>
      <c r="CE832" s="640"/>
      <c r="CF832" s="640"/>
      <c r="CG832" s="640"/>
      <c r="CH832" s="641"/>
      <c r="CI832" s="627"/>
      <c r="CJ832" s="628"/>
      <c r="CK832" s="628"/>
      <c r="CL832" s="628"/>
      <c r="CM832" s="628"/>
      <c r="CN832" s="628"/>
      <c r="CO832" s="628"/>
      <c r="CP832" s="628"/>
      <c r="CQ832" s="628"/>
      <c r="CR832" s="628"/>
      <c r="CS832" s="628"/>
      <c r="CT832" s="628"/>
      <c r="CU832" s="628"/>
      <c r="CV832" s="628"/>
      <c r="CW832" s="628"/>
      <c r="CX832" s="628"/>
      <c r="CY832" s="628"/>
      <c r="CZ832" s="629"/>
      <c r="DA832" s="214"/>
    </row>
    <row r="833" spans="1:106" s="16" customFormat="1" ht="15" hidden="1" customHeight="1" x14ac:dyDescent="0.3">
      <c r="A833" s="630" t="s">
        <v>446</v>
      </c>
      <c r="B833" s="631"/>
      <c r="C833" s="631"/>
      <c r="D833" s="631"/>
      <c r="E833" s="631"/>
      <c r="F833" s="631"/>
      <c r="G833" s="632"/>
      <c r="H833" s="584" t="s">
        <v>854</v>
      </c>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5"/>
      <c r="AL833" s="585"/>
      <c r="AM833" s="585"/>
      <c r="AN833" s="585"/>
      <c r="AO833" s="585"/>
      <c r="AP833" s="585"/>
      <c r="AQ833" s="585"/>
      <c r="AR833" s="585"/>
      <c r="AS833" s="585"/>
      <c r="AT833" s="586"/>
      <c r="AU833" s="475" t="s">
        <v>690</v>
      </c>
      <c r="AV833" s="476"/>
      <c r="AW833" s="476"/>
      <c r="AX833" s="476"/>
      <c r="AY833" s="476"/>
      <c r="AZ833" s="476"/>
      <c r="BA833" s="476"/>
      <c r="BB833" s="477"/>
      <c r="BC833" s="544">
        <v>2</v>
      </c>
      <c r="BD833" s="545"/>
      <c r="BE833" s="545"/>
      <c r="BF833" s="545"/>
      <c r="BG833" s="545"/>
      <c r="BH833" s="545"/>
      <c r="BI833" s="545"/>
      <c r="BJ833" s="545"/>
      <c r="BK833" s="545"/>
      <c r="BL833" s="545"/>
      <c r="BM833" s="545"/>
      <c r="BN833" s="545"/>
      <c r="BO833" s="545"/>
      <c r="BP833" s="545"/>
      <c r="BQ833" s="545"/>
      <c r="BR833" s="546"/>
      <c r="BS833" s="639">
        <f t="shared" si="17"/>
        <v>0</v>
      </c>
      <c r="BT833" s="640"/>
      <c r="BU833" s="640"/>
      <c r="BV833" s="640"/>
      <c r="BW833" s="640"/>
      <c r="BX833" s="640"/>
      <c r="BY833" s="640"/>
      <c r="BZ833" s="640"/>
      <c r="CA833" s="640"/>
      <c r="CB833" s="640"/>
      <c r="CC833" s="640"/>
      <c r="CD833" s="640"/>
      <c r="CE833" s="640"/>
      <c r="CF833" s="640"/>
      <c r="CG833" s="640"/>
      <c r="CH833" s="641"/>
      <c r="CI833" s="627"/>
      <c r="CJ833" s="628"/>
      <c r="CK833" s="628"/>
      <c r="CL833" s="628"/>
      <c r="CM833" s="628"/>
      <c r="CN833" s="628"/>
      <c r="CO833" s="628"/>
      <c r="CP833" s="628"/>
      <c r="CQ833" s="628"/>
      <c r="CR833" s="628"/>
      <c r="CS833" s="628"/>
      <c r="CT833" s="628"/>
      <c r="CU833" s="628"/>
      <c r="CV833" s="628"/>
      <c r="CW833" s="628"/>
      <c r="CX833" s="628"/>
      <c r="CY833" s="628"/>
      <c r="CZ833" s="629"/>
      <c r="DA833" s="214"/>
    </row>
    <row r="834" spans="1:106" s="16" customFormat="1" ht="15" hidden="1" customHeight="1" x14ac:dyDescent="0.3">
      <c r="A834" s="630" t="s">
        <v>551</v>
      </c>
      <c r="B834" s="631"/>
      <c r="C834" s="631"/>
      <c r="D834" s="631"/>
      <c r="E834" s="631"/>
      <c r="F834" s="631"/>
      <c r="G834" s="632"/>
      <c r="H834" s="584" t="s">
        <v>855</v>
      </c>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5"/>
      <c r="AL834" s="585"/>
      <c r="AM834" s="585"/>
      <c r="AN834" s="585"/>
      <c r="AO834" s="585"/>
      <c r="AP834" s="585"/>
      <c r="AQ834" s="585"/>
      <c r="AR834" s="585"/>
      <c r="AS834" s="585"/>
      <c r="AT834" s="586"/>
      <c r="AU834" s="475" t="s">
        <v>690</v>
      </c>
      <c r="AV834" s="476"/>
      <c r="AW834" s="476"/>
      <c r="AX834" s="476"/>
      <c r="AY834" s="476"/>
      <c r="AZ834" s="476"/>
      <c r="BA834" s="476"/>
      <c r="BB834" s="477"/>
      <c r="BC834" s="544">
        <v>10</v>
      </c>
      <c r="BD834" s="545"/>
      <c r="BE834" s="545"/>
      <c r="BF834" s="545"/>
      <c r="BG834" s="545"/>
      <c r="BH834" s="545"/>
      <c r="BI834" s="545"/>
      <c r="BJ834" s="545"/>
      <c r="BK834" s="545"/>
      <c r="BL834" s="545"/>
      <c r="BM834" s="545"/>
      <c r="BN834" s="545"/>
      <c r="BO834" s="545"/>
      <c r="BP834" s="545"/>
      <c r="BQ834" s="545"/>
      <c r="BR834" s="546"/>
      <c r="BS834" s="639">
        <f t="shared" si="17"/>
        <v>0</v>
      </c>
      <c r="BT834" s="640"/>
      <c r="BU834" s="640"/>
      <c r="BV834" s="640"/>
      <c r="BW834" s="640"/>
      <c r="BX834" s="640"/>
      <c r="BY834" s="640"/>
      <c r="BZ834" s="640"/>
      <c r="CA834" s="640"/>
      <c r="CB834" s="640"/>
      <c r="CC834" s="640"/>
      <c r="CD834" s="640"/>
      <c r="CE834" s="640"/>
      <c r="CF834" s="640"/>
      <c r="CG834" s="640"/>
      <c r="CH834" s="641"/>
      <c r="CI834" s="627"/>
      <c r="CJ834" s="628"/>
      <c r="CK834" s="628"/>
      <c r="CL834" s="628"/>
      <c r="CM834" s="628"/>
      <c r="CN834" s="628"/>
      <c r="CO834" s="628"/>
      <c r="CP834" s="628"/>
      <c r="CQ834" s="628"/>
      <c r="CR834" s="628"/>
      <c r="CS834" s="628"/>
      <c r="CT834" s="628"/>
      <c r="CU834" s="628"/>
      <c r="CV834" s="628"/>
      <c r="CW834" s="628"/>
      <c r="CX834" s="628"/>
      <c r="CY834" s="628"/>
      <c r="CZ834" s="629"/>
      <c r="DA834" s="214"/>
    </row>
    <row r="835" spans="1:106" s="16" customFormat="1" ht="15" customHeight="1" x14ac:dyDescent="0.3">
      <c r="A835" s="630"/>
      <c r="B835" s="631"/>
      <c r="C835" s="631"/>
      <c r="D835" s="631"/>
      <c r="E835" s="631"/>
      <c r="F835" s="631"/>
      <c r="G835" s="632"/>
      <c r="H835" s="584"/>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5"/>
      <c r="AL835" s="585"/>
      <c r="AM835" s="585"/>
      <c r="AN835" s="585"/>
      <c r="AO835" s="585"/>
      <c r="AP835" s="585"/>
      <c r="AQ835" s="585"/>
      <c r="AR835" s="585"/>
      <c r="AS835" s="585"/>
      <c r="AT835" s="586"/>
      <c r="AU835" s="475"/>
      <c r="AV835" s="476"/>
      <c r="AW835" s="476"/>
      <c r="AX835" s="476"/>
      <c r="AY835" s="476"/>
      <c r="AZ835" s="476"/>
      <c r="BA835" s="476"/>
      <c r="BB835" s="477"/>
      <c r="BC835" s="544"/>
      <c r="BD835" s="545"/>
      <c r="BE835" s="545"/>
      <c r="BF835" s="545"/>
      <c r="BG835" s="545"/>
      <c r="BH835" s="545"/>
      <c r="BI835" s="545"/>
      <c r="BJ835" s="545"/>
      <c r="BK835" s="545"/>
      <c r="BL835" s="545"/>
      <c r="BM835" s="545"/>
      <c r="BN835" s="545"/>
      <c r="BO835" s="545"/>
      <c r="BP835" s="545"/>
      <c r="BQ835" s="545"/>
      <c r="BR835" s="546"/>
      <c r="BS835" s="639"/>
      <c r="BT835" s="640"/>
      <c r="BU835" s="640"/>
      <c r="BV835" s="640"/>
      <c r="BW835" s="640"/>
      <c r="BX835" s="640"/>
      <c r="BY835" s="640"/>
      <c r="BZ835" s="640"/>
      <c r="CA835" s="640"/>
      <c r="CB835" s="640"/>
      <c r="CC835" s="640"/>
      <c r="CD835" s="640"/>
      <c r="CE835" s="640"/>
      <c r="CF835" s="640"/>
      <c r="CG835" s="640"/>
      <c r="CH835" s="641"/>
      <c r="CI835" s="627"/>
      <c r="CJ835" s="628"/>
      <c r="CK835" s="628"/>
      <c r="CL835" s="628"/>
      <c r="CM835" s="628"/>
      <c r="CN835" s="628"/>
      <c r="CO835" s="628"/>
      <c r="CP835" s="628"/>
      <c r="CQ835" s="628"/>
      <c r="CR835" s="628"/>
      <c r="CS835" s="628"/>
      <c r="CT835" s="628"/>
      <c r="CU835" s="628"/>
      <c r="CV835" s="628"/>
      <c r="CW835" s="628"/>
      <c r="CX835" s="628"/>
      <c r="CY835" s="628"/>
      <c r="CZ835" s="629"/>
      <c r="DA835" s="214"/>
    </row>
    <row r="836" spans="1:106" s="16" customFormat="1" ht="15" customHeight="1" x14ac:dyDescent="0.3">
      <c r="A836" s="630"/>
      <c r="B836" s="631"/>
      <c r="C836" s="631"/>
      <c r="D836" s="631"/>
      <c r="E836" s="631"/>
      <c r="F836" s="631"/>
      <c r="G836" s="632"/>
      <c r="H836" s="651" t="s">
        <v>725</v>
      </c>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52"/>
      <c r="AL836" s="652"/>
      <c r="AM836" s="652"/>
      <c r="AN836" s="652"/>
      <c r="AO836" s="652"/>
      <c r="AP836" s="652"/>
      <c r="AQ836" s="652"/>
      <c r="AR836" s="652"/>
      <c r="AS836" s="652"/>
      <c r="AT836" s="653"/>
      <c r="AU836" s="541" t="s">
        <v>690</v>
      </c>
      <c r="AV836" s="542"/>
      <c r="AW836" s="542"/>
      <c r="AX836" s="542"/>
      <c r="AY836" s="542"/>
      <c r="AZ836" s="542"/>
      <c r="BA836" s="542"/>
      <c r="BB836" s="543"/>
      <c r="BC836" s="647">
        <v>8</v>
      </c>
      <c r="BD836" s="637"/>
      <c r="BE836" s="637"/>
      <c r="BF836" s="637"/>
      <c r="BG836" s="637"/>
      <c r="BH836" s="637"/>
      <c r="BI836" s="637"/>
      <c r="BJ836" s="637"/>
      <c r="BK836" s="637"/>
      <c r="BL836" s="637"/>
      <c r="BM836" s="637"/>
      <c r="BN836" s="637"/>
      <c r="BO836" s="637"/>
      <c r="BP836" s="637"/>
      <c r="BQ836" s="637"/>
      <c r="BR836" s="638"/>
      <c r="BS836" s="644">
        <f>CI836/BC836</f>
        <v>375</v>
      </c>
      <c r="BT836" s="645"/>
      <c r="BU836" s="645"/>
      <c r="BV836" s="645"/>
      <c r="BW836" s="645"/>
      <c r="BX836" s="645"/>
      <c r="BY836" s="645"/>
      <c r="BZ836" s="645"/>
      <c r="CA836" s="645"/>
      <c r="CB836" s="645"/>
      <c r="CC836" s="645"/>
      <c r="CD836" s="645"/>
      <c r="CE836" s="645"/>
      <c r="CF836" s="645"/>
      <c r="CG836" s="645"/>
      <c r="CH836" s="646"/>
      <c r="CI836" s="636">
        <v>3000</v>
      </c>
      <c r="CJ836" s="654"/>
      <c r="CK836" s="654"/>
      <c r="CL836" s="654"/>
      <c r="CM836" s="654"/>
      <c r="CN836" s="654"/>
      <c r="CO836" s="654"/>
      <c r="CP836" s="654"/>
      <c r="CQ836" s="654"/>
      <c r="CR836" s="654"/>
      <c r="CS836" s="654"/>
      <c r="CT836" s="654"/>
      <c r="CU836" s="654"/>
      <c r="CV836" s="654"/>
      <c r="CW836" s="654"/>
      <c r="CX836" s="654"/>
      <c r="CY836" s="654"/>
      <c r="CZ836" s="655"/>
      <c r="DA836" s="214"/>
    </row>
    <row r="837" spans="1:106" s="16" customFormat="1" ht="15" hidden="1" customHeight="1" x14ac:dyDescent="0.3">
      <c r="A837" s="630"/>
      <c r="B837" s="631"/>
      <c r="C837" s="631"/>
      <c r="D837" s="631"/>
      <c r="E837" s="631"/>
      <c r="F837" s="631"/>
      <c r="G837" s="632"/>
      <c r="H837" s="651" t="s">
        <v>721</v>
      </c>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52"/>
      <c r="AL837" s="652"/>
      <c r="AM837" s="652"/>
      <c r="AN837" s="652"/>
      <c r="AO837" s="652"/>
      <c r="AP837" s="652"/>
      <c r="AQ837" s="652"/>
      <c r="AR837" s="652"/>
      <c r="AS837" s="652"/>
      <c r="AT837" s="653"/>
      <c r="AU837" s="541" t="s">
        <v>690</v>
      </c>
      <c r="AV837" s="542"/>
      <c r="AW837" s="542"/>
      <c r="AX837" s="542"/>
      <c r="AY837" s="542"/>
      <c r="AZ837" s="542"/>
      <c r="BA837" s="542"/>
      <c r="BB837" s="543"/>
      <c r="BC837" s="647"/>
      <c r="BD837" s="637"/>
      <c r="BE837" s="637"/>
      <c r="BF837" s="637"/>
      <c r="BG837" s="637"/>
      <c r="BH837" s="637"/>
      <c r="BI837" s="637"/>
      <c r="BJ837" s="637"/>
      <c r="BK837" s="637"/>
      <c r="BL837" s="637"/>
      <c r="BM837" s="637"/>
      <c r="BN837" s="637"/>
      <c r="BO837" s="637"/>
      <c r="BP837" s="637"/>
      <c r="BQ837" s="637"/>
      <c r="BR837" s="638"/>
      <c r="BS837" s="644"/>
      <c r="BT837" s="645"/>
      <c r="BU837" s="645"/>
      <c r="BV837" s="645"/>
      <c r="BW837" s="645"/>
      <c r="BX837" s="645"/>
      <c r="BY837" s="645"/>
      <c r="BZ837" s="645"/>
      <c r="CA837" s="645"/>
      <c r="CB837" s="645"/>
      <c r="CC837" s="645"/>
      <c r="CD837" s="645"/>
      <c r="CE837" s="645"/>
      <c r="CF837" s="645"/>
      <c r="CG837" s="645"/>
      <c r="CH837" s="646"/>
      <c r="CI837" s="636"/>
      <c r="CJ837" s="654"/>
      <c r="CK837" s="654"/>
      <c r="CL837" s="654"/>
      <c r="CM837" s="654"/>
      <c r="CN837" s="654"/>
      <c r="CO837" s="654"/>
      <c r="CP837" s="654"/>
      <c r="CQ837" s="654"/>
      <c r="CR837" s="654"/>
      <c r="CS837" s="654"/>
      <c r="CT837" s="654"/>
      <c r="CU837" s="654"/>
      <c r="CV837" s="654"/>
      <c r="CW837" s="654"/>
      <c r="CX837" s="654"/>
      <c r="CY837" s="654"/>
      <c r="CZ837" s="655"/>
      <c r="DA837" s="214"/>
    </row>
    <row r="838" spans="1:106" s="16" customFormat="1" ht="15" hidden="1" customHeight="1" x14ac:dyDescent="0.3">
      <c r="A838" s="630"/>
      <c r="B838" s="631"/>
      <c r="C838" s="631"/>
      <c r="D838" s="631"/>
      <c r="E838" s="631"/>
      <c r="F838" s="631"/>
      <c r="G838" s="632"/>
      <c r="H838" s="651" t="s">
        <v>722</v>
      </c>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52"/>
      <c r="AL838" s="652"/>
      <c r="AM838" s="652"/>
      <c r="AN838" s="652"/>
      <c r="AO838" s="652"/>
      <c r="AP838" s="652"/>
      <c r="AQ838" s="652"/>
      <c r="AR838" s="652"/>
      <c r="AS838" s="652"/>
      <c r="AT838" s="653"/>
      <c r="AU838" s="541" t="s">
        <v>690</v>
      </c>
      <c r="AV838" s="542"/>
      <c r="AW838" s="542"/>
      <c r="AX838" s="542"/>
      <c r="AY838" s="542"/>
      <c r="AZ838" s="542"/>
      <c r="BA838" s="542"/>
      <c r="BB838" s="543"/>
      <c r="BC838" s="647">
        <v>1000</v>
      </c>
      <c r="BD838" s="637"/>
      <c r="BE838" s="637"/>
      <c r="BF838" s="637"/>
      <c r="BG838" s="637"/>
      <c r="BH838" s="637"/>
      <c r="BI838" s="637"/>
      <c r="BJ838" s="637"/>
      <c r="BK838" s="637"/>
      <c r="BL838" s="637"/>
      <c r="BM838" s="637"/>
      <c r="BN838" s="637"/>
      <c r="BO838" s="637"/>
      <c r="BP838" s="637"/>
      <c r="BQ838" s="637"/>
      <c r="BR838" s="638"/>
      <c r="BS838" s="644">
        <f t="shared" ref="BS838:BS840" si="18">CI838/BC838</f>
        <v>0</v>
      </c>
      <c r="BT838" s="645"/>
      <c r="BU838" s="645"/>
      <c r="BV838" s="645"/>
      <c r="BW838" s="645"/>
      <c r="BX838" s="645"/>
      <c r="BY838" s="645"/>
      <c r="BZ838" s="645"/>
      <c r="CA838" s="645"/>
      <c r="CB838" s="645"/>
      <c r="CC838" s="645"/>
      <c r="CD838" s="645"/>
      <c r="CE838" s="645"/>
      <c r="CF838" s="645"/>
      <c r="CG838" s="645"/>
      <c r="CH838" s="646"/>
      <c r="CI838" s="636"/>
      <c r="CJ838" s="654"/>
      <c r="CK838" s="654"/>
      <c r="CL838" s="654"/>
      <c r="CM838" s="654"/>
      <c r="CN838" s="654"/>
      <c r="CO838" s="654"/>
      <c r="CP838" s="654"/>
      <c r="CQ838" s="654"/>
      <c r="CR838" s="654"/>
      <c r="CS838" s="654"/>
      <c r="CT838" s="654"/>
      <c r="CU838" s="654"/>
      <c r="CV838" s="654"/>
      <c r="CW838" s="654"/>
      <c r="CX838" s="654"/>
      <c r="CY838" s="654"/>
      <c r="CZ838" s="655"/>
      <c r="DA838" s="214"/>
    </row>
    <row r="839" spans="1:106" s="16" customFormat="1" ht="15" hidden="1" customHeight="1" x14ac:dyDescent="0.3">
      <c r="A839" s="630"/>
      <c r="B839" s="631"/>
      <c r="C839" s="631"/>
      <c r="D839" s="631"/>
      <c r="E839" s="631"/>
      <c r="F839" s="631"/>
      <c r="G839" s="632"/>
      <c r="H839" s="651" t="s">
        <v>726</v>
      </c>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2"/>
      <c r="AL839" s="652"/>
      <c r="AM839" s="652"/>
      <c r="AN839" s="652"/>
      <c r="AO839" s="652"/>
      <c r="AP839" s="652"/>
      <c r="AQ839" s="652"/>
      <c r="AR839" s="652"/>
      <c r="AS839" s="652"/>
      <c r="AT839" s="653"/>
      <c r="AU839" s="541" t="s">
        <v>690</v>
      </c>
      <c r="AV839" s="542"/>
      <c r="AW839" s="542"/>
      <c r="AX839" s="542"/>
      <c r="AY839" s="542"/>
      <c r="AZ839" s="542"/>
      <c r="BA839" s="542"/>
      <c r="BB839" s="543"/>
      <c r="BC839" s="647">
        <v>10</v>
      </c>
      <c r="BD839" s="637"/>
      <c r="BE839" s="637"/>
      <c r="BF839" s="637"/>
      <c r="BG839" s="637"/>
      <c r="BH839" s="637"/>
      <c r="BI839" s="637"/>
      <c r="BJ839" s="637"/>
      <c r="BK839" s="637"/>
      <c r="BL839" s="637"/>
      <c r="BM839" s="637"/>
      <c r="BN839" s="637"/>
      <c r="BO839" s="637"/>
      <c r="BP839" s="637"/>
      <c r="BQ839" s="637"/>
      <c r="BR839" s="638"/>
      <c r="BS839" s="644">
        <f t="shared" si="18"/>
        <v>0</v>
      </c>
      <c r="BT839" s="645"/>
      <c r="BU839" s="645"/>
      <c r="BV839" s="645"/>
      <c r="BW839" s="645"/>
      <c r="BX839" s="645"/>
      <c r="BY839" s="645"/>
      <c r="BZ839" s="645"/>
      <c r="CA839" s="645"/>
      <c r="CB839" s="645"/>
      <c r="CC839" s="645"/>
      <c r="CD839" s="645"/>
      <c r="CE839" s="645"/>
      <c r="CF839" s="645"/>
      <c r="CG839" s="645"/>
      <c r="CH839" s="646"/>
      <c r="CI839" s="636">
        <v>0</v>
      </c>
      <c r="CJ839" s="654"/>
      <c r="CK839" s="654"/>
      <c r="CL839" s="654"/>
      <c r="CM839" s="654"/>
      <c r="CN839" s="654"/>
      <c r="CO839" s="654"/>
      <c r="CP839" s="654"/>
      <c r="CQ839" s="654"/>
      <c r="CR839" s="654"/>
      <c r="CS839" s="654"/>
      <c r="CT839" s="654"/>
      <c r="CU839" s="654"/>
      <c r="CV839" s="654"/>
      <c r="CW839" s="654"/>
      <c r="CX839" s="654"/>
      <c r="CY839" s="654"/>
      <c r="CZ839" s="655"/>
      <c r="DA839" s="214"/>
    </row>
    <row r="840" spans="1:106" s="16" customFormat="1" ht="15" hidden="1" customHeight="1" x14ac:dyDescent="0.3">
      <c r="A840" s="630"/>
      <c r="B840" s="631"/>
      <c r="C840" s="631"/>
      <c r="D840" s="631"/>
      <c r="E840" s="631"/>
      <c r="F840" s="631"/>
      <c r="G840" s="632"/>
      <c r="H840" s="651" t="s">
        <v>723</v>
      </c>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52"/>
      <c r="AL840" s="652"/>
      <c r="AM840" s="652"/>
      <c r="AN840" s="652"/>
      <c r="AO840" s="652"/>
      <c r="AP840" s="652"/>
      <c r="AQ840" s="652"/>
      <c r="AR840" s="652"/>
      <c r="AS840" s="652"/>
      <c r="AT840" s="653"/>
      <c r="AU840" s="541" t="s">
        <v>690</v>
      </c>
      <c r="AV840" s="542"/>
      <c r="AW840" s="542"/>
      <c r="AX840" s="542"/>
      <c r="AY840" s="542"/>
      <c r="AZ840" s="542"/>
      <c r="BA840" s="542"/>
      <c r="BB840" s="543"/>
      <c r="BC840" s="647">
        <v>5500</v>
      </c>
      <c r="BD840" s="637"/>
      <c r="BE840" s="637"/>
      <c r="BF840" s="637"/>
      <c r="BG840" s="637"/>
      <c r="BH840" s="637"/>
      <c r="BI840" s="637"/>
      <c r="BJ840" s="637"/>
      <c r="BK840" s="637"/>
      <c r="BL840" s="637"/>
      <c r="BM840" s="637"/>
      <c r="BN840" s="637"/>
      <c r="BO840" s="637"/>
      <c r="BP840" s="637"/>
      <c r="BQ840" s="637"/>
      <c r="BR840" s="638"/>
      <c r="BS840" s="644">
        <f t="shared" si="18"/>
        <v>0</v>
      </c>
      <c r="BT840" s="645"/>
      <c r="BU840" s="645"/>
      <c r="BV840" s="645"/>
      <c r="BW840" s="645"/>
      <c r="BX840" s="645"/>
      <c r="BY840" s="645"/>
      <c r="BZ840" s="645"/>
      <c r="CA840" s="645"/>
      <c r="CB840" s="645"/>
      <c r="CC840" s="645"/>
      <c r="CD840" s="645"/>
      <c r="CE840" s="645"/>
      <c r="CF840" s="645"/>
      <c r="CG840" s="645"/>
      <c r="CH840" s="646"/>
      <c r="CI840" s="636"/>
      <c r="CJ840" s="654"/>
      <c r="CK840" s="654"/>
      <c r="CL840" s="654"/>
      <c r="CM840" s="654"/>
      <c r="CN840" s="654"/>
      <c r="CO840" s="654"/>
      <c r="CP840" s="654"/>
      <c r="CQ840" s="654"/>
      <c r="CR840" s="654"/>
      <c r="CS840" s="654"/>
      <c r="CT840" s="654"/>
      <c r="CU840" s="654"/>
      <c r="CV840" s="654"/>
      <c r="CW840" s="654"/>
      <c r="CX840" s="654"/>
      <c r="CY840" s="654"/>
      <c r="CZ840" s="655"/>
      <c r="DA840" s="214"/>
    </row>
    <row r="841" spans="1:106" s="16" customFormat="1" ht="15" hidden="1" customHeight="1" x14ac:dyDescent="0.3">
      <c r="A841" s="630"/>
      <c r="B841" s="631"/>
      <c r="C841" s="631"/>
      <c r="D841" s="631"/>
      <c r="E841" s="631"/>
      <c r="F841" s="631"/>
      <c r="G841" s="632"/>
      <c r="H841" s="651" t="s">
        <v>728</v>
      </c>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c r="AI841" s="652"/>
      <c r="AJ841" s="652"/>
      <c r="AK841" s="652"/>
      <c r="AL841" s="652"/>
      <c r="AM841" s="652"/>
      <c r="AN841" s="652"/>
      <c r="AO841" s="652"/>
      <c r="AP841" s="652"/>
      <c r="AQ841" s="652"/>
      <c r="AR841" s="652"/>
      <c r="AS841" s="652"/>
      <c r="AT841" s="653"/>
      <c r="AU841" s="541" t="s">
        <v>690</v>
      </c>
      <c r="AV841" s="542"/>
      <c r="AW841" s="542"/>
      <c r="AX841" s="542"/>
      <c r="AY841" s="542"/>
      <c r="AZ841" s="542"/>
      <c r="BA841" s="542"/>
      <c r="BB841" s="543"/>
      <c r="BC841" s="647">
        <v>124</v>
      </c>
      <c r="BD841" s="637"/>
      <c r="BE841" s="637"/>
      <c r="BF841" s="637"/>
      <c r="BG841" s="637"/>
      <c r="BH841" s="637"/>
      <c r="BI841" s="637"/>
      <c r="BJ841" s="637"/>
      <c r="BK841" s="637"/>
      <c r="BL841" s="637"/>
      <c r="BM841" s="637"/>
      <c r="BN841" s="637"/>
      <c r="BO841" s="637"/>
      <c r="BP841" s="637"/>
      <c r="BQ841" s="637"/>
      <c r="BR841" s="638"/>
      <c r="BS841" s="644">
        <f>CI841/BC841</f>
        <v>0</v>
      </c>
      <c r="BT841" s="645"/>
      <c r="BU841" s="645"/>
      <c r="BV841" s="645"/>
      <c r="BW841" s="645"/>
      <c r="BX841" s="645"/>
      <c r="BY841" s="645"/>
      <c r="BZ841" s="645"/>
      <c r="CA841" s="645"/>
      <c r="CB841" s="645"/>
      <c r="CC841" s="645"/>
      <c r="CD841" s="645"/>
      <c r="CE841" s="645"/>
      <c r="CF841" s="645"/>
      <c r="CG841" s="645"/>
      <c r="CH841" s="646"/>
      <c r="CI841" s="636">
        <v>0</v>
      </c>
      <c r="CJ841" s="654"/>
      <c r="CK841" s="654"/>
      <c r="CL841" s="654"/>
      <c r="CM841" s="654"/>
      <c r="CN841" s="654"/>
      <c r="CO841" s="654"/>
      <c r="CP841" s="654"/>
      <c r="CQ841" s="654"/>
      <c r="CR841" s="654"/>
      <c r="CS841" s="654"/>
      <c r="CT841" s="654"/>
      <c r="CU841" s="654"/>
      <c r="CV841" s="654"/>
      <c r="CW841" s="654"/>
      <c r="CX841" s="654"/>
      <c r="CY841" s="654"/>
      <c r="CZ841" s="655"/>
      <c r="DA841" s="214"/>
    </row>
    <row r="842" spans="1:106" s="16" customFormat="1" ht="15" customHeight="1" x14ac:dyDescent="0.3">
      <c r="A842" s="633" t="s">
        <v>292</v>
      </c>
      <c r="B842" s="634"/>
      <c r="C842" s="634"/>
      <c r="D842" s="634"/>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c r="AA842" s="634"/>
      <c r="AB842" s="634"/>
      <c r="AC842" s="634"/>
      <c r="AD842" s="634"/>
      <c r="AE842" s="634"/>
      <c r="AF842" s="634"/>
      <c r="AG842" s="634"/>
      <c r="AH842" s="634"/>
      <c r="AI842" s="634"/>
      <c r="AJ842" s="634"/>
      <c r="AK842" s="634"/>
      <c r="AL842" s="634"/>
      <c r="AM842" s="634"/>
      <c r="AN842" s="634"/>
      <c r="AO842" s="634"/>
      <c r="AP842" s="634"/>
      <c r="AQ842" s="634"/>
      <c r="AR842" s="634"/>
      <c r="AS842" s="634"/>
      <c r="AT842" s="634"/>
      <c r="AU842" s="634"/>
      <c r="AV842" s="634"/>
      <c r="AW842" s="634"/>
      <c r="AX842" s="634"/>
      <c r="AY842" s="634"/>
      <c r="AZ842" s="634"/>
      <c r="BA842" s="634"/>
      <c r="BB842" s="635"/>
      <c r="BC842" s="582" t="s">
        <v>4</v>
      </c>
      <c r="BD842" s="582"/>
      <c r="BE842" s="582"/>
      <c r="BF842" s="582"/>
      <c r="BG842" s="582"/>
      <c r="BH842" s="582"/>
      <c r="BI842" s="582"/>
      <c r="BJ842" s="582"/>
      <c r="BK842" s="582"/>
      <c r="BL842" s="582"/>
      <c r="BM842" s="582"/>
      <c r="BN842" s="582"/>
      <c r="BO842" s="582"/>
      <c r="BP842" s="582"/>
      <c r="BQ842" s="582"/>
      <c r="BR842" s="582"/>
      <c r="BS842" s="582" t="s">
        <v>4</v>
      </c>
      <c r="BT842" s="582"/>
      <c r="BU842" s="582"/>
      <c r="BV842" s="582"/>
      <c r="BW842" s="582"/>
      <c r="BX842" s="582"/>
      <c r="BY842" s="582"/>
      <c r="BZ842" s="582"/>
      <c r="CA842" s="582"/>
      <c r="CB842" s="582"/>
      <c r="CC842" s="582"/>
      <c r="CD842" s="582"/>
      <c r="CE842" s="582"/>
      <c r="CF842" s="582"/>
      <c r="CG842" s="582"/>
      <c r="CH842" s="582"/>
      <c r="CI842" s="636">
        <f>CI739+CI787+CI807+CI836+CI837+CI838+CI840+CI805+CI839+CI841+CI830</f>
        <v>87510</v>
      </c>
      <c r="CJ842" s="637"/>
      <c r="CK842" s="637"/>
      <c r="CL842" s="637"/>
      <c r="CM842" s="637"/>
      <c r="CN842" s="637"/>
      <c r="CO842" s="637"/>
      <c r="CP842" s="637"/>
      <c r="CQ842" s="637"/>
      <c r="CR842" s="637"/>
      <c r="CS842" s="637"/>
      <c r="CT842" s="637"/>
      <c r="CU842" s="637"/>
      <c r="CV842" s="637"/>
      <c r="CW842" s="637"/>
      <c r="CX842" s="637"/>
      <c r="CY842" s="637"/>
      <c r="CZ842" s="638"/>
      <c r="DA842" s="214"/>
    </row>
    <row r="843" spans="1:106" s="16" customFormat="1" ht="15" hidden="1" customHeight="1" x14ac:dyDescent="0.3">
      <c r="A843" s="648" t="s">
        <v>573</v>
      </c>
      <c r="B843" s="649"/>
      <c r="C843" s="649"/>
      <c r="D843" s="649"/>
      <c r="E843" s="649"/>
      <c r="F843" s="649"/>
      <c r="G843" s="649"/>
      <c r="H843" s="649"/>
      <c r="I843" s="649"/>
      <c r="J843" s="649"/>
      <c r="K843" s="649"/>
      <c r="L843" s="649"/>
      <c r="M843" s="649"/>
      <c r="N843" s="649"/>
      <c r="O843" s="649"/>
      <c r="P843" s="649"/>
      <c r="Q843" s="649"/>
      <c r="R843" s="649"/>
      <c r="S843" s="649"/>
      <c r="T843" s="649"/>
      <c r="U843" s="649"/>
      <c r="V843" s="649"/>
      <c r="W843" s="649"/>
      <c r="X843" s="649"/>
      <c r="Y843" s="649"/>
      <c r="Z843" s="649"/>
      <c r="AA843" s="649"/>
      <c r="AB843" s="649"/>
      <c r="AC843" s="649"/>
      <c r="AD843" s="649"/>
      <c r="AE843" s="649"/>
      <c r="AF843" s="649"/>
      <c r="AG843" s="649"/>
      <c r="AH843" s="649"/>
      <c r="AI843" s="649"/>
      <c r="AJ843" s="649"/>
      <c r="AK843" s="649"/>
      <c r="AL843" s="649"/>
      <c r="AM843" s="649"/>
      <c r="AN843" s="649"/>
      <c r="AO843" s="649"/>
      <c r="AP843" s="649"/>
      <c r="AQ843" s="649"/>
      <c r="AR843" s="649"/>
      <c r="AS843" s="649"/>
      <c r="AT843" s="649"/>
      <c r="AU843" s="649"/>
      <c r="AV843" s="649"/>
      <c r="AW843" s="649"/>
      <c r="AX843" s="649"/>
      <c r="AY843" s="649"/>
      <c r="AZ843" s="649"/>
      <c r="BA843" s="649"/>
      <c r="BB843" s="649"/>
      <c r="BC843" s="649"/>
      <c r="BD843" s="649"/>
      <c r="BE843" s="649"/>
      <c r="BF843" s="649"/>
      <c r="BG843" s="649"/>
      <c r="BH843" s="649"/>
      <c r="BI843" s="649"/>
      <c r="BJ843" s="649"/>
      <c r="BK843" s="649"/>
      <c r="BL843" s="649"/>
      <c r="BM843" s="649"/>
      <c r="BN843" s="649"/>
      <c r="BO843" s="649"/>
      <c r="BP843" s="649"/>
      <c r="BQ843" s="649"/>
      <c r="BR843" s="649"/>
      <c r="BS843" s="649"/>
      <c r="BT843" s="649"/>
      <c r="BU843" s="649"/>
      <c r="BV843" s="649"/>
      <c r="BW843" s="649"/>
      <c r="BX843" s="649"/>
      <c r="BY843" s="649"/>
      <c r="BZ843" s="649"/>
      <c r="CA843" s="649"/>
      <c r="CB843" s="649"/>
      <c r="CC843" s="649"/>
      <c r="CD843" s="649"/>
      <c r="CE843" s="649"/>
      <c r="CF843" s="649"/>
      <c r="CG843" s="649"/>
      <c r="CH843" s="649"/>
      <c r="CI843" s="649"/>
      <c r="CJ843" s="649"/>
      <c r="CK843" s="649"/>
      <c r="CL843" s="649"/>
      <c r="CM843" s="649"/>
      <c r="CN843" s="649"/>
      <c r="CO843" s="649"/>
      <c r="CP843" s="649"/>
      <c r="CQ843" s="649"/>
      <c r="CR843" s="649"/>
      <c r="CS843" s="649"/>
      <c r="CT843" s="649"/>
      <c r="CU843" s="649"/>
      <c r="CV843" s="649"/>
      <c r="CW843" s="649"/>
      <c r="CX843" s="649"/>
      <c r="CY843" s="649"/>
      <c r="CZ843" s="649"/>
      <c r="DA843" s="214"/>
    </row>
    <row r="844" spans="1:106" s="16" customFormat="1" ht="15" hidden="1" customHeight="1" x14ac:dyDescent="0.3">
      <c r="A844" s="630" t="s">
        <v>441</v>
      </c>
      <c r="B844" s="631"/>
      <c r="C844" s="631"/>
      <c r="D844" s="631"/>
      <c r="E844" s="631"/>
      <c r="F844" s="631"/>
      <c r="G844" s="632"/>
      <c r="H844" s="584" t="s">
        <v>799</v>
      </c>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5"/>
      <c r="AL844" s="585"/>
      <c r="AM844" s="585"/>
      <c r="AN844" s="585"/>
      <c r="AO844" s="585"/>
      <c r="AP844" s="585"/>
      <c r="AQ844" s="585"/>
      <c r="AR844" s="585"/>
      <c r="AS844" s="585"/>
      <c r="AT844" s="586"/>
      <c r="AU844" s="475" t="s">
        <v>697</v>
      </c>
      <c r="AV844" s="476"/>
      <c r="AW844" s="476"/>
      <c r="AX844" s="476"/>
      <c r="AY844" s="476"/>
      <c r="AZ844" s="476"/>
      <c r="BA844" s="476"/>
      <c r="BB844" s="477"/>
      <c r="BC844" s="675"/>
      <c r="BD844" s="676"/>
      <c r="BE844" s="676"/>
      <c r="BF844" s="676"/>
      <c r="BG844" s="676"/>
      <c r="BH844" s="676"/>
      <c r="BI844" s="676"/>
      <c r="BJ844" s="676"/>
      <c r="BK844" s="676"/>
      <c r="BL844" s="676"/>
      <c r="BM844" s="676"/>
      <c r="BN844" s="676"/>
      <c r="BO844" s="676"/>
      <c r="BP844" s="676"/>
      <c r="BQ844" s="676"/>
      <c r="BR844" s="677"/>
      <c r="BS844" s="639"/>
      <c r="BT844" s="640"/>
      <c r="BU844" s="640"/>
      <c r="BV844" s="640"/>
      <c r="BW844" s="640"/>
      <c r="BX844" s="640"/>
      <c r="BY844" s="640"/>
      <c r="BZ844" s="640"/>
      <c r="CA844" s="640"/>
      <c r="CB844" s="640"/>
      <c r="CC844" s="640"/>
      <c r="CD844" s="640"/>
      <c r="CE844" s="640"/>
      <c r="CF844" s="640"/>
      <c r="CG844" s="640"/>
      <c r="CH844" s="641"/>
      <c r="CI844" s="627">
        <f>BC844*BS844</f>
        <v>0</v>
      </c>
      <c r="CJ844" s="628"/>
      <c r="CK844" s="628"/>
      <c r="CL844" s="628"/>
      <c r="CM844" s="628"/>
      <c r="CN844" s="628"/>
      <c r="CO844" s="628"/>
      <c r="CP844" s="628"/>
      <c r="CQ844" s="628"/>
      <c r="CR844" s="628"/>
      <c r="CS844" s="628"/>
      <c r="CT844" s="628"/>
      <c r="CU844" s="628"/>
      <c r="CV844" s="628"/>
      <c r="CW844" s="628"/>
      <c r="CX844" s="628"/>
      <c r="CY844" s="628"/>
      <c r="CZ844" s="629"/>
      <c r="DA844" s="214"/>
    </row>
    <row r="845" spans="1:106" s="16" customFormat="1" ht="15" hidden="1" customHeight="1" x14ac:dyDescent="0.3">
      <c r="A845" s="630" t="s">
        <v>444</v>
      </c>
      <c r="B845" s="631"/>
      <c r="C845" s="631"/>
      <c r="D845" s="631"/>
      <c r="E845" s="631"/>
      <c r="F845" s="631"/>
      <c r="G845" s="632"/>
      <c r="H845" s="584" t="s">
        <v>910</v>
      </c>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5"/>
      <c r="AL845" s="585"/>
      <c r="AM845" s="585"/>
      <c r="AN845" s="585"/>
      <c r="AO845" s="585"/>
      <c r="AP845" s="585"/>
      <c r="AQ845" s="585"/>
      <c r="AR845" s="585"/>
      <c r="AS845" s="585"/>
      <c r="AT845" s="586"/>
      <c r="AU845" s="475" t="s">
        <v>690</v>
      </c>
      <c r="AV845" s="476"/>
      <c r="AW845" s="476"/>
      <c r="AX845" s="476"/>
      <c r="AY845" s="476"/>
      <c r="AZ845" s="476"/>
      <c r="BA845" s="476"/>
      <c r="BB845" s="477"/>
      <c r="BC845" s="675"/>
      <c r="BD845" s="676"/>
      <c r="BE845" s="676"/>
      <c r="BF845" s="676"/>
      <c r="BG845" s="676"/>
      <c r="BH845" s="676"/>
      <c r="BI845" s="676"/>
      <c r="BJ845" s="676"/>
      <c r="BK845" s="676"/>
      <c r="BL845" s="676"/>
      <c r="BM845" s="676"/>
      <c r="BN845" s="676"/>
      <c r="BO845" s="676"/>
      <c r="BP845" s="676"/>
      <c r="BQ845" s="676"/>
      <c r="BR845" s="677"/>
      <c r="BS845" s="639"/>
      <c r="BT845" s="640"/>
      <c r="BU845" s="640"/>
      <c r="BV845" s="640"/>
      <c r="BW845" s="640"/>
      <c r="BX845" s="640"/>
      <c r="BY845" s="640"/>
      <c r="BZ845" s="640"/>
      <c r="CA845" s="640"/>
      <c r="CB845" s="640"/>
      <c r="CC845" s="640"/>
      <c r="CD845" s="640"/>
      <c r="CE845" s="640"/>
      <c r="CF845" s="640"/>
      <c r="CG845" s="640"/>
      <c r="CH845" s="641"/>
      <c r="CI845" s="627">
        <f t="shared" ref="CI845:CI856" si="19">BC845*BS845</f>
        <v>0</v>
      </c>
      <c r="CJ845" s="628"/>
      <c r="CK845" s="628"/>
      <c r="CL845" s="628"/>
      <c r="CM845" s="628"/>
      <c r="CN845" s="628"/>
      <c r="CO845" s="628"/>
      <c r="CP845" s="628"/>
      <c r="CQ845" s="628"/>
      <c r="CR845" s="628"/>
      <c r="CS845" s="628"/>
      <c r="CT845" s="628"/>
      <c r="CU845" s="628"/>
      <c r="CV845" s="628"/>
      <c r="CW845" s="628"/>
      <c r="CX845" s="628"/>
      <c r="CY845" s="628"/>
      <c r="CZ845" s="629"/>
      <c r="DA845" s="214"/>
    </row>
    <row r="846" spans="1:106" s="16" customFormat="1" ht="15" hidden="1" customHeight="1" x14ac:dyDescent="0.3">
      <c r="A846" s="630" t="s">
        <v>446</v>
      </c>
      <c r="B846" s="631"/>
      <c r="C846" s="631"/>
      <c r="D846" s="631"/>
      <c r="E846" s="631"/>
      <c r="F846" s="631"/>
      <c r="G846" s="632"/>
      <c r="H846" s="584" t="s">
        <v>866</v>
      </c>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5"/>
      <c r="AL846" s="585"/>
      <c r="AM846" s="585"/>
      <c r="AN846" s="585"/>
      <c r="AO846" s="585"/>
      <c r="AP846" s="585"/>
      <c r="AQ846" s="585"/>
      <c r="AR846" s="585"/>
      <c r="AS846" s="585"/>
      <c r="AT846" s="586"/>
      <c r="AU846" s="475" t="s">
        <v>690</v>
      </c>
      <c r="AV846" s="476"/>
      <c r="AW846" s="476"/>
      <c r="AX846" s="476"/>
      <c r="AY846" s="476"/>
      <c r="AZ846" s="476"/>
      <c r="BA846" s="476"/>
      <c r="BB846" s="477"/>
      <c r="BC846" s="675"/>
      <c r="BD846" s="676"/>
      <c r="BE846" s="676"/>
      <c r="BF846" s="676"/>
      <c r="BG846" s="676"/>
      <c r="BH846" s="676"/>
      <c r="BI846" s="676"/>
      <c r="BJ846" s="676"/>
      <c r="BK846" s="676"/>
      <c r="BL846" s="676"/>
      <c r="BM846" s="676"/>
      <c r="BN846" s="676"/>
      <c r="BO846" s="676"/>
      <c r="BP846" s="676"/>
      <c r="BQ846" s="676"/>
      <c r="BR846" s="677"/>
      <c r="BS846" s="639"/>
      <c r="BT846" s="640"/>
      <c r="BU846" s="640"/>
      <c r="BV846" s="640"/>
      <c r="BW846" s="640"/>
      <c r="BX846" s="640"/>
      <c r="BY846" s="640"/>
      <c r="BZ846" s="640"/>
      <c r="CA846" s="640"/>
      <c r="CB846" s="640"/>
      <c r="CC846" s="640"/>
      <c r="CD846" s="640"/>
      <c r="CE846" s="640"/>
      <c r="CF846" s="640"/>
      <c r="CG846" s="640"/>
      <c r="CH846" s="641"/>
      <c r="CI846" s="627">
        <f t="shared" si="19"/>
        <v>0</v>
      </c>
      <c r="CJ846" s="628"/>
      <c r="CK846" s="628"/>
      <c r="CL846" s="628"/>
      <c r="CM846" s="628"/>
      <c r="CN846" s="628"/>
      <c r="CO846" s="628"/>
      <c r="CP846" s="628"/>
      <c r="CQ846" s="628"/>
      <c r="CR846" s="628"/>
      <c r="CS846" s="628"/>
      <c r="CT846" s="628"/>
      <c r="CU846" s="628"/>
      <c r="CV846" s="628"/>
      <c r="CW846" s="628"/>
      <c r="CX846" s="628"/>
      <c r="CY846" s="628"/>
      <c r="CZ846" s="629"/>
      <c r="DA846" s="214"/>
    </row>
    <row r="847" spans="1:106" s="16" customFormat="1" ht="28.95" hidden="1" customHeight="1" x14ac:dyDescent="0.3">
      <c r="A847" s="630" t="s">
        <v>551</v>
      </c>
      <c r="B847" s="631"/>
      <c r="C847" s="631"/>
      <c r="D847" s="631"/>
      <c r="E847" s="631"/>
      <c r="F847" s="631"/>
      <c r="G847" s="632"/>
      <c r="H847" s="584" t="s">
        <v>864</v>
      </c>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5"/>
      <c r="AL847" s="585"/>
      <c r="AM847" s="585"/>
      <c r="AN847" s="585"/>
      <c r="AO847" s="585"/>
      <c r="AP847" s="585"/>
      <c r="AQ847" s="585"/>
      <c r="AR847" s="585"/>
      <c r="AS847" s="585"/>
      <c r="AT847" s="586"/>
      <c r="AU847" s="475" t="s">
        <v>690</v>
      </c>
      <c r="AV847" s="476"/>
      <c r="AW847" s="476"/>
      <c r="AX847" s="476"/>
      <c r="AY847" s="476"/>
      <c r="AZ847" s="476"/>
      <c r="BA847" s="476"/>
      <c r="BB847" s="477"/>
      <c r="BC847" s="675"/>
      <c r="BD847" s="676"/>
      <c r="BE847" s="676"/>
      <c r="BF847" s="676"/>
      <c r="BG847" s="676"/>
      <c r="BH847" s="676"/>
      <c r="BI847" s="676"/>
      <c r="BJ847" s="676"/>
      <c r="BK847" s="676"/>
      <c r="BL847" s="676"/>
      <c r="BM847" s="676"/>
      <c r="BN847" s="676"/>
      <c r="BO847" s="676"/>
      <c r="BP847" s="676"/>
      <c r="BQ847" s="676"/>
      <c r="BR847" s="677"/>
      <c r="BS847" s="639"/>
      <c r="BT847" s="640"/>
      <c r="BU847" s="640"/>
      <c r="BV847" s="640"/>
      <c r="BW847" s="640"/>
      <c r="BX847" s="640"/>
      <c r="BY847" s="640"/>
      <c r="BZ847" s="640"/>
      <c r="CA847" s="640"/>
      <c r="CB847" s="640"/>
      <c r="CC847" s="640"/>
      <c r="CD847" s="640"/>
      <c r="CE847" s="640"/>
      <c r="CF847" s="640"/>
      <c r="CG847" s="640"/>
      <c r="CH847" s="641"/>
      <c r="CI847" s="627">
        <f t="shared" si="19"/>
        <v>0</v>
      </c>
      <c r="CJ847" s="628"/>
      <c r="CK847" s="628"/>
      <c r="CL847" s="628"/>
      <c r="CM847" s="628"/>
      <c r="CN847" s="628"/>
      <c r="CO847" s="628"/>
      <c r="CP847" s="628"/>
      <c r="CQ847" s="628"/>
      <c r="CR847" s="628"/>
      <c r="CS847" s="628"/>
      <c r="CT847" s="628"/>
      <c r="CU847" s="628"/>
      <c r="CV847" s="628"/>
      <c r="CW847" s="628"/>
      <c r="CX847" s="628"/>
      <c r="CY847" s="628"/>
      <c r="CZ847" s="629"/>
      <c r="DA847" s="227"/>
      <c r="DB847" s="228"/>
    </row>
    <row r="848" spans="1:106" s="16" customFormat="1" ht="15" hidden="1" customHeight="1" x14ac:dyDescent="0.3">
      <c r="A848" s="630" t="s">
        <v>599</v>
      </c>
      <c r="B848" s="631"/>
      <c r="C848" s="631"/>
      <c r="D848" s="631"/>
      <c r="E848" s="631"/>
      <c r="F848" s="631"/>
      <c r="G848" s="632"/>
      <c r="H848" s="584" t="s">
        <v>867</v>
      </c>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5"/>
      <c r="AL848" s="585"/>
      <c r="AM848" s="585"/>
      <c r="AN848" s="585"/>
      <c r="AO848" s="585"/>
      <c r="AP848" s="585"/>
      <c r="AQ848" s="585"/>
      <c r="AR848" s="585"/>
      <c r="AS848" s="585"/>
      <c r="AT848" s="586"/>
      <c r="AU848" s="475" t="s">
        <v>690</v>
      </c>
      <c r="AV848" s="476"/>
      <c r="AW848" s="476"/>
      <c r="AX848" s="476"/>
      <c r="AY848" s="476"/>
      <c r="AZ848" s="476"/>
      <c r="BA848" s="476"/>
      <c r="BB848" s="477"/>
      <c r="BC848" s="675"/>
      <c r="BD848" s="676"/>
      <c r="BE848" s="676"/>
      <c r="BF848" s="676"/>
      <c r="BG848" s="676"/>
      <c r="BH848" s="676"/>
      <c r="BI848" s="676"/>
      <c r="BJ848" s="676"/>
      <c r="BK848" s="676"/>
      <c r="BL848" s="676"/>
      <c r="BM848" s="676"/>
      <c r="BN848" s="676"/>
      <c r="BO848" s="676"/>
      <c r="BP848" s="676"/>
      <c r="BQ848" s="676"/>
      <c r="BR848" s="677"/>
      <c r="BS848" s="639"/>
      <c r="BT848" s="640"/>
      <c r="BU848" s="640"/>
      <c r="BV848" s="640"/>
      <c r="BW848" s="640"/>
      <c r="BX848" s="640"/>
      <c r="BY848" s="640"/>
      <c r="BZ848" s="640"/>
      <c r="CA848" s="640"/>
      <c r="CB848" s="640"/>
      <c r="CC848" s="640"/>
      <c r="CD848" s="640"/>
      <c r="CE848" s="640"/>
      <c r="CF848" s="640"/>
      <c r="CG848" s="640"/>
      <c r="CH848" s="641"/>
      <c r="CI848" s="627">
        <f t="shared" si="19"/>
        <v>0</v>
      </c>
      <c r="CJ848" s="628"/>
      <c r="CK848" s="628"/>
      <c r="CL848" s="628"/>
      <c r="CM848" s="628"/>
      <c r="CN848" s="628"/>
      <c r="CO848" s="628"/>
      <c r="CP848" s="628"/>
      <c r="CQ848" s="628"/>
      <c r="CR848" s="628"/>
      <c r="CS848" s="628"/>
      <c r="CT848" s="628"/>
      <c r="CU848" s="628"/>
      <c r="CV848" s="628"/>
      <c r="CW848" s="628"/>
      <c r="CX848" s="628"/>
      <c r="CY848" s="628"/>
      <c r="CZ848" s="629"/>
      <c r="DA848" s="227"/>
      <c r="DB848" s="228"/>
    </row>
    <row r="849" spans="1:111" s="16" customFormat="1" ht="15" hidden="1" customHeight="1" x14ac:dyDescent="0.3">
      <c r="A849" s="630" t="s">
        <v>642</v>
      </c>
      <c r="B849" s="631"/>
      <c r="C849" s="631"/>
      <c r="D849" s="631"/>
      <c r="E849" s="631"/>
      <c r="F849" s="631"/>
      <c r="G849" s="632"/>
      <c r="H849" s="584" t="s">
        <v>801</v>
      </c>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5"/>
      <c r="AL849" s="585"/>
      <c r="AM849" s="585"/>
      <c r="AN849" s="585"/>
      <c r="AO849" s="585"/>
      <c r="AP849" s="585"/>
      <c r="AQ849" s="585"/>
      <c r="AR849" s="585"/>
      <c r="AS849" s="585"/>
      <c r="AT849" s="586"/>
      <c r="AU849" s="475" t="s">
        <v>690</v>
      </c>
      <c r="AV849" s="476"/>
      <c r="AW849" s="476"/>
      <c r="AX849" s="476"/>
      <c r="AY849" s="476"/>
      <c r="AZ849" s="476"/>
      <c r="BA849" s="476"/>
      <c r="BB849" s="477"/>
      <c r="BC849" s="675"/>
      <c r="BD849" s="676"/>
      <c r="BE849" s="676"/>
      <c r="BF849" s="676"/>
      <c r="BG849" s="676"/>
      <c r="BH849" s="676"/>
      <c r="BI849" s="676"/>
      <c r="BJ849" s="676"/>
      <c r="BK849" s="676"/>
      <c r="BL849" s="676"/>
      <c r="BM849" s="676"/>
      <c r="BN849" s="676"/>
      <c r="BO849" s="676"/>
      <c r="BP849" s="676"/>
      <c r="BQ849" s="676"/>
      <c r="BR849" s="677"/>
      <c r="BS849" s="639"/>
      <c r="BT849" s="640"/>
      <c r="BU849" s="640"/>
      <c r="BV849" s="640"/>
      <c r="BW849" s="640"/>
      <c r="BX849" s="640"/>
      <c r="BY849" s="640"/>
      <c r="BZ849" s="640"/>
      <c r="CA849" s="640"/>
      <c r="CB849" s="640"/>
      <c r="CC849" s="640"/>
      <c r="CD849" s="640"/>
      <c r="CE849" s="640"/>
      <c r="CF849" s="640"/>
      <c r="CG849" s="640"/>
      <c r="CH849" s="641"/>
      <c r="CI849" s="627">
        <f t="shared" si="19"/>
        <v>0</v>
      </c>
      <c r="CJ849" s="628"/>
      <c r="CK849" s="628"/>
      <c r="CL849" s="628"/>
      <c r="CM849" s="628"/>
      <c r="CN849" s="628"/>
      <c r="CO849" s="628"/>
      <c r="CP849" s="628"/>
      <c r="CQ849" s="628"/>
      <c r="CR849" s="628"/>
      <c r="CS849" s="628"/>
      <c r="CT849" s="628"/>
      <c r="CU849" s="628"/>
      <c r="CV849" s="628"/>
      <c r="CW849" s="628"/>
      <c r="CX849" s="628"/>
      <c r="CY849" s="628"/>
      <c r="CZ849" s="629"/>
      <c r="DA849" s="217"/>
      <c r="DB849" s="244"/>
      <c r="DG849" s="245"/>
    </row>
    <row r="850" spans="1:111" s="16" customFormat="1" ht="15" hidden="1" customHeight="1" x14ac:dyDescent="0.3">
      <c r="A850" s="630" t="s">
        <v>648</v>
      </c>
      <c r="B850" s="631"/>
      <c r="C850" s="631"/>
      <c r="D850" s="631"/>
      <c r="E850" s="631"/>
      <c r="F850" s="631"/>
      <c r="G850" s="632"/>
      <c r="H850" s="584" t="s">
        <v>865</v>
      </c>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5"/>
      <c r="AL850" s="585"/>
      <c r="AM850" s="585"/>
      <c r="AN850" s="585"/>
      <c r="AO850" s="585"/>
      <c r="AP850" s="585"/>
      <c r="AQ850" s="585"/>
      <c r="AR850" s="585"/>
      <c r="AS850" s="585"/>
      <c r="AT850" s="586"/>
      <c r="AU850" s="475" t="s">
        <v>690</v>
      </c>
      <c r="AV850" s="476"/>
      <c r="AW850" s="476"/>
      <c r="AX850" s="476"/>
      <c r="AY850" s="476"/>
      <c r="AZ850" s="476"/>
      <c r="BA850" s="476"/>
      <c r="BB850" s="477"/>
      <c r="BC850" s="675"/>
      <c r="BD850" s="676"/>
      <c r="BE850" s="676"/>
      <c r="BF850" s="676"/>
      <c r="BG850" s="676"/>
      <c r="BH850" s="676"/>
      <c r="BI850" s="676"/>
      <c r="BJ850" s="676"/>
      <c r="BK850" s="676"/>
      <c r="BL850" s="676"/>
      <c r="BM850" s="676"/>
      <c r="BN850" s="676"/>
      <c r="BO850" s="676"/>
      <c r="BP850" s="676"/>
      <c r="BQ850" s="676"/>
      <c r="BR850" s="677"/>
      <c r="BS850" s="639"/>
      <c r="BT850" s="640"/>
      <c r="BU850" s="640"/>
      <c r="BV850" s="640"/>
      <c r="BW850" s="640"/>
      <c r="BX850" s="640"/>
      <c r="BY850" s="640"/>
      <c r="BZ850" s="640"/>
      <c r="CA850" s="640"/>
      <c r="CB850" s="640"/>
      <c r="CC850" s="640"/>
      <c r="CD850" s="640"/>
      <c r="CE850" s="640"/>
      <c r="CF850" s="640"/>
      <c r="CG850" s="640"/>
      <c r="CH850" s="641"/>
      <c r="CI850" s="627">
        <f t="shared" si="19"/>
        <v>0</v>
      </c>
      <c r="CJ850" s="628"/>
      <c r="CK850" s="628"/>
      <c r="CL850" s="628"/>
      <c r="CM850" s="628"/>
      <c r="CN850" s="628"/>
      <c r="CO850" s="628"/>
      <c r="CP850" s="628"/>
      <c r="CQ850" s="628"/>
      <c r="CR850" s="628"/>
      <c r="CS850" s="628"/>
      <c r="CT850" s="628"/>
      <c r="CU850" s="628"/>
      <c r="CV850" s="628"/>
      <c r="CW850" s="628"/>
      <c r="CX850" s="628"/>
      <c r="CY850" s="628"/>
      <c r="CZ850" s="629"/>
      <c r="DA850" s="238"/>
      <c r="DB850" s="245"/>
    </row>
    <row r="851" spans="1:111" s="16" customFormat="1" ht="15" hidden="1" customHeight="1" x14ac:dyDescent="0.3">
      <c r="A851" s="630" t="s">
        <v>650</v>
      </c>
      <c r="B851" s="631"/>
      <c r="C851" s="631"/>
      <c r="D851" s="631"/>
      <c r="E851" s="631"/>
      <c r="F851" s="631"/>
      <c r="G851" s="632"/>
      <c r="H851" s="584" t="s">
        <v>863</v>
      </c>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5"/>
      <c r="AL851" s="585"/>
      <c r="AM851" s="585"/>
      <c r="AN851" s="585"/>
      <c r="AO851" s="585"/>
      <c r="AP851" s="585"/>
      <c r="AQ851" s="585"/>
      <c r="AR851" s="585"/>
      <c r="AS851" s="585"/>
      <c r="AT851" s="586"/>
      <c r="AU851" s="475" t="s">
        <v>800</v>
      </c>
      <c r="AV851" s="476"/>
      <c r="AW851" s="476"/>
      <c r="AX851" s="476"/>
      <c r="AY851" s="476"/>
      <c r="AZ851" s="476"/>
      <c r="BA851" s="476"/>
      <c r="BB851" s="477"/>
      <c r="BC851" s="675"/>
      <c r="BD851" s="676"/>
      <c r="BE851" s="676"/>
      <c r="BF851" s="676"/>
      <c r="BG851" s="676"/>
      <c r="BH851" s="676"/>
      <c r="BI851" s="676"/>
      <c r="BJ851" s="676"/>
      <c r="BK851" s="676"/>
      <c r="BL851" s="676"/>
      <c r="BM851" s="676"/>
      <c r="BN851" s="676"/>
      <c r="BO851" s="676"/>
      <c r="BP851" s="676"/>
      <c r="BQ851" s="676"/>
      <c r="BR851" s="677"/>
      <c r="BS851" s="639"/>
      <c r="BT851" s="640"/>
      <c r="BU851" s="640"/>
      <c r="BV851" s="640"/>
      <c r="BW851" s="640"/>
      <c r="BX851" s="640"/>
      <c r="BY851" s="640"/>
      <c r="BZ851" s="640"/>
      <c r="CA851" s="640"/>
      <c r="CB851" s="640"/>
      <c r="CC851" s="640"/>
      <c r="CD851" s="640"/>
      <c r="CE851" s="640"/>
      <c r="CF851" s="640"/>
      <c r="CG851" s="640"/>
      <c r="CH851" s="641"/>
      <c r="CI851" s="627">
        <f t="shared" si="19"/>
        <v>0</v>
      </c>
      <c r="CJ851" s="628"/>
      <c r="CK851" s="628"/>
      <c r="CL851" s="628"/>
      <c r="CM851" s="628"/>
      <c r="CN851" s="628"/>
      <c r="CO851" s="628"/>
      <c r="CP851" s="628"/>
      <c r="CQ851" s="628"/>
      <c r="CR851" s="628"/>
      <c r="CS851" s="628"/>
      <c r="CT851" s="628"/>
      <c r="CU851" s="628"/>
      <c r="CV851" s="628"/>
      <c r="CW851" s="628"/>
      <c r="CX851" s="628"/>
      <c r="CY851" s="628"/>
      <c r="CZ851" s="629"/>
      <c r="DA851" s="238"/>
      <c r="DB851" s="245"/>
    </row>
    <row r="852" spans="1:111" s="16" customFormat="1" ht="15" hidden="1" customHeight="1" x14ac:dyDescent="0.3">
      <c r="A852" s="630" t="s">
        <v>487</v>
      </c>
      <c r="B852" s="631"/>
      <c r="C852" s="631"/>
      <c r="D852" s="631"/>
      <c r="E852" s="631"/>
      <c r="F852" s="631"/>
      <c r="G852" s="632"/>
      <c r="H852" s="584" t="s">
        <v>802</v>
      </c>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5"/>
      <c r="AL852" s="585"/>
      <c r="AM852" s="585"/>
      <c r="AN852" s="585"/>
      <c r="AO852" s="585"/>
      <c r="AP852" s="585"/>
      <c r="AQ852" s="585"/>
      <c r="AR852" s="585"/>
      <c r="AS852" s="585"/>
      <c r="AT852" s="586"/>
      <c r="AU852" s="475" t="s">
        <v>690</v>
      </c>
      <c r="AV852" s="476"/>
      <c r="AW852" s="476"/>
      <c r="AX852" s="476"/>
      <c r="AY852" s="476"/>
      <c r="AZ852" s="476"/>
      <c r="BA852" s="476"/>
      <c r="BB852" s="477"/>
      <c r="BC852" s="675"/>
      <c r="BD852" s="676"/>
      <c r="BE852" s="676"/>
      <c r="BF852" s="676"/>
      <c r="BG852" s="676"/>
      <c r="BH852" s="676"/>
      <c r="BI852" s="676"/>
      <c r="BJ852" s="676"/>
      <c r="BK852" s="676"/>
      <c r="BL852" s="676"/>
      <c r="BM852" s="676"/>
      <c r="BN852" s="676"/>
      <c r="BO852" s="676"/>
      <c r="BP852" s="676"/>
      <c r="BQ852" s="676"/>
      <c r="BR852" s="677"/>
      <c r="BS852" s="639"/>
      <c r="BT852" s="640"/>
      <c r="BU852" s="640"/>
      <c r="BV852" s="640"/>
      <c r="BW852" s="640"/>
      <c r="BX852" s="640"/>
      <c r="BY852" s="640"/>
      <c r="BZ852" s="640"/>
      <c r="CA852" s="640"/>
      <c r="CB852" s="640"/>
      <c r="CC852" s="640"/>
      <c r="CD852" s="640"/>
      <c r="CE852" s="640"/>
      <c r="CF852" s="640"/>
      <c r="CG852" s="640"/>
      <c r="CH852" s="641"/>
      <c r="CI852" s="627">
        <f t="shared" si="19"/>
        <v>0</v>
      </c>
      <c r="CJ852" s="628"/>
      <c r="CK852" s="628"/>
      <c r="CL852" s="628"/>
      <c r="CM852" s="628"/>
      <c r="CN852" s="628"/>
      <c r="CO852" s="628"/>
      <c r="CP852" s="628"/>
      <c r="CQ852" s="628"/>
      <c r="CR852" s="628"/>
      <c r="CS852" s="628"/>
      <c r="CT852" s="628"/>
      <c r="CU852" s="628"/>
      <c r="CV852" s="628"/>
      <c r="CW852" s="628"/>
      <c r="CX852" s="628"/>
      <c r="CY852" s="628"/>
      <c r="CZ852" s="629"/>
      <c r="DA852" s="238"/>
      <c r="DB852" s="245"/>
    </row>
    <row r="853" spans="1:111" s="16" customFormat="1" ht="15" hidden="1" customHeight="1" x14ac:dyDescent="0.3">
      <c r="A853" s="630" t="s">
        <v>653</v>
      </c>
      <c r="B853" s="631"/>
      <c r="C853" s="631"/>
      <c r="D853" s="631"/>
      <c r="E853" s="631"/>
      <c r="F853" s="631"/>
      <c r="G853" s="632"/>
      <c r="H853" s="584" t="s">
        <v>893</v>
      </c>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5"/>
      <c r="AL853" s="585"/>
      <c r="AM853" s="585"/>
      <c r="AN853" s="585"/>
      <c r="AO853" s="585"/>
      <c r="AP853" s="585"/>
      <c r="AQ853" s="585"/>
      <c r="AR853" s="585"/>
      <c r="AS853" s="585"/>
      <c r="AT853" s="586"/>
      <c r="AU853" s="475" t="s">
        <v>690</v>
      </c>
      <c r="AV853" s="476"/>
      <c r="AW853" s="476"/>
      <c r="AX853" s="476"/>
      <c r="AY853" s="476"/>
      <c r="AZ853" s="476"/>
      <c r="BA853" s="476"/>
      <c r="BB853" s="477"/>
      <c r="BC853" s="675"/>
      <c r="BD853" s="676"/>
      <c r="BE853" s="676"/>
      <c r="BF853" s="676"/>
      <c r="BG853" s="676"/>
      <c r="BH853" s="676"/>
      <c r="BI853" s="676"/>
      <c r="BJ853" s="676"/>
      <c r="BK853" s="676"/>
      <c r="BL853" s="676"/>
      <c r="BM853" s="676"/>
      <c r="BN853" s="676"/>
      <c r="BO853" s="676"/>
      <c r="BP853" s="676"/>
      <c r="BQ853" s="676"/>
      <c r="BR853" s="677"/>
      <c r="BS853" s="639"/>
      <c r="BT853" s="640"/>
      <c r="BU853" s="640"/>
      <c r="BV853" s="640"/>
      <c r="BW853" s="640"/>
      <c r="BX853" s="640"/>
      <c r="BY853" s="640"/>
      <c r="BZ853" s="640"/>
      <c r="CA853" s="640"/>
      <c r="CB853" s="640"/>
      <c r="CC853" s="640"/>
      <c r="CD853" s="640"/>
      <c r="CE853" s="640"/>
      <c r="CF853" s="640"/>
      <c r="CG853" s="640"/>
      <c r="CH853" s="641"/>
      <c r="CI853" s="627">
        <f t="shared" si="19"/>
        <v>0</v>
      </c>
      <c r="CJ853" s="628"/>
      <c r="CK853" s="628"/>
      <c r="CL853" s="628"/>
      <c r="CM853" s="628"/>
      <c r="CN853" s="628"/>
      <c r="CO853" s="628"/>
      <c r="CP853" s="628"/>
      <c r="CQ853" s="628"/>
      <c r="CR853" s="628"/>
      <c r="CS853" s="628"/>
      <c r="CT853" s="628"/>
      <c r="CU853" s="628"/>
      <c r="CV853" s="628"/>
      <c r="CW853" s="628"/>
      <c r="CX853" s="628"/>
      <c r="CY853" s="628"/>
      <c r="CZ853" s="629"/>
      <c r="DA853" s="238"/>
      <c r="DB853" s="245"/>
    </row>
    <row r="854" spans="1:111" s="16" customFormat="1" ht="15" hidden="1" customHeight="1" x14ac:dyDescent="0.3">
      <c r="A854" s="630" t="s">
        <v>654</v>
      </c>
      <c r="B854" s="631"/>
      <c r="C854" s="631"/>
      <c r="D854" s="631"/>
      <c r="E854" s="631"/>
      <c r="F854" s="631"/>
      <c r="G854" s="632"/>
      <c r="H854" s="584" t="s">
        <v>895</v>
      </c>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5"/>
      <c r="AL854" s="585"/>
      <c r="AM854" s="585"/>
      <c r="AN854" s="585"/>
      <c r="AO854" s="585"/>
      <c r="AP854" s="585"/>
      <c r="AQ854" s="585"/>
      <c r="AR854" s="585"/>
      <c r="AS854" s="585"/>
      <c r="AT854" s="586"/>
      <c r="AU854" s="475" t="s">
        <v>690</v>
      </c>
      <c r="AV854" s="476"/>
      <c r="AW854" s="476"/>
      <c r="AX854" s="476"/>
      <c r="AY854" s="476"/>
      <c r="AZ854" s="476"/>
      <c r="BA854" s="476"/>
      <c r="BB854" s="477"/>
      <c r="BC854" s="675"/>
      <c r="BD854" s="676"/>
      <c r="BE854" s="676"/>
      <c r="BF854" s="676"/>
      <c r="BG854" s="676"/>
      <c r="BH854" s="676"/>
      <c r="BI854" s="676"/>
      <c r="BJ854" s="676"/>
      <c r="BK854" s="676"/>
      <c r="BL854" s="676"/>
      <c r="BM854" s="676"/>
      <c r="BN854" s="676"/>
      <c r="BO854" s="676"/>
      <c r="BP854" s="676"/>
      <c r="BQ854" s="676"/>
      <c r="BR854" s="677"/>
      <c r="BS854" s="639"/>
      <c r="BT854" s="640"/>
      <c r="BU854" s="640"/>
      <c r="BV854" s="640"/>
      <c r="BW854" s="640"/>
      <c r="BX854" s="640"/>
      <c r="BY854" s="640"/>
      <c r="BZ854" s="640"/>
      <c r="CA854" s="640"/>
      <c r="CB854" s="640"/>
      <c r="CC854" s="640"/>
      <c r="CD854" s="640"/>
      <c r="CE854" s="640"/>
      <c r="CF854" s="640"/>
      <c r="CG854" s="640"/>
      <c r="CH854" s="641"/>
      <c r="CI854" s="627">
        <f t="shared" si="19"/>
        <v>0</v>
      </c>
      <c r="CJ854" s="628"/>
      <c r="CK854" s="628"/>
      <c r="CL854" s="628"/>
      <c r="CM854" s="628"/>
      <c r="CN854" s="628"/>
      <c r="CO854" s="628"/>
      <c r="CP854" s="628"/>
      <c r="CQ854" s="628"/>
      <c r="CR854" s="628"/>
      <c r="CS854" s="628"/>
      <c r="CT854" s="628"/>
      <c r="CU854" s="628"/>
      <c r="CV854" s="628"/>
      <c r="CW854" s="628"/>
      <c r="CX854" s="628"/>
      <c r="CY854" s="628"/>
      <c r="CZ854" s="629"/>
      <c r="DA854" s="238"/>
      <c r="DB854" s="245"/>
    </row>
    <row r="855" spans="1:111" s="16" customFormat="1" ht="15" hidden="1" customHeight="1" x14ac:dyDescent="0.3">
      <c r="A855" s="630" t="s">
        <v>655</v>
      </c>
      <c r="B855" s="631"/>
      <c r="C855" s="631"/>
      <c r="D855" s="631"/>
      <c r="E855" s="631"/>
      <c r="F855" s="631"/>
      <c r="G855" s="632"/>
      <c r="H855" s="584" t="s">
        <v>894</v>
      </c>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5"/>
      <c r="AL855" s="585"/>
      <c r="AM855" s="585"/>
      <c r="AN855" s="585"/>
      <c r="AO855" s="585"/>
      <c r="AP855" s="585"/>
      <c r="AQ855" s="585"/>
      <c r="AR855" s="585"/>
      <c r="AS855" s="585"/>
      <c r="AT855" s="586"/>
      <c r="AU855" s="475" t="s">
        <v>690</v>
      </c>
      <c r="AV855" s="476"/>
      <c r="AW855" s="476"/>
      <c r="AX855" s="476"/>
      <c r="AY855" s="476"/>
      <c r="AZ855" s="476"/>
      <c r="BA855" s="476"/>
      <c r="BB855" s="477"/>
      <c r="BC855" s="675"/>
      <c r="BD855" s="676"/>
      <c r="BE855" s="676"/>
      <c r="BF855" s="676"/>
      <c r="BG855" s="676"/>
      <c r="BH855" s="676"/>
      <c r="BI855" s="676"/>
      <c r="BJ855" s="676"/>
      <c r="BK855" s="676"/>
      <c r="BL855" s="676"/>
      <c r="BM855" s="676"/>
      <c r="BN855" s="676"/>
      <c r="BO855" s="676"/>
      <c r="BP855" s="676"/>
      <c r="BQ855" s="676"/>
      <c r="BR855" s="677"/>
      <c r="BS855" s="639"/>
      <c r="BT855" s="640"/>
      <c r="BU855" s="640"/>
      <c r="BV855" s="640"/>
      <c r="BW855" s="640"/>
      <c r="BX855" s="640"/>
      <c r="BY855" s="640"/>
      <c r="BZ855" s="640"/>
      <c r="CA855" s="640"/>
      <c r="CB855" s="640"/>
      <c r="CC855" s="640"/>
      <c r="CD855" s="640"/>
      <c r="CE855" s="640"/>
      <c r="CF855" s="640"/>
      <c r="CG855" s="640"/>
      <c r="CH855" s="641"/>
      <c r="CI855" s="627">
        <f t="shared" si="19"/>
        <v>0</v>
      </c>
      <c r="CJ855" s="628"/>
      <c r="CK855" s="628"/>
      <c r="CL855" s="628"/>
      <c r="CM855" s="628"/>
      <c r="CN855" s="628"/>
      <c r="CO855" s="628"/>
      <c r="CP855" s="628"/>
      <c r="CQ855" s="628"/>
      <c r="CR855" s="628"/>
      <c r="CS855" s="628"/>
      <c r="CT855" s="628"/>
      <c r="CU855" s="628"/>
      <c r="CV855" s="628"/>
      <c r="CW855" s="628"/>
      <c r="CX855" s="628"/>
      <c r="CY855" s="628"/>
      <c r="CZ855" s="629"/>
      <c r="DA855" s="214"/>
    </row>
    <row r="856" spans="1:111" s="16" customFormat="1" ht="15" hidden="1" customHeight="1" x14ac:dyDescent="0.3">
      <c r="A856" s="630" t="s">
        <v>656</v>
      </c>
      <c r="B856" s="631"/>
      <c r="C856" s="631"/>
      <c r="D856" s="631"/>
      <c r="E856" s="631"/>
      <c r="F856" s="631"/>
      <c r="G856" s="632"/>
      <c r="H856" s="584" t="s">
        <v>903</v>
      </c>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5"/>
      <c r="AL856" s="585"/>
      <c r="AM856" s="585"/>
      <c r="AN856" s="585"/>
      <c r="AO856" s="585"/>
      <c r="AP856" s="585"/>
      <c r="AQ856" s="585"/>
      <c r="AR856" s="585"/>
      <c r="AS856" s="585"/>
      <c r="AT856" s="586"/>
      <c r="AU856" s="475" t="s">
        <v>690</v>
      </c>
      <c r="AV856" s="476"/>
      <c r="AW856" s="476"/>
      <c r="AX856" s="476"/>
      <c r="AY856" s="476"/>
      <c r="AZ856" s="476"/>
      <c r="BA856" s="476"/>
      <c r="BB856" s="477"/>
      <c r="BC856" s="675"/>
      <c r="BD856" s="676"/>
      <c r="BE856" s="676"/>
      <c r="BF856" s="676"/>
      <c r="BG856" s="676"/>
      <c r="BH856" s="676"/>
      <c r="BI856" s="676"/>
      <c r="BJ856" s="676"/>
      <c r="BK856" s="676"/>
      <c r="BL856" s="676"/>
      <c r="BM856" s="676"/>
      <c r="BN856" s="676"/>
      <c r="BO856" s="676"/>
      <c r="BP856" s="676"/>
      <c r="BQ856" s="676"/>
      <c r="BR856" s="677"/>
      <c r="BS856" s="639"/>
      <c r="BT856" s="640"/>
      <c r="BU856" s="640"/>
      <c r="BV856" s="640"/>
      <c r="BW856" s="640"/>
      <c r="BX856" s="640"/>
      <c r="BY856" s="640"/>
      <c r="BZ856" s="640"/>
      <c r="CA856" s="640"/>
      <c r="CB856" s="640"/>
      <c r="CC856" s="640"/>
      <c r="CD856" s="640"/>
      <c r="CE856" s="640"/>
      <c r="CF856" s="640"/>
      <c r="CG856" s="640"/>
      <c r="CH856" s="641"/>
      <c r="CI856" s="627">
        <f t="shared" si="19"/>
        <v>0</v>
      </c>
      <c r="CJ856" s="628"/>
      <c r="CK856" s="628"/>
      <c r="CL856" s="628"/>
      <c r="CM856" s="628"/>
      <c r="CN856" s="628"/>
      <c r="CO856" s="628"/>
      <c r="CP856" s="628"/>
      <c r="CQ856" s="628"/>
      <c r="CR856" s="628"/>
      <c r="CS856" s="628"/>
      <c r="CT856" s="628"/>
      <c r="CU856" s="628"/>
      <c r="CV856" s="628"/>
      <c r="CW856" s="628"/>
      <c r="CX856" s="628"/>
      <c r="CY856" s="628"/>
      <c r="CZ856" s="629"/>
      <c r="DA856" s="214"/>
    </row>
    <row r="857" spans="1:111" s="16" customFormat="1" ht="18.75" hidden="1" customHeight="1" x14ac:dyDescent="0.3">
      <c r="A857" s="553" t="s">
        <v>292</v>
      </c>
      <c r="B857" s="554"/>
      <c r="C857" s="554"/>
      <c r="D857" s="554"/>
      <c r="E857" s="554"/>
      <c r="F857" s="554"/>
      <c r="G857" s="554"/>
      <c r="H857" s="554"/>
      <c r="I857" s="554"/>
      <c r="J857" s="554"/>
      <c r="K857" s="554"/>
      <c r="L857" s="554"/>
      <c r="M857" s="554"/>
      <c r="N857" s="554"/>
      <c r="O857" s="554"/>
      <c r="P857" s="554"/>
      <c r="Q857" s="554"/>
      <c r="R857" s="554"/>
      <c r="S857" s="554"/>
      <c r="T857" s="554"/>
      <c r="U857" s="554"/>
      <c r="V857" s="554"/>
      <c r="W857" s="554"/>
      <c r="X857" s="554"/>
      <c r="Y857" s="554"/>
      <c r="Z857" s="554"/>
      <c r="AA857" s="554"/>
      <c r="AB857" s="554"/>
      <c r="AC857" s="554"/>
      <c r="AD857" s="554"/>
      <c r="AE857" s="554"/>
      <c r="AF857" s="554"/>
      <c r="AG857" s="554"/>
      <c r="AH857" s="554"/>
      <c r="AI857" s="554"/>
      <c r="AJ857" s="554"/>
      <c r="AK857" s="554"/>
      <c r="AL857" s="554"/>
      <c r="AM857" s="554"/>
      <c r="AN857" s="554"/>
      <c r="AO857" s="554"/>
      <c r="AP857" s="554"/>
      <c r="AQ857" s="554"/>
      <c r="AR857" s="554"/>
      <c r="AS857" s="554"/>
      <c r="AT857" s="554"/>
      <c r="AU857" s="554"/>
      <c r="AV857" s="554"/>
      <c r="AW857" s="554"/>
      <c r="AX857" s="554"/>
      <c r="AY857" s="554"/>
      <c r="AZ857" s="554"/>
      <c r="BA857" s="554"/>
      <c r="BB857" s="554"/>
      <c r="BC857" s="554"/>
      <c r="BD857" s="554"/>
      <c r="BE857" s="554"/>
      <c r="BF857" s="554"/>
      <c r="BG857" s="554"/>
      <c r="BH857" s="554"/>
      <c r="BI857" s="554"/>
      <c r="BJ857" s="554"/>
      <c r="BK857" s="554"/>
      <c r="BL857" s="554"/>
      <c r="BM857" s="554"/>
      <c r="BN857" s="554"/>
      <c r="BO857" s="554"/>
      <c r="BP857" s="554"/>
      <c r="BQ857" s="554"/>
      <c r="BR857" s="555"/>
      <c r="BS857" s="582" t="s">
        <v>4</v>
      </c>
      <c r="BT857" s="582"/>
      <c r="BU857" s="582"/>
      <c r="BV857" s="582"/>
      <c r="BW857" s="582"/>
      <c r="BX857" s="582"/>
      <c r="BY857" s="582"/>
      <c r="BZ857" s="582"/>
      <c r="CA857" s="582"/>
      <c r="CB857" s="582"/>
      <c r="CC857" s="582"/>
      <c r="CD857" s="582"/>
      <c r="CE857" s="582"/>
      <c r="CF857" s="582"/>
      <c r="CG857" s="582"/>
      <c r="CH857" s="582"/>
      <c r="CI857" s="611">
        <f>SUM(CI844:CZ856)</f>
        <v>0</v>
      </c>
      <c r="CJ857" s="611"/>
      <c r="CK857" s="611"/>
      <c r="CL857" s="611"/>
      <c r="CM857" s="611"/>
      <c r="CN857" s="611"/>
      <c r="CO857" s="611"/>
      <c r="CP857" s="611"/>
      <c r="CQ857" s="611"/>
      <c r="CR857" s="611"/>
      <c r="CS857" s="611"/>
      <c r="CT857" s="611"/>
      <c r="CU857" s="611"/>
      <c r="CV857" s="611"/>
      <c r="CW857" s="611"/>
      <c r="CX857" s="611"/>
      <c r="CY857" s="611"/>
      <c r="CZ857" s="611"/>
      <c r="DA857" s="214"/>
    </row>
    <row r="858" spans="1:111" s="16" customFormat="1" ht="18.75" hidden="1" customHeight="1" x14ac:dyDescent="0.3">
      <c r="A858" s="648" t="s">
        <v>573</v>
      </c>
      <c r="B858" s="649"/>
      <c r="C858" s="649"/>
      <c r="D858" s="649"/>
      <c r="E858" s="649"/>
      <c r="F858" s="649"/>
      <c r="G858" s="649"/>
      <c r="H858" s="649"/>
      <c r="I858" s="649"/>
      <c r="J858" s="649"/>
      <c r="K858" s="649"/>
      <c r="L858" s="649"/>
      <c r="M858" s="649"/>
      <c r="N858" s="649"/>
      <c r="O858" s="649"/>
      <c r="P858" s="649"/>
      <c r="Q858" s="649"/>
      <c r="R858" s="649"/>
      <c r="S858" s="649"/>
      <c r="T858" s="649"/>
      <c r="U858" s="649"/>
      <c r="V858" s="649"/>
      <c r="W858" s="649"/>
      <c r="X858" s="649"/>
      <c r="Y858" s="649"/>
      <c r="Z858" s="649"/>
      <c r="AA858" s="649"/>
      <c r="AB858" s="649"/>
      <c r="AC858" s="649"/>
      <c r="AD858" s="649"/>
      <c r="AE858" s="649"/>
      <c r="AF858" s="649"/>
      <c r="AG858" s="649"/>
      <c r="AH858" s="649"/>
      <c r="AI858" s="649"/>
      <c r="AJ858" s="649"/>
      <c r="AK858" s="649"/>
      <c r="AL858" s="649"/>
      <c r="AM858" s="649"/>
      <c r="AN858" s="649"/>
      <c r="AO858" s="649"/>
      <c r="AP858" s="649"/>
      <c r="AQ858" s="649"/>
      <c r="AR858" s="649"/>
      <c r="AS858" s="649"/>
      <c r="AT858" s="649"/>
      <c r="AU858" s="649"/>
      <c r="AV858" s="649"/>
      <c r="AW858" s="649"/>
      <c r="AX858" s="649"/>
      <c r="AY858" s="649"/>
      <c r="AZ858" s="649"/>
      <c r="BA858" s="649"/>
      <c r="BB858" s="649"/>
      <c r="BC858" s="649"/>
      <c r="BD858" s="649"/>
      <c r="BE858" s="649"/>
      <c r="BF858" s="649"/>
      <c r="BG858" s="649"/>
      <c r="BH858" s="649"/>
      <c r="BI858" s="649"/>
      <c r="BJ858" s="649"/>
      <c r="BK858" s="649"/>
      <c r="BL858" s="649"/>
      <c r="BM858" s="649"/>
      <c r="BN858" s="649"/>
      <c r="BO858" s="649"/>
      <c r="BP858" s="649"/>
      <c r="BQ858" s="649"/>
      <c r="BR858" s="649"/>
      <c r="BS858" s="649"/>
      <c r="BT858" s="649"/>
      <c r="BU858" s="649"/>
      <c r="BV858" s="649"/>
      <c r="BW858" s="649"/>
      <c r="BX858" s="649"/>
      <c r="BY858" s="649"/>
      <c r="BZ858" s="649"/>
      <c r="CA858" s="649"/>
      <c r="CB858" s="649"/>
      <c r="CC858" s="649"/>
      <c r="CD858" s="649"/>
      <c r="CE858" s="649"/>
      <c r="CF858" s="649"/>
      <c r="CG858" s="649"/>
      <c r="CH858" s="649"/>
      <c r="CI858" s="649"/>
      <c r="CJ858" s="649"/>
      <c r="CK858" s="649"/>
      <c r="CL858" s="649"/>
      <c r="CM858" s="649"/>
      <c r="CN858" s="649"/>
      <c r="CO858" s="649"/>
      <c r="CP858" s="649"/>
      <c r="CQ858" s="649"/>
      <c r="CR858" s="649"/>
      <c r="CS858" s="649"/>
      <c r="CT858" s="649"/>
      <c r="CU858" s="649"/>
      <c r="CV858" s="649"/>
      <c r="CW858" s="649"/>
      <c r="CX858" s="649"/>
      <c r="CY858" s="649"/>
      <c r="CZ858" s="649"/>
      <c r="DA858" s="214"/>
    </row>
    <row r="859" spans="1:111" s="16" customFormat="1" ht="18.75" hidden="1" customHeight="1" x14ac:dyDescent="0.3">
      <c r="A859" s="630" t="s">
        <v>441</v>
      </c>
      <c r="B859" s="631"/>
      <c r="C859" s="631"/>
      <c r="D859" s="631"/>
      <c r="E859" s="631"/>
      <c r="F859" s="631"/>
      <c r="G859" s="632"/>
      <c r="H859" s="584" t="s">
        <v>799</v>
      </c>
      <c r="I859" s="585"/>
      <c r="J859" s="585"/>
      <c r="K859" s="585"/>
      <c r="L859" s="585"/>
      <c r="M859" s="585"/>
      <c r="N859" s="585"/>
      <c r="O859" s="585"/>
      <c r="P859" s="585"/>
      <c r="Q859" s="585"/>
      <c r="R859" s="585"/>
      <c r="S859" s="585"/>
      <c r="T859" s="585"/>
      <c r="U859" s="585"/>
      <c r="V859" s="585"/>
      <c r="W859" s="585"/>
      <c r="X859" s="585"/>
      <c r="Y859" s="585"/>
      <c r="Z859" s="585"/>
      <c r="AA859" s="585"/>
      <c r="AB859" s="585"/>
      <c r="AC859" s="585"/>
      <c r="AD859" s="585"/>
      <c r="AE859" s="585"/>
      <c r="AF859" s="585"/>
      <c r="AG859" s="585"/>
      <c r="AH859" s="585"/>
      <c r="AI859" s="585"/>
      <c r="AJ859" s="585"/>
      <c r="AK859" s="585"/>
      <c r="AL859" s="585"/>
      <c r="AM859" s="585"/>
      <c r="AN859" s="585"/>
      <c r="AO859" s="585"/>
      <c r="AP859" s="585"/>
      <c r="AQ859" s="585"/>
      <c r="AR859" s="585"/>
      <c r="AS859" s="585"/>
      <c r="AT859" s="585"/>
      <c r="AU859" s="584" t="s">
        <v>697</v>
      </c>
      <c r="AV859" s="585"/>
      <c r="AW859" s="585"/>
      <c r="AX859" s="585"/>
      <c r="AY859" s="585"/>
      <c r="AZ859" s="585"/>
      <c r="BA859" s="585"/>
      <c r="BB859" s="585"/>
      <c r="BC859" s="475">
        <f>2800+500+5</f>
        <v>3305</v>
      </c>
      <c r="BD859" s="476"/>
      <c r="BE859" s="476"/>
      <c r="BF859" s="476"/>
      <c r="BG859" s="476"/>
      <c r="BH859" s="476"/>
      <c r="BI859" s="476"/>
      <c r="BJ859" s="476"/>
      <c r="BK859" s="476"/>
      <c r="BL859" s="476"/>
      <c r="BM859" s="476"/>
      <c r="BN859" s="476"/>
      <c r="BO859" s="476"/>
      <c r="BP859" s="476"/>
      <c r="BQ859" s="476"/>
      <c r="BR859" s="477"/>
      <c r="BS859" s="672">
        <f>CI859/BC859</f>
        <v>0</v>
      </c>
      <c r="BT859" s="673"/>
      <c r="BU859" s="673"/>
      <c r="BV859" s="673"/>
      <c r="BW859" s="673"/>
      <c r="BX859" s="673"/>
      <c r="BY859" s="673"/>
      <c r="BZ859" s="673"/>
      <c r="CA859" s="673"/>
      <c r="CB859" s="673"/>
      <c r="CC859" s="673"/>
      <c r="CD859" s="673"/>
      <c r="CE859" s="673"/>
      <c r="CF859" s="673"/>
      <c r="CG859" s="673"/>
      <c r="CH859" s="674"/>
      <c r="CI859" s="660">
        <v>0</v>
      </c>
      <c r="CJ859" s="660"/>
      <c r="CK859" s="660"/>
      <c r="CL859" s="660"/>
      <c r="CM859" s="660"/>
      <c r="CN859" s="660"/>
      <c r="CO859" s="660"/>
      <c r="CP859" s="660"/>
      <c r="CQ859" s="660"/>
      <c r="CR859" s="660"/>
      <c r="CS859" s="660"/>
      <c r="CT859" s="660"/>
      <c r="CU859" s="660"/>
      <c r="CV859" s="660"/>
      <c r="CW859" s="660"/>
      <c r="CX859" s="660"/>
      <c r="CY859" s="660"/>
      <c r="CZ859" s="660"/>
      <c r="DA859" s="214"/>
    </row>
    <row r="860" spans="1:111" s="16" customFormat="1" ht="18.75" hidden="1" customHeight="1" x14ac:dyDescent="0.3">
      <c r="A860" s="553" t="s">
        <v>292</v>
      </c>
      <c r="B860" s="554"/>
      <c r="C860" s="554"/>
      <c r="D860" s="554"/>
      <c r="E860" s="554"/>
      <c r="F860" s="554"/>
      <c r="G860" s="554"/>
      <c r="H860" s="554"/>
      <c r="I860" s="554"/>
      <c r="J860" s="554"/>
      <c r="K860" s="554"/>
      <c r="L860" s="554"/>
      <c r="M860" s="554"/>
      <c r="N860" s="554"/>
      <c r="O860" s="554"/>
      <c r="P860" s="554"/>
      <c r="Q860" s="554"/>
      <c r="R860" s="554"/>
      <c r="S860" s="554"/>
      <c r="T860" s="554"/>
      <c r="U860" s="554"/>
      <c r="V860" s="554"/>
      <c r="W860" s="554"/>
      <c r="X860" s="554"/>
      <c r="Y860" s="554"/>
      <c r="Z860" s="554"/>
      <c r="AA860" s="554"/>
      <c r="AB860" s="554"/>
      <c r="AC860" s="554"/>
      <c r="AD860" s="554"/>
      <c r="AE860" s="554"/>
      <c r="AF860" s="554"/>
      <c r="AG860" s="554"/>
      <c r="AH860" s="554"/>
      <c r="AI860" s="554"/>
      <c r="AJ860" s="554"/>
      <c r="AK860" s="554"/>
      <c r="AL860" s="554"/>
      <c r="AM860" s="554"/>
      <c r="AN860" s="554"/>
      <c r="AO860" s="554"/>
      <c r="AP860" s="554"/>
      <c r="AQ860" s="554"/>
      <c r="AR860" s="554"/>
      <c r="AS860" s="554"/>
      <c r="AT860" s="554"/>
      <c r="AU860" s="554"/>
      <c r="AV860" s="554"/>
      <c r="AW860" s="554"/>
      <c r="AX860" s="554"/>
      <c r="AY860" s="554"/>
      <c r="AZ860" s="554"/>
      <c r="BA860" s="554"/>
      <c r="BB860" s="554"/>
      <c r="BC860" s="554"/>
      <c r="BD860" s="554"/>
      <c r="BE860" s="554"/>
      <c r="BF860" s="554"/>
      <c r="BG860" s="554"/>
      <c r="BH860" s="554"/>
      <c r="BI860" s="554"/>
      <c r="BJ860" s="554"/>
      <c r="BK860" s="554"/>
      <c r="BL860" s="554"/>
      <c r="BM860" s="554"/>
      <c r="BN860" s="554"/>
      <c r="BO860" s="554"/>
      <c r="BP860" s="554"/>
      <c r="BQ860" s="554"/>
      <c r="BR860" s="555"/>
      <c r="BS860" s="582" t="s">
        <v>4</v>
      </c>
      <c r="BT860" s="582"/>
      <c r="BU860" s="582"/>
      <c r="BV860" s="582"/>
      <c r="BW860" s="582"/>
      <c r="BX860" s="582"/>
      <c r="BY860" s="582"/>
      <c r="BZ860" s="582"/>
      <c r="CA860" s="582"/>
      <c r="CB860" s="582"/>
      <c r="CC860" s="582"/>
      <c r="CD860" s="582"/>
      <c r="CE860" s="582"/>
      <c r="CF860" s="582"/>
      <c r="CG860" s="582"/>
      <c r="CH860" s="582"/>
      <c r="CI860" s="611">
        <f>CI859</f>
        <v>0</v>
      </c>
      <c r="CJ860" s="611"/>
      <c r="CK860" s="611"/>
      <c r="CL860" s="611"/>
      <c r="CM860" s="611"/>
      <c r="CN860" s="611"/>
      <c r="CO860" s="611"/>
      <c r="CP860" s="611"/>
      <c r="CQ860" s="611"/>
      <c r="CR860" s="611"/>
      <c r="CS860" s="611"/>
      <c r="CT860" s="611"/>
      <c r="CU860" s="611"/>
      <c r="CV860" s="611"/>
      <c r="CW860" s="611"/>
      <c r="CX860" s="611"/>
      <c r="CY860" s="611"/>
      <c r="CZ860" s="611"/>
      <c r="DA860" s="214"/>
    </row>
    <row r="861" spans="1:111" s="16" customFormat="1" ht="15" customHeight="1" x14ac:dyDescent="0.3">
      <c r="A861" s="553" t="s">
        <v>56</v>
      </c>
      <c r="B861" s="554"/>
      <c r="C861" s="554"/>
      <c r="D861" s="554"/>
      <c r="E861" s="554"/>
      <c r="F861" s="554"/>
      <c r="G861" s="554"/>
      <c r="H861" s="554"/>
      <c r="I861" s="554"/>
      <c r="J861" s="554"/>
      <c r="K861" s="554"/>
      <c r="L861" s="554"/>
      <c r="M861" s="554"/>
      <c r="N861" s="554"/>
      <c r="O861" s="554"/>
      <c r="P861" s="554"/>
      <c r="Q861" s="554"/>
      <c r="R861" s="554"/>
      <c r="S861" s="554"/>
      <c r="T861" s="554"/>
      <c r="U861" s="554"/>
      <c r="V861" s="554"/>
      <c r="W861" s="554"/>
      <c r="X861" s="554"/>
      <c r="Y861" s="554"/>
      <c r="Z861" s="554"/>
      <c r="AA861" s="554"/>
      <c r="AB861" s="554"/>
      <c r="AC861" s="554"/>
      <c r="AD861" s="554"/>
      <c r="AE861" s="554"/>
      <c r="AF861" s="554"/>
      <c r="AG861" s="554"/>
      <c r="AH861" s="554"/>
      <c r="AI861" s="554"/>
      <c r="AJ861" s="554"/>
      <c r="AK861" s="554"/>
      <c r="AL861" s="554"/>
      <c r="AM861" s="554"/>
      <c r="AN861" s="554"/>
      <c r="AO861" s="554"/>
      <c r="AP861" s="554"/>
      <c r="AQ861" s="554"/>
      <c r="AR861" s="554"/>
      <c r="AS861" s="554"/>
      <c r="AT861" s="554"/>
      <c r="AU861" s="554"/>
      <c r="AV861" s="554"/>
      <c r="AW861" s="554"/>
      <c r="AX861" s="554"/>
      <c r="AY861" s="554"/>
      <c r="AZ861" s="554"/>
      <c r="BA861" s="554"/>
      <c r="BB861" s="555"/>
      <c r="BC861" s="582" t="s">
        <v>4</v>
      </c>
      <c r="BD861" s="582"/>
      <c r="BE861" s="582"/>
      <c r="BF861" s="582"/>
      <c r="BG861" s="582"/>
      <c r="BH861" s="582"/>
      <c r="BI861" s="582"/>
      <c r="BJ861" s="582"/>
      <c r="BK861" s="582"/>
      <c r="BL861" s="582"/>
      <c r="BM861" s="582"/>
      <c r="BN861" s="582"/>
      <c r="BO861" s="582"/>
      <c r="BP861" s="582"/>
      <c r="BQ861" s="582"/>
      <c r="BR861" s="582"/>
      <c r="BS861" s="582" t="s">
        <v>4</v>
      </c>
      <c r="BT861" s="582"/>
      <c r="BU861" s="582"/>
      <c r="BV861" s="582"/>
      <c r="BW861" s="582"/>
      <c r="BX861" s="582"/>
      <c r="BY861" s="582"/>
      <c r="BZ861" s="582"/>
      <c r="CA861" s="582"/>
      <c r="CB861" s="582"/>
      <c r="CC861" s="582"/>
      <c r="CD861" s="582"/>
      <c r="CE861" s="582"/>
      <c r="CF861" s="582"/>
      <c r="CG861" s="582"/>
      <c r="CH861" s="582"/>
      <c r="CI861" s="611">
        <f>CI736+CI842+CI857+CI860</f>
        <v>193436.77000000002</v>
      </c>
      <c r="CJ861" s="560"/>
      <c r="CK861" s="560"/>
      <c r="CL861" s="560"/>
      <c r="CM861" s="560"/>
      <c r="CN861" s="560"/>
      <c r="CO861" s="560"/>
      <c r="CP861" s="560"/>
      <c r="CQ861" s="560"/>
      <c r="CR861" s="560"/>
      <c r="CS861" s="560"/>
      <c r="CT861" s="560"/>
      <c r="CU861" s="560"/>
      <c r="CV861" s="560"/>
      <c r="CW861" s="560"/>
      <c r="CX861" s="560"/>
      <c r="CY861" s="560"/>
      <c r="CZ861" s="560"/>
      <c r="DA861" s="220"/>
    </row>
    <row r="862" spans="1:111" s="16" customFormat="1" ht="15" customHeight="1" x14ac:dyDescent="0.3">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c r="BB862" s="222"/>
      <c r="BC862" s="223"/>
      <c r="BD862" s="223"/>
      <c r="BE862" s="223"/>
      <c r="BF862" s="223"/>
      <c r="BG862" s="223"/>
      <c r="BH862" s="223"/>
      <c r="BI862" s="223"/>
      <c r="BJ862" s="223"/>
      <c r="BK862" s="223"/>
      <c r="BL862" s="223"/>
      <c r="BM862" s="223"/>
      <c r="BN862" s="223"/>
      <c r="BO862" s="223"/>
      <c r="BP862" s="223"/>
      <c r="BQ862" s="223"/>
      <c r="BR862" s="223"/>
      <c r="BS862" s="223"/>
      <c r="BT862" s="223"/>
      <c r="BU862" s="223"/>
      <c r="BV862" s="223"/>
      <c r="BW862" s="223"/>
      <c r="BX862" s="223"/>
      <c r="BY862" s="223"/>
      <c r="BZ862" s="223"/>
      <c r="CA862" s="223"/>
      <c r="CB862" s="223"/>
      <c r="CC862" s="223"/>
      <c r="CD862" s="223"/>
      <c r="CE862" s="223"/>
      <c r="CF862" s="223"/>
      <c r="CG862" s="223"/>
      <c r="CH862" s="223"/>
      <c r="CI862" s="223"/>
      <c r="CJ862" s="223"/>
      <c r="CK862" s="223"/>
      <c r="CL862" s="223"/>
      <c r="CM862" s="223"/>
      <c r="CN862" s="223"/>
      <c r="CO862" s="223"/>
      <c r="CP862" s="223"/>
      <c r="CQ862" s="223"/>
      <c r="CR862" s="223"/>
      <c r="CS862" s="223"/>
      <c r="CT862" s="223"/>
      <c r="CU862" s="223"/>
      <c r="CV862" s="223"/>
      <c r="CW862" s="223"/>
      <c r="CX862" s="223"/>
      <c r="CY862" s="223"/>
      <c r="CZ862" s="223"/>
      <c r="DA862" s="237"/>
    </row>
    <row r="863" spans="1:111" s="20" customFormat="1" x14ac:dyDescent="0.25">
      <c r="A863" s="594" t="s">
        <v>363</v>
      </c>
      <c r="B863" s="594"/>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4"/>
      <c r="AL863" s="594"/>
      <c r="AM863" s="594"/>
      <c r="AN863" s="594"/>
      <c r="AO863" s="594"/>
      <c r="AP863" s="594"/>
      <c r="AQ863" s="594"/>
      <c r="AR863" s="594"/>
      <c r="AS863" s="594"/>
      <c r="AT863" s="594"/>
      <c r="AU863" s="594"/>
      <c r="AV863" s="594"/>
      <c r="AW863" s="594"/>
      <c r="AX863" s="594"/>
      <c r="AY863" s="594"/>
      <c r="AZ863" s="594"/>
      <c r="BA863" s="594"/>
      <c r="BB863" s="594"/>
      <c r="BC863" s="594"/>
      <c r="BD863" s="594"/>
      <c r="BE863" s="594"/>
      <c r="BF863" s="594"/>
      <c r="BG863" s="594"/>
      <c r="BH863" s="594"/>
      <c r="BI863" s="594"/>
      <c r="BJ863" s="594"/>
      <c r="BK863" s="594"/>
      <c r="BL863" s="594"/>
      <c r="BM863" s="594"/>
      <c r="BN863" s="594"/>
      <c r="BO863" s="594"/>
      <c r="BP863" s="594"/>
      <c r="BQ863" s="594"/>
      <c r="BR863" s="594"/>
      <c r="BS863" s="594"/>
      <c r="BT863" s="594"/>
      <c r="BU863" s="594"/>
      <c r="BV863" s="594"/>
      <c r="BW863" s="594"/>
      <c r="BX863" s="594"/>
      <c r="BY863" s="594"/>
      <c r="BZ863" s="594"/>
      <c r="CA863" s="594"/>
      <c r="CB863" s="594"/>
      <c r="CC863" s="594"/>
      <c r="CD863" s="594"/>
      <c r="CE863" s="594"/>
      <c r="CF863" s="594"/>
      <c r="CG863" s="594"/>
      <c r="CH863" s="594"/>
      <c r="CI863" s="594"/>
      <c r="CJ863" s="594"/>
      <c r="CK863" s="594"/>
      <c r="CL863" s="594"/>
      <c r="CM863" s="594"/>
      <c r="CN863" s="594"/>
      <c r="CO863" s="594"/>
      <c r="CP863" s="594"/>
      <c r="CQ863" s="594"/>
      <c r="CR863" s="594"/>
      <c r="CS863" s="594"/>
      <c r="CT863" s="594"/>
      <c r="CU863" s="594"/>
      <c r="CV863" s="594"/>
      <c r="CW863" s="594"/>
      <c r="CX863" s="594"/>
      <c r="CY863" s="594"/>
      <c r="CZ863" s="594"/>
    </row>
    <row r="864" spans="1:111" s="20" customFormat="1" x14ac:dyDescent="0.25"/>
    <row r="865" spans="1:106" s="20" customFormat="1" x14ac:dyDescent="0.25">
      <c r="A865" s="20" t="s">
        <v>47</v>
      </c>
      <c r="W865" s="595" t="s">
        <v>587</v>
      </c>
      <c r="X865" s="595"/>
      <c r="Y865" s="595"/>
      <c r="Z865" s="595"/>
      <c r="AA865" s="595"/>
      <c r="AB865" s="595"/>
      <c r="AC865" s="595"/>
      <c r="AD865" s="595"/>
      <c r="AE865" s="595"/>
      <c r="AF865" s="595"/>
      <c r="AG865" s="595"/>
      <c r="AH865" s="595"/>
      <c r="AI865" s="595"/>
      <c r="AJ865" s="595"/>
      <c r="AK865" s="595"/>
      <c r="AL865" s="595"/>
      <c r="AM865" s="595"/>
      <c r="AN865" s="595"/>
      <c r="AO865" s="595"/>
      <c r="AP865" s="595"/>
      <c r="AQ865" s="595"/>
      <c r="AR865" s="595"/>
      <c r="AS865" s="595"/>
      <c r="AT865" s="595"/>
      <c r="AU865" s="595"/>
      <c r="AV865" s="595"/>
      <c r="AW865" s="595"/>
      <c r="AX865" s="595"/>
      <c r="AY865" s="595"/>
      <c r="AZ865" s="595"/>
      <c r="BA865" s="595"/>
      <c r="BB865" s="595"/>
      <c r="BC865" s="595"/>
      <c r="BD865" s="595"/>
      <c r="BE865" s="595"/>
      <c r="BF865" s="595"/>
      <c r="BG865" s="595"/>
      <c r="BH865" s="595"/>
      <c r="BI865" s="595"/>
      <c r="BJ865" s="595"/>
      <c r="BK865" s="595"/>
      <c r="BL865" s="595"/>
      <c r="BM865" s="595"/>
      <c r="BN865" s="595"/>
      <c r="BO865" s="595"/>
      <c r="BP865" s="595"/>
      <c r="BQ865" s="595"/>
      <c r="BR865" s="595"/>
      <c r="BS865" s="595"/>
      <c r="BT865" s="595"/>
      <c r="BU865" s="595"/>
      <c r="BV865" s="595"/>
      <c r="BW865" s="595"/>
      <c r="BX865" s="595"/>
      <c r="BY865" s="595"/>
      <c r="BZ865" s="595"/>
      <c r="CA865" s="595"/>
      <c r="CB865" s="595"/>
      <c r="CC865" s="595"/>
      <c r="CD865" s="595"/>
      <c r="CE865" s="595"/>
      <c r="CF865" s="595"/>
      <c r="CG865" s="595"/>
      <c r="CH865" s="595"/>
      <c r="CI865" s="595"/>
      <c r="CJ865" s="595"/>
      <c r="CK865" s="595"/>
      <c r="CL865" s="595"/>
      <c r="CM865" s="595"/>
      <c r="CN865" s="595"/>
      <c r="CO865" s="595"/>
      <c r="CP865" s="595"/>
      <c r="CQ865" s="595"/>
      <c r="CR865" s="595"/>
      <c r="CS865" s="595"/>
      <c r="CT865" s="595"/>
      <c r="CU865" s="595"/>
      <c r="CV865" s="595"/>
      <c r="CW865" s="595"/>
      <c r="CX865" s="595"/>
      <c r="CY865" s="595"/>
      <c r="CZ865" s="595"/>
      <c r="DA865" s="230">
        <v>227</v>
      </c>
    </row>
    <row r="866" spans="1:106" s="20" customFormat="1" x14ac:dyDescent="0.25"/>
    <row r="867" spans="1:106" ht="30" customHeight="1" x14ac:dyDescent="0.25">
      <c r="A867" s="475" t="s">
        <v>49</v>
      </c>
      <c r="B867" s="476"/>
      <c r="C867" s="476"/>
      <c r="D867" s="476"/>
      <c r="E867" s="476"/>
      <c r="F867" s="476"/>
      <c r="G867" s="477"/>
      <c r="H867" s="475" t="s">
        <v>78</v>
      </c>
      <c r="I867" s="476"/>
      <c r="J867" s="476"/>
      <c r="K867" s="476"/>
      <c r="L867" s="476"/>
      <c r="M867" s="476"/>
      <c r="N867" s="476"/>
      <c r="O867" s="476"/>
      <c r="P867" s="476"/>
      <c r="Q867" s="476"/>
      <c r="R867" s="476"/>
      <c r="S867" s="476"/>
      <c r="T867" s="476"/>
      <c r="U867" s="476"/>
      <c r="V867" s="476"/>
      <c r="W867" s="476"/>
      <c r="X867" s="476"/>
      <c r="Y867" s="476"/>
      <c r="Z867" s="476"/>
      <c r="AA867" s="476"/>
      <c r="AB867" s="476"/>
      <c r="AC867" s="476"/>
      <c r="AD867" s="476"/>
      <c r="AE867" s="476"/>
      <c r="AF867" s="476"/>
      <c r="AG867" s="476"/>
      <c r="AH867" s="476"/>
      <c r="AI867" s="476"/>
      <c r="AJ867" s="476"/>
      <c r="AK867" s="476"/>
      <c r="AL867" s="476"/>
      <c r="AM867" s="476"/>
      <c r="AN867" s="476"/>
      <c r="AO867" s="476"/>
      <c r="AP867" s="476"/>
      <c r="AQ867" s="476"/>
      <c r="AR867" s="476"/>
      <c r="AS867" s="476"/>
      <c r="AT867" s="476"/>
      <c r="AU867" s="476"/>
      <c r="AV867" s="476"/>
      <c r="AW867" s="476"/>
      <c r="AX867" s="476"/>
      <c r="AY867" s="476"/>
      <c r="AZ867" s="476"/>
      <c r="BA867" s="476"/>
      <c r="BB867" s="476"/>
      <c r="BC867" s="476"/>
      <c r="BD867" s="476"/>
      <c r="BE867" s="476"/>
      <c r="BF867" s="476"/>
      <c r="BG867" s="476"/>
      <c r="BH867" s="476"/>
      <c r="BI867" s="476"/>
      <c r="BJ867" s="476"/>
      <c r="BK867" s="476"/>
      <c r="BL867" s="476"/>
      <c r="BM867" s="476"/>
      <c r="BN867" s="476"/>
      <c r="BO867" s="476"/>
      <c r="BP867" s="476"/>
      <c r="BQ867" s="476"/>
      <c r="BR867" s="477"/>
      <c r="BS867" s="606" t="s">
        <v>291</v>
      </c>
      <c r="BT867" s="606"/>
      <c r="BU867" s="606"/>
      <c r="BV867" s="606"/>
      <c r="BW867" s="606"/>
      <c r="BX867" s="606"/>
      <c r="BY867" s="606"/>
      <c r="BZ867" s="606"/>
      <c r="CA867" s="606"/>
      <c r="CB867" s="606"/>
      <c r="CC867" s="606"/>
      <c r="CD867" s="606"/>
      <c r="CE867" s="606"/>
      <c r="CF867" s="606"/>
      <c r="CG867" s="606"/>
      <c r="CH867" s="606"/>
      <c r="CI867" s="606" t="s">
        <v>99</v>
      </c>
      <c r="CJ867" s="606"/>
      <c r="CK867" s="606"/>
      <c r="CL867" s="606"/>
      <c r="CM867" s="606"/>
      <c r="CN867" s="606"/>
      <c r="CO867" s="606"/>
      <c r="CP867" s="606"/>
      <c r="CQ867" s="606"/>
      <c r="CR867" s="606"/>
      <c r="CS867" s="606"/>
      <c r="CT867" s="606"/>
      <c r="CU867" s="606"/>
      <c r="CV867" s="606"/>
      <c r="CW867" s="606"/>
      <c r="CX867" s="606"/>
      <c r="CY867" s="606"/>
      <c r="CZ867" s="606"/>
    </row>
    <row r="868" spans="1:106" s="17" customFormat="1" ht="13.2" x14ac:dyDescent="0.25">
      <c r="A868" s="591">
        <v>1</v>
      </c>
      <c r="B868" s="591"/>
      <c r="C868" s="591"/>
      <c r="D868" s="591"/>
      <c r="E868" s="591"/>
      <c r="F868" s="591"/>
      <c r="G868" s="591"/>
      <c r="H868" s="591">
        <v>2</v>
      </c>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1"/>
      <c r="AL868" s="591"/>
      <c r="AM868" s="591"/>
      <c r="AN868" s="591"/>
      <c r="AO868" s="591"/>
      <c r="AP868" s="591"/>
      <c r="AQ868" s="591"/>
      <c r="AR868" s="591"/>
      <c r="AS868" s="591"/>
      <c r="AT868" s="591"/>
      <c r="AU868" s="591"/>
      <c r="AV868" s="591"/>
      <c r="AW868" s="591"/>
      <c r="AX868" s="591"/>
      <c r="AY868" s="591"/>
      <c r="AZ868" s="591"/>
      <c r="BA868" s="591"/>
      <c r="BB868" s="591"/>
      <c r="BC868" s="591"/>
      <c r="BD868" s="591"/>
      <c r="BE868" s="591"/>
      <c r="BF868" s="591"/>
      <c r="BG868" s="591"/>
      <c r="BH868" s="591"/>
      <c r="BI868" s="591"/>
      <c r="BJ868" s="591"/>
      <c r="BK868" s="591"/>
      <c r="BL868" s="591"/>
      <c r="BM868" s="591"/>
      <c r="BN868" s="591"/>
      <c r="BO868" s="591"/>
      <c r="BP868" s="591"/>
      <c r="BQ868" s="591"/>
      <c r="BR868" s="591"/>
      <c r="BS868" s="591">
        <v>3</v>
      </c>
      <c r="BT868" s="591"/>
      <c r="BU868" s="591"/>
      <c r="BV868" s="591"/>
      <c r="BW868" s="591"/>
      <c r="BX868" s="591"/>
      <c r="BY868" s="591"/>
      <c r="BZ868" s="591"/>
      <c r="CA868" s="591"/>
      <c r="CB868" s="591"/>
      <c r="CC868" s="591"/>
      <c r="CD868" s="591"/>
      <c r="CE868" s="591"/>
      <c r="CF868" s="591"/>
      <c r="CG868" s="591"/>
      <c r="CH868" s="591"/>
      <c r="CI868" s="591">
        <v>4</v>
      </c>
      <c r="CJ868" s="591"/>
      <c r="CK868" s="591"/>
      <c r="CL868" s="591"/>
      <c r="CM868" s="591"/>
      <c r="CN868" s="591"/>
      <c r="CO868" s="591"/>
      <c r="CP868" s="591"/>
      <c r="CQ868" s="591"/>
      <c r="CR868" s="591"/>
      <c r="CS868" s="591"/>
      <c r="CT868" s="591"/>
      <c r="CU868" s="591"/>
      <c r="CV868" s="591"/>
      <c r="CW868" s="591"/>
      <c r="CX868" s="591"/>
      <c r="CY868" s="591"/>
      <c r="CZ868" s="591"/>
      <c r="DA868" s="232"/>
    </row>
    <row r="869" spans="1:106" ht="15" customHeight="1" x14ac:dyDescent="0.25">
      <c r="A869" s="656" t="s">
        <v>537</v>
      </c>
      <c r="B869" s="657"/>
      <c r="C869" s="657"/>
      <c r="D869" s="657"/>
      <c r="E869" s="657"/>
      <c r="F869" s="657"/>
      <c r="G869" s="657"/>
      <c r="H869" s="657"/>
      <c r="I869" s="657"/>
      <c r="J869" s="657"/>
      <c r="K869" s="657"/>
      <c r="L869" s="657"/>
      <c r="M869" s="657"/>
      <c r="N869" s="657"/>
      <c r="O869" s="657"/>
      <c r="P869" s="657"/>
      <c r="Q869" s="657"/>
      <c r="R869" s="657"/>
      <c r="S869" s="657"/>
      <c r="T869" s="657"/>
      <c r="U869" s="657"/>
      <c r="V869" s="657"/>
      <c r="W869" s="657"/>
      <c r="X869" s="657"/>
      <c r="Y869" s="657"/>
      <c r="Z869" s="657"/>
      <c r="AA869" s="657"/>
      <c r="AB869" s="657"/>
      <c r="AC869" s="657"/>
      <c r="AD869" s="657"/>
      <c r="AE869" s="657"/>
      <c r="AF869" s="657"/>
      <c r="AG869" s="657"/>
      <c r="AH869" s="657"/>
      <c r="AI869" s="657"/>
      <c r="AJ869" s="657"/>
      <c r="AK869" s="657"/>
      <c r="AL869" s="657"/>
      <c r="AM869" s="657"/>
      <c r="AN869" s="657"/>
      <c r="AO869" s="657"/>
      <c r="AP869" s="657"/>
      <c r="AQ869" s="657"/>
      <c r="AR869" s="657"/>
      <c r="AS869" s="657"/>
      <c r="AT869" s="657"/>
      <c r="AU869" s="657"/>
      <c r="AV869" s="657"/>
      <c r="AW869" s="657"/>
      <c r="AX869" s="657"/>
      <c r="AY869" s="657"/>
      <c r="AZ869" s="657"/>
      <c r="BA869" s="657"/>
      <c r="BB869" s="657"/>
      <c r="BC869" s="657"/>
      <c r="BD869" s="657"/>
      <c r="BE869" s="657"/>
      <c r="BF869" s="657"/>
      <c r="BG869" s="657"/>
      <c r="BH869" s="657"/>
      <c r="BI869" s="657"/>
      <c r="BJ869" s="657"/>
      <c r="BK869" s="657"/>
      <c r="BL869" s="657"/>
      <c r="BM869" s="657"/>
      <c r="BN869" s="657"/>
      <c r="BO869" s="657"/>
      <c r="BP869" s="657"/>
      <c r="BQ869" s="657"/>
      <c r="BR869" s="657"/>
      <c r="BS869" s="657"/>
      <c r="BT869" s="657"/>
      <c r="BU869" s="657"/>
      <c r="BV869" s="657"/>
      <c r="BW869" s="657"/>
      <c r="BX869" s="657"/>
      <c r="BY869" s="657"/>
      <c r="BZ869" s="657"/>
      <c r="CA869" s="657"/>
      <c r="CB869" s="657"/>
      <c r="CC869" s="657"/>
      <c r="CD869" s="657"/>
      <c r="CE869" s="657"/>
      <c r="CF869" s="657"/>
      <c r="CG869" s="657"/>
      <c r="CH869" s="657"/>
      <c r="CI869" s="657"/>
      <c r="CJ869" s="657"/>
      <c r="CK869" s="657"/>
      <c r="CL869" s="657"/>
      <c r="CM869" s="657"/>
      <c r="CN869" s="657"/>
      <c r="CO869" s="657"/>
      <c r="CP869" s="657"/>
      <c r="CQ869" s="657"/>
      <c r="CR869" s="657"/>
      <c r="CS869" s="657"/>
      <c r="CT869" s="657"/>
      <c r="CU869" s="657"/>
      <c r="CV869" s="657"/>
      <c r="CW869" s="657"/>
      <c r="CX869" s="657"/>
      <c r="CY869" s="657"/>
      <c r="CZ869" s="658"/>
    </row>
    <row r="870" spans="1:106" ht="15" customHeight="1" x14ac:dyDescent="0.25">
      <c r="A870" s="659" t="s">
        <v>441</v>
      </c>
      <c r="B870" s="659"/>
      <c r="C870" s="659"/>
      <c r="D870" s="659"/>
      <c r="E870" s="659"/>
      <c r="F870" s="659"/>
      <c r="G870" s="659"/>
      <c r="H870" s="584" t="s">
        <v>803</v>
      </c>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5"/>
      <c r="AL870" s="585"/>
      <c r="AM870" s="585"/>
      <c r="AN870" s="585"/>
      <c r="AO870" s="585"/>
      <c r="AP870" s="585"/>
      <c r="AQ870" s="585"/>
      <c r="AR870" s="585"/>
      <c r="AS870" s="585"/>
      <c r="AT870" s="585"/>
      <c r="AU870" s="585"/>
      <c r="AV870" s="585"/>
      <c r="AW870" s="585"/>
      <c r="AX870" s="585"/>
      <c r="AY870" s="585"/>
      <c r="AZ870" s="585"/>
      <c r="BA870" s="585"/>
      <c r="BB870" s="585"/>
      <c r="BC870" s="585"/>
      <c r="BD870" s="585"/>
      <c r="BE870" s="585"/>
      <c r="BF870" s="585"/>
      <c r="BG870" s="585"/>
      <c r="BH870" s="585"/>
      <c r="BI870" s="585"/>
      <c r="BJ870" s="585"/>
      <c r="BK870" s="585"/>
      <c r="BL870" s="585"/>
      <c r="BM870" s="585"/>
      <c r="BN870" s="585"/>
      <c r="BO870" s="585"/>
      <c r="BP870" s="585"/>
      <c r="BQ870" s="585"/>
      <c r="BR870" s="586"/>
      <c r="BS870" s="582">
        <v>3</v>
      </c>
      <c r="BT870" s="582"/>
      <c r="BU870" s="582"/>
      <c r="BV870" s="582"/>
      <c r="BW870" s="582"/>
      <c r="BX870" s="582"/>
      <c r="BY870" s="582"/>
      <c r="BZ870" s="582"/>
      <c r="CA870" s="582"/>
      <c r="CB870" s="582"/>
      <c r="CC870" s="582"/>
      <c r="CD870" s="582"/>
      <c r="CE870" s="582"/>
      <c r="CF870" s="582"/>
      <c r="CG870" s="582"/>
      <c r="CH870" s="582"/>
      <c r="CI870" s="664">
        <v>25000</v>
      </c>
      <c r="CJ870" s="664"/>
      <c r="CK870" s="664"/>
      <c r="CL870" s="664"/>
      <c r="CM870" s="664"/>
      <c r="CN870" s="664"/>
      <c r="CO870" s="664"/>
      <c r="CP870" s="664"/>
      <c r="CQ870" s="664"/>
      <c r="CR870" s="664"/>
      <c r="CS870" s="664"/>
      <c r="CT870" s="664"/>
      <c r="CU870" s="664"/>
      <c r="CV870" s="664"/>
      <c r="CW870" s="664"/>
      <c r="CX870" s="664"/>
      <c r="CY870" s="664"/>
      <c r="CZ870" s="664"/>
    </row>
    <row r="871" spans="1:106" ht="15" customHeight="1" x14ac:dyDescent="0.25">
      <c r="A871" s="553" t="s">
        <v>292</v>
      </c>
      <c r="B871" s="554"/>
      <c r="C871" s="554"/>
      <c r="D871" s="554"/>
      <c r="E871" s="554"/>
      <c r="F871" s="554"/>
      <c r="G871" s="554"/>
      <c r="H871" s="554"/>
      <c r="I871" s="554"/>
      <c r="J871" s="554"/>
      <c r="K871" s="554"/>
      <c r="L871" s="554"/>
      <c r="M871" s="554"/>
      <c r="N871" s="554"/>
      <c r="O871" s="554"/>
      <c r="P871" s="554"/>
      <c r="Q871" s="554"/>
      <c r="R871" s="554"/>
      <c r="S871" s="554"/>
      <c r="T871" s="554"/>
      <c r="U871" s="554"/>
      <c r="V871" s="554"/>
      <c r="W871" s="554"/>
      <c r="X871" s="554"/>
      <c r="Y871" s="554"/>
      <c r="Z871" s="554"/>
      <c r="AA871" s="554"/>
      <c r="AB871" s="554"/>
      <c r="AC871" s="554"/>
      <c r="AD871" s="554"/>
      <c r="AE871" s="554"/>
      <c r="AF871" s="554"/>
      <c r="AG871" s="554"/>
      <c r="AH871" s="554"/>
      <c r="AI871" s="554"/>
      <c r="AJ871" s="554"/>
      <c r="AK871" s="554"/>
      <c r="AL871" s="554"/>
      <c r="AM871" s="554"/>
      <c r="AN871" s="554"/>
      <c r="AO871" s="554"/>
      <c r="AP871" s="554"/>
      <c r="AQ871" s="554"/>
      <c r="AR871" s="554"/>
      <c r="AS871" s="554"/>
      <c r="AT871" s="554"/>
      <c r="AU871" s="554"/>
      <c r="AV871" s="554"/>
      <c r="AW871" s="554"/>
      <c r="AX871" s="554"/>
      <c r="AY871" s="554"/>
      <c r="AZ871" s="554"/>
      <c r="BA871" s="554"/>
      <c r="BB871" s="554"/>
      <c r="BC871" s="554"/>
      <c r="BD871" s="554"/>
      <c r="BE871" s="554"/>
      <c r="BF871" s="554"/>
      <c r="BG871" s="554"/>
      <c r="BH871" s="554"/>
      <c r="BI871" s="554"/>
      <c r="BJ871" s="554"/>
      <c r="BK871" s="554"/>
      <c r="BL871" s="554"/>
      <c r="BM871" s="554"/>
      <c r="BN871" s="554"/>
      <c r="BO871" s="554"/>
      <c r="BP871" s="554"/>
      <c r="BQ871" s="554"/>
      <c r="BR871" s="555"/>
      <c r="BS871" s="582" t="s">
        <v>4</v>
      </c>
      <c r="BT871" s="582"/>
      <c r="BU871" s="582"/>
      <c r="BV871" s="582"/>
      <c r="BW871" s="582"/>
      <c r="BX871" s="582"/>
      <c r="BY871" s="582"/>
      <c r="BZ871" s="582"/>
      <c r="CA871" s="582"/>
      <c r="CB871" s="582"/>
      <c r="CC871" s="582"/>
      <c r="CD871" s="582"/>
      <c r="CE871" s="582"/>
      <c r="CF871" s="582"/>
      <c r="CG871" s="582"/>
      <c r="CH871" s="582"/>
      <c r="CI871" s="611">
        <f>CI870</f>
        <v>25000</v>
      </c>
      <c r="CJ871" s="560"/>
      <c r="CK871" s="560"/>
      <c r="CL871" s="560"/>
      <c r="CM871" s="560"/>
      <c r="CN871" s="560"/>
      <c r="CO871" s="560"/>
      <c r="CP871" s="560"/>
      <c r="CQ871" s="560"/>
      <c r="CR871" s="560"/>
      <c r="CS871" s="560"/>
      <c r="CT871" s="560"/>
      <c r="CU871" s="560"/>
      <c r="CV871" s="560"/>
      <c r="CW871" s="560"/>
      <c r="CX871" s="560"/>
      <c r="CY871" s="560"/>
      <c r="CZ871" s="560"/>
    </row>
    <row r="872" spans="1:106" ht="15" hidden="1" customHeight="1" x14ac:dyDescent="0.25">
      <c r="A872" s="643" t="s">
        <v>634</v>
      </c>
      <c r="B872" s="643"/>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43"/>
      <c r="AL872" s="643"/>
      <c r="AM872" s="643"/>
      <c r="AN872" s="643"/>
      <c r="AO872" s="643"/>
      <c r="AP872" s="643"/>
      <c r="AQ872" s="643"/>
      <c r="AR872" s="643"/>
      <c r="AS872" s="643"/>
      <c r="AT872" s="643"/>
      <c r="AU872" s="643"/>
      <c r="AV872" s="643"/>
      <c r="AW872" s="643"/>
      <c r="AX872" s="643"/>
      <c r="AY872" s="643"/>
      <c r="AZ872" s="643"/>
      <c r="BA872" s="643"/>
      <c r="BB872" s="643"/>
      <c r="BC872" s="643"/>
      <c r="BD872" s="643"/>
      <c r="BE872" s="643"/>
      <c r="BF872" s="643"/>
      <c r="BG872" s="643"/>
      <c r="BH872" s="643"/>
      <c r="BI872" s="643"/>
      <c r="BJ872" s="643"/>
      <c r="BK872" s="643"/>
      <c r="BL872" s="643"/>
      <c r="BM872" s="643"/>
      <c r="BN872" s="643"/>
      <c r="BO872" s="643"/>
      <c r="BP872" s="643"/>
      <c r="BQ872" s="643"/>
      <c r="BR872" s="643"/>
      <c r="BS872" s="643"/>
      <c r="BT872" s="643"/>
      <c r="BU872" s="643"/>
      <c r="BV872" s="643"/>
      <c r="BW872" s="643"/>
      <c r="BX872" s="643"/>
      <c r="BY872" s="643"/>
      <c r="BZ872" s="643"/>
      <c r="CA872" s="643"/>
      <c r="CB872" s="643"/>
      <c r="CC872" s="643"/>
      <c r="CD872" s="643"/>
      <c r="CE872" s="643"/>
      <c r="CF872" s="643"/>
      <c r="CG872" s="643"/>
      <c r="CH872" s="643"/>
      <c r="CI872" s="643"/>
      <c r="CJ872" s="643"/>
      <c r="CK872" s="643"/>
      <c r="CL872" s="643"/>
      <c r="CM872" s="643"/>
      <c r="CN872" s="643"/>
      <c r="CO872" s="643"/>
      <c r="CP872" s="643"/>
      <c r="CQ872" s="643"/>
      <c r="CR872" s="643"/>
      <c r="CS872" s="643"/>
      <c r="CT872" s="643"/>
      <c r="CU872" s="643"/>
      <c r="CV872" s="643"/>
      <c r="CW872" s="643"/>
      <c r="CX872" s="643"/>
      <c r="CY872" s="643"/>
      <c r="CZ872" s="643"/>
    </row>
    <row r="873" spans="1:106" ht="15" hidden="1" customHeight="1" x14ac:dyDescent="0.25">
      <c r="A873" s="659" t="s">
        <v>441</v>
      </c>
      <c r="B873" s="659"/>
      <c r="C873" s="659"/>
      <c r="D873" s="659"/>
      <c r="E873" s="659"/>
      <c r="F873" s="659"/>
      <c r="G873" s="659"/>
      <c r="H873" s="584" t="s">
        <v>803</v>
      </c>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5"/>
      <c r="AL873" s="585"/>
      <c r="AM873" s="585"/>
      <c r="AN873" s="585"/>
      <c r="AO873" s="585"/>
      <c r="AP873" s="585"/>
      <c r="AQ873" s="585"/>
      <c r="AR873" s="585"/>
      <c r="AS873" s="585"/>
      <c r="AT873" s="585"/>
      <c r="AU873" s="585"/>
      <c r="AV873" s="585"/>
      <c r="AW873" s="585"/>
      <c r="AX873" s="585"/>
      <c r="AY873" s="585"/>
      <c r="AZ873" s="585"/>
      <c r="BA873" s="585"/>
      <c r="BB873" s="585"/>
      <c r="BC873" s="585"/>
      <c r="BD873" s="585"/>
      <c r="BE873" s="585"/>
      <c r="BF873" s="585"/>
      <c r="BG873" s="585"/>
      <c r="BH873" s="585"/>
      <c r="BI873" s="585"/>
      <c r="BJ873" s="585"/>
      <c r="BK873" s="585"/>
      <c r="BL873" s="585"/>
      <c r="BM873" s="585"/>
      <c r="BN873" s="585"/>
      <c r="BO873" s="585"/>
      <c r="BP873" s="585"/>
      <c r="BQ873" s="585"/>
      <c r="BR873" s="586"/>
      <c r="BS873" s="582"/>
      <c r="BT873" s="582"/>
      <c r="BU873" s="582"/>
      <c r="BV873" s="582"/>
      <c r="BW873" s="582"/>
      <c r="BX873" s="582"/>
      <c r="BY873" s="582"/>
      <c r="BZ873" s="582"/>
      <c r="CA873" s="582"/>
      <c r="CB873" s="582"/>
      <c r="CC873" s="582"/>
      <c r="CD873" s="582"/>
      <c r="CE873" s="582"/>
      <c r="CF873" s="582"/>
      <c r="CG873" s="582"/>
      <c r="CH873" s="582"/>
      <c r="CI873" s="664"/>
      <c r="CJ873" s="664"/>
      <c r="CK873" s="664"/>
      <c r="CL873" s="664"/>
      <c r="CM873" s="664"/>
      <c r="CN873" s="664"/>
      <c r="CO873" s="664"/>
      <c r="CP873" s="664"/>
      <c r="CQ873" s="664"/>
      <c r="CR873" s="664"/>
      <c r="CS873" s="664"/>
      <c r="CT873" s="664"/>
      <c r="CU873" s="664"/>
      <c r="CV873" s="664"/>
      <c r="CW873" s="664"/>
      <c r="CX873" s="664"/>
      <c r="CY873" s="664"/>
      <c r="CZ873" s="664"/>
    </row>
    <row r="874" spans="1:106" ht="15" hidden="1" customHeight="1" x14ac:dyDescent="0.25">
      <c r="A874" s="553" t="s">
        <v>292</v>
      </c>
      <c r="B874" s="554"/>
      <c r="C874" s="554"/>
      <c r="D874" s="554"/>
      <c r="E874" s="554"/>
      <c r="F874" s="554"/>
      <c r="G874" s="554"/>
      <c r="H874" s="554"/>
      <c r="I874" s="554"/>
      <c r="J874" s="554"/>
      <c r="K874" s="554"/>
      <c r="L874" s="554"/>
      <c r="M874" s="554"/>
      <c r="N874" s="554"/>
      <c r="O874" s="554"/>
      <c r="P874" s="554"/>
      <c r="Q874" s="554"/>
      <c r="R874" s="554"/>
      <c r="S874" s="554"/>
      <c r="T874" s="554"/>
      <c r="U874" s="554"/>
      <c r="V874" s="554"/>
      <c r="W874" s="554"/>
      <c r="X874" s="554"/>
      <c r="Y874" s="554"/>
      <c r="Z874" s="554"/>
      <c r="AA874" s="554"/>
      <c r="AB874" s="554"/>
      <c r="AC874" s="554"/>
      <c r="AD874" s="554"/>
      <c r="AE874" s="554"/>
      <c r="AF874" s="554"/>
      <c r="AG874" s="554"/>
      <c r="AH874" s="554"/>
      <c r="AI874" s="554"/>
      <c r="AJ874" s="554"/>
      <c r="AK874" s="554"/>
      <c r="AL874" s="554"/>
      <c r="AM874" s="554"/>
      <c r="AN874" s="554"/>
      <c r="AO874" s="554"/>
      <c r="AP874" s="554"/>
      <c r="AQ874" s="554"/>
      <c r="AR874" s="554"/>
      <c r="AS874" s="554"/>
      <c r="AT874" s="554"/>
      <c r="AU874" s="554"/>
      <c r="AV874" s="554"/>
      <c r="AW874" s="554"/>
      <c r="AX874" s="554"/>
      <c r="AY874" s="554"/>
      <c r="AZ874" s="554"/>
      <c r="BA874" s="554"/>
      <c r="BB874" s="554"/>
      <c r="BC874" s="554"/>
      <c r="BD874" s="554"/>
      <c r="BE874" s="554"/>
      <c r="BF874" s="554"/>
      <c r="BG874" s="554"/>
      <c r="BH874" s="554"/>
      <c r="BI874" s="554"/>
      <c r="BJ874" s="554"/>
      <c r="BK874" s="554"/>
      <c r="BL874" s="554"/>
      <c r="BM874" s="554"/>
      <c r="BN874" s="554"/>
      <c r="BO874" s="554"/>
      <c r="BP874" s="554"/>
      <c r="BQ874" s="554"/>
      <c r="BR874" s="555"/>
      <c r="BS874" s="582" t="s">
        <v>4</v>
      </c>
      <c r="BT874" s="582"/>
      <c r="BU874" s="582"/>
      <c r="BV874" s="582"/>
      <c r="BW874" s="582"/>
      <c r="BX874" s="582"/>
      <c r="BY874" s="582"/>
      <c r="BZ874" s="582"/>
      <c r="CA874" s="582"/>
      <c r="CB874" s="582"/>
      <c r="CC874" s="582"/>
      <c r="CD874" s="582"/>
      <c r="CE874" s="582"/>
      <c r="CF874" s="582"/>
      <c r="CG874" s="582"/>
      <c r="CH874" s="582"/>
      <c r="CI874" s="611">
        <f>CI873</f>
        <v>0</v>
      </c>
      <c r="CJ874" s="560"/>
      <c r="CK874" s="560"/>
      <c r="CL874" s="560"/>
      <c r="CM874" s="560"/>
      <c r="CN874" s="560"/>
      <c r="CO874" s="560"/>
      <c r="CP874" s="560"/>
      <c r="CQ874" s="560"/>
      <c r="CR874" s="560"/>
      <c r="CS874" s="560"/>
      <c r="CT874" s="560"/>
      <c r="CU874" s="560"/>
      <c r="CV874" s="560"/>
      <c r="CW874" s="560"/>
      <c r="CX874" s="560"/>
      <c r="CY874" s="560"/>
      <c r="CZ874" s="560"/>
    </row>
    <row r="875" spans="1:106" ht="15" hidden="1" customHeight="1" x14ac:dyDescent="0.25">
      <c r="A875" s="656" t="s">
        <v>804</v>
      </c>
      <c r="B875" s="657"/>
      <c r="C875" s="657"/>
      <c r="D875" s="657"/>
      <c r="E875" s="657"/>
      <c r="F875" s="657"/>
      <c r="G875" s="657"/>
      <c r="H875" s="657"/>
      <c r="I875" s="657"/>
      <c r="J875" s="657"/>
      <c r="K875" s="657"/>
      <c r="L875" s="657"/>
      <c r="M875" s="657"/>
      <c r="N875" s="657"/>
      <c r="O875" s="657"/>
      <c r="P875" s="657"/>
      <c r="Q875" s="657"/>
      <c r="R875" s="657"/>
      <c r="S875" s="657"/>
      <c r="T875" s="657"/>
      <c r="U875" s="657"/>
      <c r="V875" s="657"/>
      <c r="W875" s="657"/>
      <c r="X875" s="657"/>
      <c r="Y875" s="657"/>
      <c r="Z875" s="657"/>
      <c r="AA875" s="657"/>
      <c r="AB875" s="657"/>
      <c r="AC875" s="657"/>
      <c r="AD875" s="657"/>
      <c r="AE875" s="657"/>
      <c r="AF875" s="657"/>
      <c r="AG875" s="657"/>
      <c r="AH875" s="657"/>
      <c r="AI875" s="657"/>
      <c r="AJ875" s="657"/>
      <c r="AK875" s="657"/>
      <c r="AL875" s="657"/>
      <c r="AM875" s="657"/>
      <c r="AN875" s="657"/>
      <c r="AO875" s="657"/>
      <c r="AP875" s="657"/>
      <c r="AQ875" s="657"/>
      <c r="AR875" s="657"/>
      <c r="AS875" s="657"/>
      <c r="AT875" s="657"/>
      <c r="AU875" s="657"/>
      <c r="AV875" s="657"/>
      <c r="AW875" s="657"/>
      <c r="AX875" s="657"/>
      <c r="AY875" s="657"/>
      <c r="AZ875" s="657"/>
      <c r="BA875" s="657"/>
      <c r="BB875" s="657"/>
      <c r="BC875" s="657"/>
      <c r="BD875" s="657"/>
      <c r="BE875" s="657"/>
      <c r="BF875" s="657"/>
      <c r="BG875" s="657"/>
      <c r="BH875" s="657"/>
      <c r="BI875" s="657"/>
      <c r="BJ875" s="657"/>
      <c r="BK875" s="657"/>
      <c r="BL875" s="657"/>
      <c r="BM875" s="657"/>
      <c r="BN875" s="657"/>
      <c r="BO875" s="657"/>
      <c r="BP875" s="657"/>
      <c r="BQ875" s="657"/>
      <c r="BR875" s="657"/>
      <c r="BS875" s="657"/>
      <c r="BT875" s="657"/>
      <c r="BU875" s="657"/>
      <c r="BV875" s="657"/>
      <c r="BW875" s="657"/>
      <c r="BX875" s="657"/>
      <c r="BY875" s="657"/>
      <c r="BZ875" s="657"/>
      <c r="CA875" s="657"/>
      <c r="CB875" s="657"/>
      <c r="CC875" s="657"/>
      <c r="CD875" s="657"/>
      <c r="CE875" s="657"/>
      <c r="CF875" s="657"/>
      <c r="CG875" s="657"/>
      <c r="CH875" s="657"/>
      <c r="CI875" s="657"/>
      <c r="CJ875" s="657"/>
      <c r="CK875" s="657"/>
      <c r="CL875" s="657"/>
      <c r="CM875" s="657"/>
      <c r="CN875" s="657"/>
      <c r="CO875" s="657"/>
      <c r="CP875" s="657"/>
      <c r="CQ875" s="657"/>
      <c r="CR875" s="657"/>
      <c r="CS875" s="657"/>
      <c r="CT875" s="657"/>
      <c r="CU875" s="657"/>
      <c r="CV875" s="657"/>
      <c r="CW875" s="657"/>
      <c r="CX875" s="657"/>
      <c r="CY875" s="657"/>
      <c r="CZ875" s="658"/>
    </row>
    <row r="876" spans="1:106" ht="17.25" hidden="1" customHeight="1" x14ac:dyDescent="0.25">
      <c r="A876" s="659" t="s">
        <v>441</v>
      </c>
      <c r="B876" s="659"/>
      <c r="C876" s="659"/>
      <c r="D876" s="659"/>
      <c r="E876" s="659"/>
      <c r="F876" s="659"/>
      <c r="G876" s="659"/>
      <c r="H876" s="584" t="s">
        <v>805</v>
      </c>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5"/>
      <c r="AL876" s="585"/>
      <c r="AM876" s="585"/>
      <c r="AN876" s="585"/>
      <c r="AO876" s="585"/>
      <c r="AP876" s="585"/>
      <c r="AQ876" s="585"/>
      <c r="AR876" s="585"/>
      <c r="AS876" s="585"/>
      <c r="AT876" s="585"/>
      <c r="AU876" s="585"/>
      <c r="AV876" s="585"/>
      <c r="AW876" s="585"/>
      <c r="AX876" s="585"/>
      <c r="AY876" s="585"/>
      <c r="AZ876" s="585"/>
      <c r="BA876" s="585"/>
      <c r="BB876" s="585"/>
      <c r="BC876" s="585"/>
      <c r="BD876" s="585"/>
      <c r="BE876" s="585"/>
      <c r="BF876" s="585"/>
      <c r="BG876" s="585"/>
      <c r="BH876" s="585"/>
      <c r="BI876" s="585"/>
      <c r="BJ876" s="585"/>
      <c r="BK876" s="585"/>
      <c r="BL876" s="585"/>
      <c r="BM876" s="585"/>
      <c r="BN876" s="585"/>
      <c r="BO876" s="585"/>
      <c r="BP876" s="585"/>
      <c r="BQ876" s="585"/>
      <c r="BR876" s="586"/>
      <c r="BS876" s="582">
        <v>1</v>
      </c>
      <c r="BT876" s="582"/>
      <c r="BU876" s="582"/>
      <c r="BV876" s="582"/>
      <c r="BW876" s="582"/>
      <c r="BX876" s="582"/>
      <c r="BY876" s="582"/>
      <c r="BZ876" s="582"/>
      <c r="CA876" s="582"/>
      <c r="CB876" s="582"/>
      <c r="CC876" s="582"/>
      <c r="CD876" s="582"/>
      <c r="CE876" s="582"/>
      <c r="CF876" s="582"/>
      <c r="CG876" s="582"/>
      <c r="CH876" s="582"/>
      <c r="CI876" s="664"/>
      <c r="CJ876" s="664"/>
      <c r="CK876" s="664"/>
      <c r="CL876" s="664"/>
      <c r="CM876" s="664"/>
      <c r="CN876" s="664"/>
      <c r="CO876" s="664"/>
      <c r="CP876" s="664"/>
      <c r="CQ876" s="664"/>
      <c r="CR876" s="664"/>
      <c r="CS876" s="664"/>
      <c r="CT876" s="664"/>
      <c r="CU876" s="664"/>
      <c r="CV876" s="664"/>
      <c r="CW876" s="664"/>
      <c r="CX876" s="664"/>
      <c r="CY876" s="664"/>
      <c r="CZ876" s="664"/>
      <c r="DA876" s="231"/>
      <c r="DB876" s="246"/>
    </row>
    <row r="877" spans="1:106" ht="15" hidden="1" customHeight="1" x14ac:dyDescent="0.25">
      <c r="A877" s="553" t="s">
        <v>292</v>
      </c>
      <c r="B877" s="554"/>
      <c r="C877" s="554"/>
      <c r="D877" s="554"/>
      <c r="E877" s="554"/>
      <c r="F877" s="554"/>
      <c r="G877" s="554"/>
      <c r="H877" s="554"/>
      <c r="I877" s="554"/>
      <c r="J877" s="554"/>
      <c r="K877" s="554"/>
      <c r="L877" s="554"/>
      <c r="M877" s="554"/>
      <c r="N877" s="554"/>
      <c r="O877" s="554"/>
      <c r="P877" s="554"/>
      <c r="Q877" s="554"/>
      <c r="R877" s="554"/>
      <c r="S877" s="554"/>
      <c r="T877" s="554"/>
      <c r="U877" s="554"/>
      <c r="V877" s="554"/>
      <c r="W877" s="554"/>
      <c r="X877" s="554"/>
      <c r="Y877" s="554"/>
      <c r="Z877" s="554"/>
      <c r="AA877" s="554"/>
      <c r="AB877" s="554"/>
      <c r="AC877" s="554"/>
      <c r="AD877" s="554"/>
      <c r="AE877" s="554"/>
      <c r="AF877" s="554"/>
      <c r="AG877" s="554"/>
      <c r="AH877" s="554"/>
      <c r="AI877" s="554"/>
      <c r="AJ877" s="554"/>
      <c r="AK877" s="554"/>
      <c r="AL877" s="554"/>
      <c r="AM877" s="554"/>
      <c r="AN877" s="554"/>
      <c r="AO877" s="554"/>
      <c r="AP877" s="554"/>
      <c r="AQ877" s="554"/>
      <c r="AR877" s="554"/>
      <c r="AS877" s="554"/>
      <c r="AT877" s="554"/>
      <c r="AU877" s="554"/>
      <c r="AV877" s="554"/>
      <c r="AW877" s="554"/>
      <c r="AX877" s="554"/>
      <c r="AY877" s="554"/>
      <c r="AZ877" s="554"/>
      <c r="BA877" s="554"/>
      <c r="BB877" s="554"/>
      <c r="BC877" s="554"/>
      <c r="BD877" s="554"/>
      <c r="BE877" s="554"/>
      <c r="BF877" s="554"/>
      <c r="BG877" s="554"/>
      <c r="BH877" s="554"/>
      <c r="BI877" s="554"/>
      <c r="BJ877" s="554"/>
      <c r="BK877" s="554"/>
      <c r="BL877" s="554"/>
      <c r="BM877" s="554"/>
      <c r="BN877" s="554"/>
      <c r="BO877" s="554"/>
      <c r="BP877" s="554"/>
      <c r="BQ877" s="554"/>
      <c r="BR877" s="555"/>
      <c r="BS877" s="582" t="s">
        <v>4</v>
      </c>
      <c r="BT877" s="582"/>
      <c r="BU877" s="582"/>
      <c r="BV877" s="582"/>
      <c r="BW877" s="582"/>
      <c r="BX877" s="582"/>
      <c r="BY877" s="582"/>
      <c r="BZ877" s="582"/>
      <c r="CA877" s="582"/>
      <c r="CB877" s="582"/>
      <c r="CC877" s="582"/>
      <c r="CD877" s="582"/>
      <c r="CE877" s="582"/>
      <c r="CF877" s="582"/>
      <c r="CG877" s="582"/>
      <c r="CH877" s="582"/>
      <c r="CI877" s="611">
        <f>CI876</f>
        <v>0</v>
      </c>
      <c r="CJ877" s="611"/>
      <c r="CK877" s="611"/>
      <c r="CL877" s="611"/>
      <c r="CM877" s="611"/>
      <c r="CN877" s="611"/>
      <c r="CO877" s="611"/>
      <c r="CP877" s="611"/>
      <c r="CQ877" s="611"/>
      <c r="CR877" s="611"/>
      <c r="CS877" s="611"/>
      <c r="CT877" s="611"/>
      <c r="CU877" s="611"/>
      <c r="CV877" s="611"/>
      <c r="CW877" s="611"/>
      <c r="CX877" s="611"/>
      <c r="CY877" s="611"/>
      <c r="CZ877" s="611"/>
    </row>
    <row r="878" spans="1:106" ht="15" hidden="1" customHeight="1" x14ac:dyDescent="0.25">
      <c r="A878" s="656" t="s">
        <v>804</v>
      </c>
      <c r="B878" s="657"/>
      <c r="C878" s="657"/>
      <c r="D878" s="657"/>
      <c r="E878" s="657"/>
      <c r="F878" s="657"/>
      <c r="G878" s="657"/>
      <c r="H878" s="657"/>
      <c r="I878" s="657"/>
      <c r="J878" s="657"/>
      <c r="K878" s="657"/>
      <c r="L878" s="657"/>
      <c r="M878" s="657"/>
      <c r="N878" s="657"/>
      <c r="O878" s="657"/>
      <c r="P878" s="657"/>
      <c r="Q878" s="657"/>
      <c r="R878" s="657"/>
      <c r="S878" s="657"/>
      <c r="T878" s="657"/>
      <c r="U878" s="657"/>
      <c r="V878" s="657"/>
      <c r="W878" s="657"/>
      <c r="X878" s="657"/>
      <c r="Y878" s="657"/>
      <c r="Z878" s="657"/>
      <c r="AA878" s="657"/>
      <c r="AB878" s="657"/>
      <c r="AC878" s="657"/>
      <c r="AD878" s="657"/>
      <c r="AE878" s="657"/>
      <c r="AF878" s="657"/>
      <c r="AG878" s="657"/>
      <c r="AH878" s="657"/>
      <c r="AI878" s="657"/>
      <c r="AJ878" s="657"/>
      <c r="AK878" s="657"/>
      <c r="AL878" s="657"/>
      <c r="AM878" s="657"/>
      <c r="AN878" s="657"/>
      <c r="AO878" s="657"/>
      <c r="AP878" s="657"/>
      <c r="AQ878" s="657"/>
      <c r="AR878" s="657"/>
      <c r="AS878" s="657"/>
      <c r="AT878" s="657"/>
      <c r="AU878" s="657"/>
      <c r="AV878" s="657"/>
      <c r="AW878" s="657"/>
      <c r="AX878" s="657"/>
      <c r="AY878" s="657"/>
      <c r="AZ878" s="657"/>
      <c r="BA878" s="657"/>
      <c r="BB878" s="657"/>
      <c r="BC878" s="657"/>
      <c r="BD878" s="657"/>
      <c r="BE878" s="657"/>
      <c r="BF878" s="657"/>
      <c r="BG878" s="657"/>
      <c r="BH878" s="657"/>
      <c r="BI878" s="657"/>
      <c r="BJ878" s="657"/>
      <c r="BK878" s="657"/>
      <c r="BL878" s="657"/>
      <c r="BM878" s="657"/>
      <c r="BN878" s="657"/>
      <c r="BO878" s="657"/>
      <c r="BP878" s="657"/>
      <c r="BQ878" s="657"/>
      <c r="BR878" s="657"/>
      <c r="BS878" s="657"/>
      <c r="BT878" s="657"/>
      <c r="BU878" s="657"/>
      <c r="BV878" s="657"/>
      <c r="BW878" s="657"/>
      <c r="BX878" s="657"/>
      <c r="BY878" s="657"/>
      <c r="BZ878" s="657"/>
      <c r="CA878" s="657"/>
      <c r="CB878" s="657"/>
      <c r="CC878" s="657"/>
      <c r="CD878" s="657"/>
      <c r="CE878" s="657"/>
      <c r="CF878" s="657"/>
      <c r="CG878" s="657"/>
      <c r="CH878" s="657"/>
      <c r="CI878" s="657"/>
      <c r="CJ878" s="657"/>
      <c r="CK878" s="657"/>
      <c r="CL878" s="657"/>
      <c r="CM878" s="657"/>
      <c r="CN878" s="657"/>
      <c r="CO878" s="657"/>
      <c r="CP878" s="657"/>
      <c r="CQ878" s="657"/>
      <c r="CR878" s="657"/>
      <c r="CS878" s="657"/>
      <c r="CT878" s="657"/>
      <c r="CU878" s="657"/>
      <c r="CV878" s="657"/>
      <c r="CW878" s="657"/>
      <c r="CX878" s="657"/>
      <c r="CY878" s="657"/>
      <c r="CZ878" s="658"/>
    </row>
    <row r="879" spans="1:106" ht="19.5" hidden="1" customHeight="1" x14ac:dyDescent="0.25">
      <c r="A879" s="659" t="s">
        <v>441</v>
      </c>
      <c r="B879" s="659"/>
      <c r="C879" s="659"/>
      <c r="D879" s="659"/>
      <c r="E879" s="659"/>
      <c r="F879" s="659"/>
      <c r="G879" s="659"/>
      <c r="H879" s="584" t="s">
        <v>805</v>
      </c>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5"/>
      <c r="AL879" s="585"/>
      <c r="AM879" s="585"/>
      <c r="AN879" s="585"/>
      <c r="AO879" s="585"/>
      <c r="AP879" s="585"/>
      <c r="AQ879" s="585"/>
      <c r="AR879" s="585"/>
      <c r="AS879" s="585"/>
      <c r="AT879" s="585"/>
      <c r="AU879" s="585"/>
      <c r="AV879" s="585"/>
      <c r="AW879" s="585"/>
      <c r="AX879" s="585"/>
      <c r="AY879" s="585"/>
      <c r="AZ879" s="585"/>
      <c r="BA879" s="585"/>
      <c r="BB879" s="585"/>
      <c r="BC879" s="585"/>
      <c r="BD879" s="585"/>
      <c r="BE879" s="585"/>
      <c r="BF879" s="585"/>
      <c r="BG879" s="585"/>
      <c r="BH879" s="585"/>
      <c r="BI879" s="585"/>
      <c r="BJ879" s="585"/>
      <c r="BK879" s="585"/>
      <c r="BL879" s="585"/>
      <c r="BM879" s="585"/>
      <c r="BN879" s="585"/>
      <c r="BO879" s="585"/>
      <c r="BP879" s="585"/>
      <c r="BQ879" s="585"/>
      <c r="BR879" s="586"/>
      <c r="BS879" s="475">
        <v>1</v>
      </c>
      <c r="BT879" s="476"/>
      <c r="BU879" s="476"/>
      <c r="BV879" s="476"/>
      <c r="BW879" s="476"/>
      <c r="BX879" s="476"/>
      <c r="BY879" s="476"/>
      <c r="BZ879" s="476"/>
      <c r="CA879" s="476"/>
      <c r="CB879" s="476"/>
      <c r="CC879" s="476"/>
      <c r="CD879" s="476"/>
      <c r="CE879" s="476"/>
      <c r="CF879" s="476"/>
      <c r="CG879" s="476"/>
      <c r="CH879" s="476"/>
      <c r="CI879" s="660">
        <v>0</v>
      </c>
      <c r="CJ879" s="660"/>
      <c r="CK879" s="660"/>
      <c r="CL879" s="660"/>
      <c r="CM879" s="660"/>
      <c r="CN879" s="660"/>
      <c r="CO879" s="660"/>
      <c r="CP879" s="660"/>
      <c r="CQ879" s="660"/>
      <c r="CR879" s="660"/>
      <c r="CS879" s="660"/>
      <c r="CT879" s="660"/>
      <c r="CU879" s="660"/>
      <c r="CV879" s="660"/>
      <c r="CW879" s="660"/>
      <c r="CX879" s="660"/>
      <c r="CY879" s="660"/>
      <c r="CZ879" s="660"/>
    </row>
    <row r="880" spans="1:106" ht="15" hidden="1" customHeight="1" x14ac:dyDescent="0.25">
      <c r="A880" s="553" t="s">
        <v>292</v>
      </c>
      <c r="B880" s="554"/>
      <c r="C880" s="554"/>
      <c r="D880" s="554"/>
      <c r="E880" s="554"/>
      <c r="F880" s="554"/>
      <c r="G880" s="554"/>
      <c r="H880" s="554"/>
      <c r="I880" s="554"/>
      <c r="J880" s="554"/>
      <c r="K880" s="554"/>
      <c r="L880" s="554"/>
      <c r="M880" s="554"/>
      <c r="N880" s="554"/>
      <c r="O880" s="554"/>
      <c r="P880" s="554"/>
      <c r="Q880" s="554"/>
      <c r="R880" s="554"/>
      <c r="S880" s="554"/>
      <c r="T880" s="554"/>
      <c r="U880" s="554"/>
      <c r="V880" s="554"/>
      <c r="W880" s="554"/>
      <c r="X880" s="554"/>
      <c r="Y880" s="554"/>
      <c r="Z880" s="554"/>
      <c r="AA880" s="554"/>
      <c r="AB880" s="554"/>
      <c r="AC880" s="554"/>
      <c r="AD880" s="554"/>
      <c r="AE880" s="554"/>
      <c r="AF880" s="554"/>
      <c r="AG880" s="554"/>
      <c r="AH880" s="554"/>
      <c r="AI880" s="554"/>
      <c r="AJ880" s="554"/>
      <c r="AK880" s="554"/>
      <c r="AL880" s="554"/>
      <c r="AM880" s="554"/>
      <c r="AN880" s="554"/>
      <c r="AO880" s="554"/>
      <c r="AP880" s="554"/>
      <c r="AQ880" s="554"/>
      <c r="AR880" s="554"/>
      <c r="AS880" s="554"/>
      <c r="AT880" s="554"/>
      <c r="AU880" s="554"/>
      <c r="AV880" s="554"/>
      <c r="AW880" s="554"/>
      <c r="AX880" s="554"/>
      <c r="AY880" s="554"/>
      <c r="AZ880" s="554"/>
      <c r="BA880" s="554"/>
      <c r="BB880" s="554"/>
      <c r="BC880" s="554"/>
      <c r="BD880" s="554"/>
      <c r="BE880" s="554"/>
      <c r="BF880" s="554"/>
      <c r="BG880" s="554"/>
      <c r="BH880" s="554"/>
      <c r="BI880" s="554"/>
      <c r="BJ880" s="554"/>
      <c r="BK880" s="554"/>
      <c r="BL880" s="554"/>
      <c r="BM880" s="554"/>
      <c r="BN880" s="554"/>
      <c r="BO880" s="554"/>
      <c r="BP880" s="554"/>
      <c r="BQ880" s="554"/>
      <c r="BR880" s="555"/>
      <c r="BS880" s="582" t="s">
        <v>4</v>
      </c>
      <c r="BT880" s="582"/>
      <c r="BU880" s="582"/>
      <c r="BV880" s="582"/>
      <c r="BW880" s="582"/>
      <c r="BX880" s="582"/>
      <c r="BY880" s="582"/>
      <c r="BZ880" s="582"/>
      <c r="CA880" s="582"/>
      <c r="CB880" s="582"/>
      <c r="CC880" s="582"/>
      <c r="CD880" s="582"/>
      <c r="CE880" s="582"/>
      <c r="CF880" s="582"/>
      <c r="CG880" s="582"/>
      <c r="CH880" s="582"/>
      <c r="CI880" s="611">
        <f>CI879</f>
        <v>0</v>
      </c>
      <c r="CJ880" s="611"/>
      <c r="CK880" s="611"/>
      <c r="CL880" s="611"/>
      <c r="CM880" s="611"/>
      <c r="CN880" s="611"/>
      <c r="CO880" s="611"/>
      <c r="CP880" s="611"/>
      <c r="CQ880" s="611"/>
      <c r="CR880" s="611"/>
      <c r="CS880" s="611"/>
      <c r="CT880" s="611"/>
      <c r="CU880" s="611"/>
      <c r="CV880" s="611"/>
      <c r="CW880" s="611"/>
      <c r="CX880" s="611"/>
      <c r="CY880" s="611"/>
      <c r="CZ880" s="611"/>
    </row>
    <row r="881" spans="1:105" ht="15" customHeight="1" x14ac:dyDescent="0.25">
      <c r="A881" s="553" t="s">
        <v>37</v>
      </c>
      <c r="B881" s="554"/>
      <c r="C881" s="554"/>
      <c r="D881" s="554"/>
      <c r="E881" s="554"/>
      <c r="F881" s="554"/>
      <c r="G881" s="554"/>
      <c r="H881" s="554"/>
      <c r="I881" s="554"/>
      <c r="J881" s="554"/>
      <c r="K881" s="554"/>
      <c r="L881" s="554"/>
      <c r="M881" s="554"/>
      <c r="N881" s="554"/>
      <c r="O881" s="554"/>
      <c r="P881" s="554"/>
      <c r="Q881" s="554"/>
      <c r="R881" s="554"/>
      <c r="S881" s="554"/>
      <c r="T881" s="554"/>
      <c r="U881" s="554"/>
      <c r="V881" s="554"/>
      <c r="W881" s="554"/>
      <c r="X881" s="554"/>
      <c r="Y881" s="554"/>
      <c r="Z881" s="554"/>
      <c r="AA881" s="554"/>
      <c r="AB881" s="554"/>
      <c r="AC881" s="554"/>
      <c r="AD881" s="554"/>
      <c r="AE881" s="554"/>
      <c r="AF881" s="554"/>
      <c r="AG881" s="554"/>
      <c r="AH881" s="554"/>
      <c r="AI881" s="554"/>
      <c r="AJ881" s="554"/>
      <c r="AK881" s="554"/>
      <c r="AL881" s="554"/>
      <c r="AM881" s="554"/>
      <c r="AN881" s="554"/>
      <c r="AO881" s="554"/>
      <c r="AP881" s="554"/>
      <c r="AQ881" s="554"/>
      <c r="AR881" s="554"/>
      <c r="AS881" s="554"/>
      <c r="AT881" s="554"/>
      <c r="AU881" s="554"/>
      <c r="AV881" s="554"/>
      <c r="AW881" s="554"/>
      <c r="AX881" s="554"/>
      <c r="AY881" s="554"/>
      <c r="AZ881" s="554"/>
      <c r="BA881" s="554"/>
      <c r="BB881" s="554"/>
      <c r="BC881" s="554"/>
      <c r="BD881" s="554"/>
      <c r="BE881" s="554"/>
      <c r="BF881" s="554"/>
      <c r="BG881" s="554"/>
      <c r="BH881" s="554"/>
      <c r="BI881" s="554"/>
      <c r="BJ881" s="554"/>
      <c r="BK881" s="554"/>
      <c r="BL881" s="554"/>
      <c r="BM881" s="554"/>
      <c r="BN881" s="554"/>
      <c r="BO881" s="554"/>
      <c r="BP881" s="554"/>
      <c r="BQ881" s="554"/>
      <c r="BR881" s="555"/>
      <c r="BS881" s="582" t="s">
        <v>4</v>
      </c>
      <c r="BT881" s="582"/>
      <c r="BU881" s="582"/>
      <c r="BV881" s="582"/>
      <c r="BW881" s="582"/>
      <c r="BX881" s="582"/>
      <c r="BY881" s="582"/>
      <c r="BZ881" s="582"/>
      <c r="CA881" s="582"/>
      <c r="CB881" s="582"/>
      <c r="CC881" s="582"/>
      <c r="CD881" s="582"/>
      <c r="CE881" s="582"/>
      <c r="CF881" s="582"/>
      <c r="CG881" s="582"/>
      <c r="CH881" s="582"/>
      <c r="CI881" s="611">
        <f>CI871+CI874+CI877+CI880</f>
        <v>25000</v>
      </c>
      <c r="CJ881" s="560"/>
      <c r="CK881" s="560"/>
      <c r="CL881" s="560"/>
      <c r="CM881" s="560"/>
      <c r="CN881" s="560"/>
      <c r="CO881" s="560"/>
      <c r="CP881" s="560"/>
      <c r="CQ881" s="560"/>
      <c r="CR881" s="560"/>
      <c r="CS881" s="560"/>
      <c r="CT881" s="560"/>
      <c r="CU881" s="560"/>
      <c r="CV881" s="560"/>
      <c r="CW881" s="560"/>
      <c r="CX881" s="560"/>
      <c r="CY881" s="560"/>
      <c r="CZ881" s="560"/>
      <c r="DA881" s="243"/>
    </row>
    <row r="882" spans="1:105" ht="15" hidden="1"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c r="BB882" s="222"/>
      <c r="BC882" s="222"/>
      <c r="BD882" s="222"/>
      <c r="BE882" s="222"/>
      <c r="BF882" s="222"/>
      <c r="BG882" s="222"/>
      <c r="BH882" s="222"/>
      <c r="BI882" s="222"/>
      <c r="BJ882" s="222"/>
      <c r="BK882" s="222"/>
      <c r="BL882" s="222"/>
      <c r="BM882" s="222"/>
      <c r="BN882" s="222"/>
      <c r="BO882" s="222"/>
      <c r="BP882" s="222"/>
      <c r="BQ882" s="222"/>
      <c r="BR882" s="222"/>
      <c r="BS882" s="223"/>
      <c r="BT882" s="223"/>
      <c r="BU882" s="223"/>
      <c r="BV882" s="223"/>
      <c r="BW882" s="223"/>
      <c r="BX882" s="223"/>
      <c r="BY882" s="223"/>
      <c r="BZ882" s="223"/>
      <c r="CA882" s="223"/>
      <c r="CB882" s="223"/>
      <c r="CC882" s="223"/>
      <c r="CD882" s="223"/>
      <c r="CE882" s="223"/>
      <c r="CF882" s="223"/>
      <c r="CG882" s="223"/>
      <c r="CH882" s="223"/>
      <c r="CI882" s="229"/>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24" t="s">
        <v>366</v>
      </c>
      <c r="B883" s="524"/>
      <c r="C883" s="524"/>
      <c r="D883" s="524"/>
      <c r="E883" s="524"/>
      <c r="F883" s="524"/>
      <c r="G883" s="524"/>
      <c r="H883" s="524"/>
      <c r="I883" s="524"/>
      <c r="J883" s="524"/>
      <c r="K883" s="524"/>
      <c r="L883" s="524"/>
      <c r="M883" s="524"/>
      <c r="N883" s="524"/>
      <c r="O883" s="524"/>
      <c r="P883" s="524"/>
      <c r="Q883" s="524"/>
      <c r="R883" s="524"/>
      <c r="S883" s="524"/>
      <c r="T883" s="524"/>
      <c r="U883" s="524"/>
      <c r="V883" s="524"/>
      <c r="W883" s="524"/>
      <c r="X883" s="524"/>
      <c r="Y883" s="524"/>
      <c r="Z883" s="524"/>
      <c r="AA883" s="524"/>
      <c r="AB883" s="524"/>
      <c r="AC883" s="524"/>
      <c r="AD883" s="524"/>
      <c r="AE883" s="524"/>
      <c r="AF883" s="524"/>
      <c r="AG883" s="524"/>
      <c r="AH883" s="524"/>
      <c r="AI883" s="524"/>
      <c r="AJ883" s="524"/>
      <c r="AK883" s="524"/>
      <c r="AL883" s="524"/>
      <c r="AM883" s="524"/>
      <c r="AN883" s="524"/>
      <c r="AO883" s="524"/>
      <c r="AP883" s="524"/>
      <c r="AQ883" s="524"/>
      <c r="AR883" s="524"/>
      <c r="AS883" s="524"/>
      <c r="AT883" s="524"/>
      <c r="AU883" s="524"/>
      <c r="AV883" s="524"/>
      <c r="AW883" s="524"/>
      <c r="AX883" s="524"/>
      <c r="AY883" s="524"/>
      <c r="AZ883" s="524"/>
      <c r="BA883" s="524"/>
      <c r="BB883" s="524"/>
      <c r="BC883" s="524"/>
      <c r="BD883" s="524"/>
      <c r="BE883" s="524"/>
      <c r="BF883" s="524"/>
      <c r="BG883" s="524"/>
      <c r="BH883" s="524"/>
      <c r="BI883" s="524"/>
      <c r="BJ883" s="524"/>
      <c r="BK883" s="524"/>
      <c r="BL883" s="524"/>
      <c r="BM883" s="524"/>
      <c r="BN883" s="524"/>
      <c r="BO883" s="524"/>
      <c r="BP883" s="524"/>
      <c r="BQ883" s="524"/>
      <c r="BR883" s="524"/>
      <c r="BS883" s="524"/>
      <c r="BT883" s="524"/>
      <c r="BU883" s="524"/>
      <c r="BV883" s="524"/>
      <c r="BW883" s="524"/>
      <c r="BX883" s="524"/>
      <c r="BY883" s="524"/>
      <c r="BZ883" s="524"/>
      <c r="CA883" s="524"/>
      <c r="CB883" s="524"/>
      <c r="CC883" s="524"/>
      <c r="CD883" s="524"/>
      <c r="CE883" s="524"/>
      <c r="CF883" s="524"/>
      <c r="CG883" s="524"/>
      <c r="CH883" s="524"/>
      <c r="CI883" s="524"/>
      <c r="CJ883" s="524"/>
      <c r="CK883" s="524"/>
      <c r="CL883" s="524"/>
      <c r="CM883" s="524"/>
      <c r="CN883" s="524"/>
      <c r="CO883" s="524"/>
      <c r="CP883" s="524"/>
      <c r="CQ883" s="524"/>
      <c r="CR883" s="524"/>
      <c r="CS883" s="524"/>
      <c r="CT883" s="524"/>
      <c r="CU883" s="524"/>
      <c r="CV883" s="524"/>
      <c r="CW883" s="524"/>
      <c r="CX883" s="524"/>
      <c r="CY883" s="524"/>
      <c r="CZ883" s="524"/>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595"/>
      <c r="X885" s="595"/>
      <c r="Y885" s="595"/>
      <c r="Z885" s="595"/>
      <c r="AA885" s="595"/>
      <c r="AB885" s="595"/>
      <c r="AC885" s="595"/>
      <c r="AD885" s="595"/>
      <c r="AE885" s="595"/>
      <c r="AF885" s="595"/>
      <c r="AG885" s="595"/>
      <c r="AH885" s="595"/>
      <c r="AI885" s="595"/>
      <c r="AJ885" s="595"/>
      <c r="AK885" s="595"/>
      <c r="AL885" s="595"/>
      <c r="AM885" s="595"/>
      <c r="AN885" s="595"/>
      <c r="AO885" s="595"/>
      <c r="AP885" s="595"/>
      <c r="AQ885" s="595"/>
      <c r="AR885" s="595"/>
      <c r="AS885" s="595"/>
      <c r="AT885" s="595"/>
      <c r="AU885" s="595"/>
      <c r="AV885" s="595"/>
      <c r="AW885" s="595"/>
      <c r="AX885" s="595"/>
      <c r="AY885" s="595"/>
      <c r="AZ885" s="595"/>
      <c r="BA885" s="595"/>
      <c r="BB885" s="595"/>
      <c r="BC885" s="595"/>
      <c r="BD885" s="595"/>
      <c r="BE885" s="595"/>
      <c r="BF885" s="595"/>
      <c r="BG885" s="595"/>
      <c r="BH885" s="595"/>
      <c r="BI885" s="595"/>
      <c r="BJ885" s="595"/>
      <c r="BK885" s="595"/>
      <c r="BL885" s="595"/>
      <c r="BM885" s="595"/>
      <c r="BN885" s="595"/>
      <c r="BO885" s="595"/>
      <c r="BP885" s="595"/>
      <c r="BQ885" s="595"/>
      <c r="BR885" s="595"/>
      <c r="BS885" s="595"/>
      <c r="BT885" s="595"/>
      <c r="BU885" s="595"/>
      <c r="BV885" s="595"/>
      <c r="BW885" s="595"/>
      <c r="BX885" s="595"/>
      <c r="BY885" s="595"/>
      <c r="BZ885" s="595"/>
      <c r="CA885" s="595"/>
      <c r="CB885" s="595"/>
      <c r="CC885" s="595"/>
      <c r="CD885" s="595"/>
      <c r="CE885" s="595"/>
      <c r="CF885" s="595"/>
      <c r="CG885" s="595"/>
      <c r="CH885" s="595"/>
      <c r="CI885" s="595"/>
      <c r="CJ885" s="595"/>
      <c r="CK885" s="595"/>
      <c r="CL885" s="595"/>
      <c r="CM885" s="595"/>
      <c r="CN885" s="595"/>
      <c r="CO885" s="595"/>
      <c r="CP885" s="595"/>
      <c r="CQ885" s="595"/>
      <c r="CR885" s="595"/>
      <c r="CS885" s="595"/>
      <c r="CT885" s="595"/>
      <c r="CU885" s="595"/>
      <c r="CV885" s="595"/>
      <c r="CW885" s="595"/>
      <c r="CX885" s="595"/>
      <c r="CY885" s="595"/>
      <c r="CZ885" s="595"/>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475" t="s">
        <v>49</v>
      </c>
      <c r="B887" s="476"/>
      <c r="C887" s="476"/>
      <c r="D887" s="476"/>
      <c r="E887" s="476"/>
      <c r="F887" s="476"/>
      <c r="G887" s="477"/>
      <c r="H887" s="475" t="s">
        <v>0</v>
      </c>
      <c r="I887" s="476"/>
      <c r="J887" s="476"/>
      <c r="K887" s="476"/>
      <c r="L887" s="476"/>
      <c r="M887" s="476"/>
      <c r="N887" s="476"/>
      <c r="O887" s="476"/>
      <c r="P887" s="476"/>
      <c r="Q887" s="476"/>
      <c r="R887" s="476"/>
      <c r="S887" s="476"/>
      <c r="T887" s="476"/>
      <c r="U887" s="476"/>
      <c r="V887" s="476"/>
      <c r="W887" s="476"/>
      <c r="X887" s="476"/>
      <c r="Y887" s="476"/>
      <c r="Z887" s="476"/>
      <c r="AA887" s="476"/>
      <c r="AB887" s="476"/>
      <c r="AC887" s="476"/>
      <c r="AD887" s="476"/>
      <c r="AE887" s="476"/>
      <c r="AF887" s="476"/>
      <c r="AG887" s="476"/>
      <c r="AH887" s="476"/>
      <c r="AI887" s="476"/>
      <c r="AJ887" s="476"/>
      <c r="AK887" s="476"/>
      <c r="AL887" s="476"/>
      <c r="AM887" s="476"/>
      <c r="AN887" s="476"/>
      <c r="AO887" s="476"/>
      <c r="AP887" s="476"/>
      <c r="AQ887" s="476"/>
      <c r="AR887" s="476"/>
      <c r="AS887" s="476"/>
      <c r="AT887" s="477"/>
      <c r="AU887" s="475" t="s">
        <v>196</v>
      </c>
      <c r="AV887" s="476"/>
      <c r="AW887" s="476"/>
      <c r="AX887" s="476"/>
      <c r="AY887" s="476"/>
      <c r="AZ887" s="476"/>
      <c r="BA887" s="476"/>
      <c r="BB887" s="477"/>
      <c r="BC887" s="475" t="s">
        <v>91</v>
      </c>
      <c r="BD887" s="476"/>
      <c r="BE887" s="476"/>
      <c r="BF887" s="476"/>
      <c r="BG887" s="476"/>
      <c r="BH887" s="476"/>
      <c r="BI887" s="476"/>
      <c r="BJ887" s="476"/>
      <c r="BK887" s="476"/>
      <c r="BL887" s="476"/>
      <c r="BM887" s="476"/>
      <c r="BN887" s="476"/>
      <c r="BO887" s="476"/>
      <c r="BP887" s="476"/>
      <c r="BQ887" s="476"/>
      <c r="BR887" s="477"/>
      <c r="BS887" s="475" t="s">
        <v>96</v>
      </c>
      <c r="BT887" s="476"/>
      <c r="BU887" s="476"/>
      <c r="BV887" s="476"/>
      <c r="BW887" s="476"/>
      <c r="BX887" s="476"/>
      <c r="BY887" s="476"/>
      <c r="BZ887" s="476"/>
      <c r="CA887" s="476"/>
      <c r="CB887" s="476"/>
      <c r="CC887" s="476"/>
      <c r="CD887" s="476"/>
      <c r="CE887" s="476"/>
      <c r="CF887" s="476"/>
      <c r="CG887" s="476"/>
      <c r="CH887" s="477"/>
      <c r="CI887" s="475" t="s">
        <v>368</v>
      </c>
      <c r="CJ887" s="476"/>
      <c r="CK887" s="476"/>
      <c r="CL887" s="476"/>
      <c r="CM887" s="476"/>
      <c r="CN887" s="476"/>
      <c r="CO887" s="476"/>
      <c r="CP887" s="476"/>
      <c r="CQ887" s="476"/>
      <c r="CR887" s="476"/>
      <c r="CS887" s="476"/>
      <c r="CT887" s="476"/>
      <c r="CU887" s="476"/>
      <c r="CV887" s="476"/>
      <c r="CW887" s="476"/>
      <c r="CX887" s="476"/>
      <c r="CY887" s="476"/>
      <c r="CZ887" s="477"/>
    </row>
    <row r="888" spans="1:105" s="20" customFormat="1" hidden="1" x14ac:dyDescent="0.25">
      <c r="A888" s="661">
        <v>1</v>
      </c>
      <c r="B888" s="662"/>
      <c r="C888" s="662"/>
      <c r="D888" s="662"/>
      <c r="E888" s="662"/>
      <c r="F888" s="662"/>
      <c r="G888" s="663"/>
      <c r="H888" s="661">
        <v>2</v>
      </c>
      <c r="I888" s="662"/>
      <c r="J888" s="662"/>
      <c r="K888" s="662"/>
      <c r="L888" s="662"/>
      <c r="M888" s="662"/>
      <c r="N888" s="662"/>
      <c r="O888" s="662"/>
      <c r="P888" s="662"/>
      <c r="Q888" s="662"/>
      <c r="R888" s="662"/>
      <c r="S888" s="662"/>
      <c r="T888" s="662"/>
      <c r="U888" s="662"/>
      <c r="V888" s="662"/>
      <c r="W888" s="662"/>
      <c r="X888" s="662"/>
      <c r="Y888" s="662"/>
      <c r="Z888" s="662"/>
      <c r="AA888" s="662"/>
      <c r="AB888" s="662"/>
      <c r="AC888" s="662"/>
      <c r="AD888" s="662"/>
      <c r="AE888" s="662"/>
      <c r="AF888" s="662"/>
      <c r="AG888" s="662"/>
      <c r="AH888" s="662"/>
      <c r="AI888" s="662"/>
      <c r="AJ888" s="662"/>
      <c r="AK888" s="662"/>
      <c r="AL888" s="662"/>
      <c r="AM888" s="662"/>
      <c r="AN888" s="662"/>
      <c r="AO888" s="662"/>
      <c r="AP888" s="662"/>
      <c r="AQ888" s="662"/>
      <c r="AR888" s="662"/>
      <c r="AS888" s="662"/>
      <c r="AT888" s="663"/>
      <c r="AU888" s="661">
        <v>3</v>
      </c>
      <c r="AV888" s="662"/>
      <c r="AW888" s="662"/>
      <c r="AX888" s="662"/>
      <c r="AY888" s="662"/>
      <c r="AZ888" s="662"/>
      <c r="BA888" s="662"/>
      <c r="BB888" s="663"/>
      <c r="BC888" s="661">
        <v>4</v>
      </c>
      <c r="BD888" s="662"/>
      <c r="BE888" s="662"/>
      <c r="BF888" s="662"/>
      <c r="BG888" s="662"/>
      <c r="BH888" s="662"/>
      <c r="BI888" s="662"/>
      <c r="BJ888" s="662"/>
      <c r="BK888" s="662"/>
      <c r="BL888" s="662"/>
      <c r="BM888" s="662"/>
      <c r="BN888" s="662"/>
      <c r="BO888" s="662"/>
      <c r="BP888" s="662"/>
      <c r="BQ888" s="662"/>
      <c r="BR888" s="663"/>
      <c r="BS888" s="661">
        <v>5</v>
      </c>
      <c r="BT888" s="662"/>
      <c r="BU888" s="662"/>
      <c r="BV888" s="662"/>
      <c r="BW888" s="662"/>
      <c r="BX888" s="662"/>
      <c r="BY888" s="662"/>
      <c r="BZ888" s="662"/>
      <c r="CA888" s="662"/>
      <c r="CB888" s="662"/>
      <c r="CC888" s="662"/>
      <c r="CD888" s="662"/>
      <c r="CE888" s="662"/>
      <c r="CF888" s="662"/>
      <c r="CG888" s="662"/>
      <c r="CH888" s="663"/>
      <c r="CI888" s="661">
        <v>6</v>
      </c>
      <c r="CJ888" s="662"/>
      <c r="CK888" s="662"/>
      <c r="CL888" s="662"/>
      <c r="CM888" s="662"/>
      <c r="CN888" s="662"/>
      <c r="CO888" s="662"/>
      <c r="CP888" s="662"/>
      <c r="CQ888" s="662"/>
      <c r="CR888" s="662"/>
      <c r="CS888" s="662"/>
      <c r="CT888" s="662"/>
      <c r="CU888" s="662"/>
      <c r="CV888" s="662"/>
      <c r="CW888" s="662"/>
      <c r="CX888" s="662"/>
      <c r="CY888" s="662"/>
      <c r="CZ888" s="663"/>
    </row>
    <row r="889" spans="1:105" s="20" customFormat="1" hidden="1" x14ac:dyDescent="0.25">
      <c r="A889" s="648" t="s">
        <v>258</v>
      </c>
      <c r="B889" s="649"/>
      <c r="C889" s="649"/>
      <c r="D889" s="649"/>
      <c r="E889" s="649"/>
      <c r="F889" s="649"/>
      <c r="G889" s="649"/>
      <c r="H889" s="649"/>
      <c r="I889" s="649"/>
      <c r="J889" s="649"/>
      <c r="K889" s="649"/>
      <c r="L889" s="649"/>
      <c r="M889" s="649"/>
      <c r="N889" s="649"/>
      <c r="O889" s="649"/>
      <c r="P889" s="649"/>
      <c r="Q889" s="649"/>
      <c r="R889" s="649"/>
      <c r="S889" s="649"/>
      <c r="T889" s="649"/>
      <c r="U889" s="649"/>
      <c r="V889" s="649"/>
      <c r="W889" s="649"/>
      <c r="X889" s="649"/>
      <c r="Y889" s="649"/>
      <c r="Z889" s="649"/>
      <c r="AA889" s="649"/>
      <c r="AB889" s="649"/>
      <c r="AC889" s="649"/>
      <c r="AD889" s="649"/>
      <c r="AE889" s="649"/>
      <c r="AF889" s="649"/>
      <c r="AG889" s="649"/>
      <c r="AH889" s="649"/>
      <c r="AI889" s="649"/>
      <c r="AJ889" s="649"/>
      <c r="AK889" s="649"/>
      <c r="AL889" s="649"/>
      <c r="AM889" s="649"/>
      <c r="AN889" s="649"/>
      <c r="AO889" s="649"/>
      <c r="AP889" s="649"/>
      <c r="AQ889" s="649"/>
      <c r="AR889" s="649"/>
      <c r="AS889" s="649"/>
      <c r="AT889" s="649"/>
      <c r="AU889" s="649"/>
      <c r="AV889" s="649"/>
      <c r="AW889" s="649"/>
      <c r="AX889" s="649"/>
      <c r="AY889" s="649"/>
      <c r="AZ889" s="649"/>
      <c r="BA889" s="649"/>
      <c r="BB889" s="649"/>
      <c r="BC889" s="649"/>
      <c r="BD889" s="649"/>
      <c r="BE889" s="649"/>
      <c r="BF889" s="649"/>
      <c r="BG889" s="649"/>
      <c r="BH889" s="649"/>
      <c r="BI889" s="649"/>
      <c r="BJ889" s="649"/>
      <c r="BK889" s="649"/>
      <c r="BL889" s="649"/>
      <c r="BM889" s="649"/>
      <c r="BN889" s="649"/>
      <c r="BO889" s="649"/>
      <c r="BP889" s="649"/>
      <c r="BQ889" s="649"/>
      <c r="BR889" s="649"/>
      <c r="BS889" s="649"/>
      <c r="BT889" s="649"/>
      <c r="BU889" s="649"/>
      <c r="BV889" s="649"/>
      <c r="BW889" s="649"/>
      <c r="BX889" s="649"/>
      <c r="BY889" s="649"/>
      <c r="BZ889" s="649"/>
      <c r="CA889" s="649"/>
      <c r="CB889" s="649"/>
      <c r="CC889" s="649"/>
      <c r="CD889" s="649"/>
      <c r="CE889" s="649"/>
      <c r="CF889" s="649"/>
      <c r="CG889" s="649"/>
      <c r="CH889" s="649"/>
      <c r="CI889" s="649"/>
      <c r="CJ889" s="649"/>
      <c r="CK889" s="649"/>
      <c r="CL889" s="649"/>
      <c r="CM889" s="649"/>
      <c r="CN889" s="649"/>
      <c r="CO889" s="649"/>
      <c r="CP889" s="649"/>
      <c r="CQ889" s="649"/>
      <c r="CR889" s="649"/>
      <c r="CS889" s="649"/>
      <c r="CT889" s="649"/>
      <c r="CU889" s="649"/>
      <c r="CV889" s="649"/>
      <c r="CW889" s="649"/>
      <c r="CX889" s="649"/>
      <c r="CY889" s="649"/>
      <c r="CZ889" s="650"/>
    </row>
    <row r="890" spans="1:105" s="20" customFormat="1" hidden="1" x14ac:dyDescent="0.25">
      <c r="A890" s="630"/>
      <c r="B890" s="631"/>
      <c r="C890" s="631"/>
      <c r="D890" s="631"/>
      <c r="E890" s="631"/>
      <c r="F890" s="631"/>
      <c r="G890" s="632"/>
      <c r="H890" s="475"/>
      <c r="I890" s="476"/>
      <c r="J890" s="476"/>
      <c r="K890" s="476"/>
      <c r="L890" s="476"/>
      <c r="M890" s="476"/>
      <c r="N890" s="476"/>
      <c r="O890" s="476"/>
      <c r="P890" s="476"/>
      <c r="Q890" s="476"/>
      <c r="R890" s="476"/>
      <c r="S890" s="476"/>
      <c r="T890" s="476"/>
      <c r="U890" s="476"/>
      <c r="V890" s="476"/>
      <c r="W890" s="476"/>
      <c r="X890" s="476"/>
      <c r="Y890" s="476"/>
      <c r="Z890" s="476"/>
      <c r="AA890" s="476"/>
      <c r="AB890" s="476"/>
      <c r="AC890" s="476"/>
      <c r="AD890" s="476"/>
      <c r="AE890" s="476"/>
      <c r="AF890" s="476"/>
      <c r="AG890" s="476"/>
      <c r="AH890" s="476"/>
      <c r="AI890" s="476"/>
      <c r="AJ890" s="476"/>
      <c r="AK890" s="476"/>
      <c r="AL890" s="476"/>
      <c r="AM890" s="476"/>
      <c r="AN890" s="476"/>
      <c r="AO890" s="476"/>
      <c r="AP890" s="476"/>
      <c r="AQ890" s="476"/>
      <c r="AR890" s="476"/>
      <c r="AS890" s="476"/>
      <c r="AT890" s="477"/>
      <c r="AU890" s="475"/>
      <c r="AV890" s="476"/>
      <c r="AW890" s="476"/>
      <c r="AX890" s="476"/>
      <c r="AY890" s="476"/>
      <c r="AZ890" s="476"/>
      <c r="BA890" s="476"/>
      <c r="BB890" s="477"/>
      <c r="BC890" s="544"/>
      <c r="BD890" s="545"/>
      <c r="BE890" s="545"/>
      <c r="BF890" s="545"/>
      <c r="BG890" s="545"/>
      <c r="BH890" s="545"/>
      <c r="BI890" s="545"/>
      <c r="BJ890" s="545"/>
      <c r="BK890" s="545"/>
      <c r="BL890" s="545"/>
      <c r="BM890" s="545"/>
      <c r="BN890" s="545"/>
      <c r="BO890" s="545"/>
      <c r="BP890" s="545"/>
      <c r="BQ890" s="545"/>
      <c r="BR890" s="546"/>
      <c r="BS890" s="544"/>
      <c r="BT890" s="545"/>
      <c r="BU890" s="545"/>
      <c r="BV890" s="545"/>
      <c r="BW890" s="545"/>
      <c r="BX890" s="545"/>
      <c r="BY890" s="545"/>
      <c r="BZ890" s="545"/>
      <c r="CA890" s="545"/>
      <c r="CB890" s="545"/>
      <c r="CC890" s="545"/>
      <c r="CD890" s="545"/>
      <c r="CE890" s="545"/>
      <c r="CF890" s="545"/>
      <c r="CG890" s="545"/>
      <c r="CH890" s="546"/>
      <c r="CI890" s="544"/>
      <c r="CJ890" s="545"/>
      <c r="CK890" s="545"/>
      <c r="CL890" s="545"/>
      <c r="CM890" s="545"/>
      <c r="CN890" s="545"/>
      <c r="CO890" s="545"/>
      <c r="CP890" s="545"/>
      <c r="CQ890" s="545"/>
      <c r="CR890" s="545"/>
      <c r="CS890" s="545"/>
      <c r="CT890" s="545"/>
      <c r="CU890" s="545"/>
      <c r="CV890" s="545"/>
      <c r="CW890" s="545"/>
      <c r="CX890" s="545"/>
      <c r="CY890" s="545"/>
      <c r="CZ890" s="546"/>
    </row>
    <row r="891" spans="1:105" s="20" customFormat="1" hidden="1" x14ac:dyDescent="0.25">
      <c r="A891" s="633" t="s">
        <v>292</v>
      </c>
      <c r="B891" s="634"/>
      <c r="C891" s="634"/>
      <c r="D891" s="634"/>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c r="AA891" s="634"/>
      <c r="AB891" s="634"/>
      <c r="AC891" s="634"/>
      <c r="AD891" s="634"/>
      <c r="AE891" s="634"/>
      <c r="AF891" s="634"/>
      <c r="AG891" s="634"/>
      <c r="AH891" s="634"/>
      <c r="AI891" s="634"/>
      <c r="AJ891" s="634"/>
      <c r="AK891" s="634"/>
      <c r="AL891" s="634"/>
      <c r="AM891" s="634"/>
      <c r="AN891" s="634"/>
      <c r="AO891" s="634"/>
      <c r="AP891" s="634"/>
      <c r="AQ891" s="634"/>
      <c r="AR891" s="634"/>
      <c r="AS891" s="634"/>
      <c r="AT891" s="634"/>
      <c r="AU891" s="634"/>
      <c r="AV891" s="634"/>
      <c r="AW891" s="634"/>
      <c r="AX891" s="634"/>
      <c r="AY891" s="634"/>
      <c r="AZ891" s="634"/>
      <c r="BA891" s="634"/>
      <c r="BB891" s="635"/>
      <c r="BC891" s="544" t="s">
        <v>4</v>
      </c>
      <c r="BD891" s="545"/>
      <c r="BE891" s="545"/>
      <c r="BF891" s="545"/>
      <c r="BG891" s="545"/>
      <c r="BH891" s="545"/>
      <c r="BI891" s="545"/>
      <c r="BJ891" s="545"/>
      <c r="BK891" s="545"/>
      <c r="BL891" s="545"/>
      <c r="BM891" s="545"/>
      <c r="BN891" s="545"/>
      <c r="BO891" s="545"/>
      <c r="BP891" s="545"/>
      <c r="BQ891" s="545"/>
      <c r="BR891" s="546"/>
      <c r="BS891" s="544" t="s">
        <v>4</v>
      </c>
      <c r="BT891" s="545"/>
      <c r="BU891" s="545"/>
      <c r="BV891" s="545"/>
      <c r="BW891" s="545"/>
      <c r="BX891" s="545"/>
      <c r="BY891" s="545"/>
      <c r="BZ891" s="545"/>
      <c r="CA891" s="545"/>
      <c r="CB891" s="545"/>
      <c r="CC891" s="545"/>
      <c r="CD891" s="545"/>
      <c r="CE891" s="545"/>
      <c r="CF891" s="545"/>
      <c r="CG891" s="545"/>
      <c r="CH891" s="546"/>
      <c r="CI891" s="544"/>
      <c r="CJ891" s="545"/>
      <c r="CK891" s="545"/>
      <c r="CL891" s="545"/>
      <c r="CM891" s="545"/>
      <c r="CN891" s="545"/>
      <c r="CO891" s="545"/>
      <c r="CP891" s="545"/>
      <c r="CQ891" s="545"/>
      <c r="CR891" s="545"/>
      <c r="CS891" s="545"/>
      <c r="CT891" s="545"/>
      <c r="CU891" s="545"/>
      <c r="CV891" s="545"/>
      <c r="CW891" s="545"/>
      <c r="CX891" s="545"/>
      <c r="CY891" s="545"/>
      <c r="CZ891" s="546"/>
    </row>
    <row r="892" spans="1:105" s="20" customFormat="1" hidden="1" x14ac:dyDescent="0.25">
      <c r="A892" s="648" t="s">
        <v>258</v>
      </c>
      <c r="B892" s="649"/>
      <c r="C892" s="649"/>
      <c r="D892" s="649"/>
      <c r="E892" s="649"/>
      <c r="F892" s="649"/>
      <c r="G892" s="649"/>
      <c r="H892" s="649"/>
      <c r="I892" s="649"/>
      <c r="J892" s="649"/>
      <c r="K892" s="649"/>
      <c r="L892" s="649"/>
      <c r="M892" s="649"/>
      <c r="N892" s="649"/>
      <c r="O892" s="649"/>
      <c r="P892" s="649"/>
      <c r="Q892" s="649"/>
      <c r="R892" s="649"/>
      <c r="S892" s="649"/>
      <c r="T892" s="649"/>
      <c r="U892" s="649"/>
      <c r="V892" s="649"/>
      <c r="W892" s="649"/>
      <c r="X892" s="649"/>
      <c r="Y892" s="649"/>
      <c r="Z892" s="649"/>
      <c r="AA892" s="649"/>
      <c r="AB892" s="649"/>
      <c r="AC892" s="649"/>
      <c r="AD892" s="649"/>
      <c r="AE892" s="649"/>
      <c r="AF892" s="649"/>
      <c r="AG892" s="649"/>
      <c r="AH892" s="649"/>
      <c r="AI892" s="649"/>
      <c r="AJ892" s="649"/>
      <c r="AK892" s="649"/>
      <c r="AL892" s="649"/>
      <c r="AM892" s="649"/>
      <c r="AN892" s="649"/>
      <c r="AO892" s="649"/>
      <c r="AP892" s="649"/>
      <c r="AQ892" s="649"/>
      <c r="AR892" s="649"/>
      <c r="AS892" s="649"/>
      <c r="AT892" s="649"/>
      <c r="AU892" s="649"/>
      <c r="AV892" s="649"/>
      <c r="AW892" s="649"/>
      <c r="AX892" s="649"/>
      <c r="AY892" s="649"/>
      <c r="AZ892" s="649"/>
      <c r="BA892" s="649"/>
      <c r="BB892" s="649"/>
      <c r="BC892" s="649"/>
      <c r="BD892" s="649"/>
      <c r="BE892" s="649"/>
      <c r="BF892" s="649"/>
      <c r="BG892" s="649"/>
      <c r="BH892" s="649"/>
      <c r="BI892" s="649"/>
      <c r="BJ892" s="649"/>
      <c r="BK892" s="649"/>
      <c r="BL892" s="649"/>
      <c r="BM892" s="649"/>
      <c r="BN892" s="649"/>
      <c r="BO892" s="649"/>
      <c r="BP892" s="649"/>
      <c r="BQ892" s="649"/>
      <c r="BR892" s="649"/>
      <c r="BS892" s="649"/>
      <c r="BT892" s="649"/>
      <c r="BU892" s="649"/>
      <c r="BV892" s="649"/>
      <c r="BW892" s="649"/>
      <c r="BX892" s="649"/>
      <c r="BY892" s="649"/>
      <c r="BZ892" s="649"/>
      <c r="CA892" s="649"/>
      <c r="CB892" s="649"/>
      <c r="CC892" s="649"/>
      <c r="CD892" s="649"/>
      <c r="CE892" s="649"/>
      <c r="CF892" s="649"/>
      <c r="CG892" s="649"/>
      <c r="CH892" s="649"/>
      <c r="CI892" s="649"/>
      <c r="CJ892" s="649"/>
      <c r="CK892" s="649"/>
      <c r="CL892" s="649"/>
      <c r="CM892" s="649"/>
      <c r="CN892" s="649"/>
      <c r="CO892" s="649"/>
      <c r="CP892" s="649"/>
      <c r="CQ892" s="649"/>
      <c r="CR892" s="649"/>
      <c r="CS892" s="649"/>
      <c r="CT892" s="649"/>
      <c r="CU892" s="649"/>
      <c r="CV892" s="649"/>
      <c r="CW892" s="649"/>
      <c r="CX892" s="649"/>
      <c r="CY892" s="649"/>
      <c r="CZ892" s="650"/>
    </row>
    <row r="893" spans="1:105" s="20" customFormat="1" hidden="1" x14ac:dyDescent="0.25">
      <c r="A893" s="630"/>
      <c r="B893" s="631"/>
      <c r="C893" s="631"/>
      <c r="D893" s="631"/>
      <c r="E893" s="631"/>
      <c r="F893" s="631"/>
      <c r="G893" s="632"/>
      <c r="H893" s="475"/>
      <c r="I893" s="476"/>
      <c r="J893" s="476"/>
      <c r="K893" s="476"/>
      <c r="L893" s="476"/>
      <c r="M893" s="476"/>
      <c r="N893" s="476"/>
      <c r="O893" s="476"/>
      <c r="P893" s="476"/>
      <c r="Q893" s="476"/>
      <c r="R893" s="476"/>
      <c r="S893" s="476"/>
      <c r="T893" s="476"/>
      <c r="U893" s="476"/>
      <c r="V893" s="476"/>
      <c r="W893" s="476"/>
      <c r="X893" s="476"/>
      <c r="Y893" s="476"/>
      <c r="Z893" s="476"/>
      <c r="AA893" s="476"/>
      <c r="AB893" s="476"/>
      <c r="AC893" s="476"/>
      <c r="AD893" s="476"/>
      <c r="AE893" s="476"/>
      <c r="AF893" s="476"/>
      <c r="AG893" s="476"/>
      <c r="AH893" s="476"/>
      <c r="AI893" s="476"/>
      <c r="AJ893" s="476"/>
      <c r="AK893" s="476"/>
      <c r="AL893" s="476"/>
      <c r="AM893" s="476"/>
      <c r="AN893" s="476"/>
      <c r="AO893" s="476"/>
      <c r="AP893" s="476"/>
      <c r="AQ893" s="476"/>
      <c r="AR893" s="476"/>
      <c r="AS893" s="476"/>
      <c r="AT893" s="477"/>
      <c r="AU893" s="475"/>
      <c r="AV893" s="476"/>
      <c r="AW893" s="476"/>
      <c r="AX893" s="476"/>
      <c r="AY893" s="476"/>
      <c r="AZ893" s="476"/>
      <c r="BA893" s="476"/>
      <c r="BB893" s="477"/>
      <c r="BC893" s="544"/>
      <c r="BD893" s="545"/>
      <c r="BE893" s="545"/>
      <c r="BF893" s="545"/>
      <c r="BG893" s="545"/>
      <c r="BH893" s="545"/>
      <c r="BI893" s="545"/>
      <c r="BJ893" s="545"/>
      <c r="BK893" s="545"/>
      <c r="BL893" s="545"/>
      <c r="BM893" s="545"/>
      <c r="BN893" s="545"/>
      <c r="BO893" s="545"/>
      <c r="BP893" s="545"/>
      <c r="BQ893" s="545"/>
      <c r="BR893" s="546"/>
      <c r="BS893" s="544"/>
      <c r="BT893" s="545"/>
      <c r="BU893" s="545"/>
      <c r="BV893" s="545"/>
      <c r="BW893" s="545"/>
      <c r="BX893" s="545"/>
      <c r="BY893" s="545"/>
      <c r="BZ893" s="545"/>
      <c r="CA893" s="545"/>
      <c r="CB893" s="545"/>
      <c r="CC893" s="545"/>
      <c r="CD893" s="545"/>
      <c r="CE893" s="545"/>
      <c r="CF893" s="545"/>
      <c r="CG893" s="545"/>
      <c r="CH893" s="546"/>
      <c r="CI893" s="544"/>
      <c r="CJ893" s="545"/>
      <c r="CK893" s="545"/>
      <c r="CL893" s="545"/>
      <c r="CM893" s="545"/>
      <c r="CN893" s="545"/>
      <c r="CO893" s="545"/>
      <c r="CP893" s="545"/>
      <c r="CQ893" s="545"/>
      <c r="CR893" s="545"/>
      <c r="CS893" s="545"/>
      <c r="CT893" s="545"/>
      <c r="CU893" s="545"/>
      <c r="CV893" s="545"/>
      <c r="CW893" s="545"/>
      <c r="CX893" s="545"/>
      <c r="CY893" s="545"/>
      <c r="CZ893" s="546"/>
    </row>
    <row r="894" spans="1:105" s="20" customFormat="1" hidden="1" x14ac:dyDescent="0.25">
      <c r="A894" s="633" t="s">
        <v>292</v>
      </c>
      <c r="B894" s="634"/>
      <c r="C894" s="634"/>
      <c r="D894" s="634"/>
      <c r="E894" s="634"/>
      <c r="F894" s="634"/>
      <c r="G894" s="634"/>
      <c r="H894" s="634"/>
      <c r="I894" s="634"/>
      <c r="J894" s="634"/>
      <c r="K894" s="634"/>
      <c r="L894" s="634"/>
      <c r="M894" s="634"/>
      <c r="N894" s="634"/>
      <c r="O894" s="634"/>
      <c r="P894" s="634"/>
      <c r="Q894" s="634"/>
      <c r="R894" s="634"/>
      <c r="S894" s="634"/>
      <c r="T894" s="634"/>
      <c r="U894" s="634"/>
      <c r="V894" s="634"/>
      <c r="W894" s="634"/>
      <c r="X894" s="634"/>
      <c r="Y894" s="634"/>
      <c r="Z894" s="634"/>
      <c r="AA894" s="634"/>
      <c r="AB894" s="634"/>
      <c r="AC894" s="634"/>
      <c r="AD894" s="634"/>
      <c r="AE894" s="634"/>
      <c r="AF894" s="634"/>
      <c r="AG894" s="634"/>
      <c r="AH894" s="634"/>
      <c r="AI894" s="634"/>
      <c r="AJ894" s="634"/>
      <c r="AK894" s="634"/>
      <c r="AL894" s="634"/>
      <c r="AM894" s="634"/>
      <c r="AN894" s="634"/>
      <c r="AO894" s="634"/>
      <c r="AP894" s="634"/>
      <c r="AQ894" s="634"/>
      <c r="AR894" s="634"/>
      <c r="AS894" s="634"/>
      <c r="AT894" s="634"/>
      <c r="AU894" s="634"/>
      <c r="AV894" s="634"/>
      <c r="AW894" s="634"/>
      <c r="AX894" s="634"/>
      <c r="AY894" s="634"/>
      <c r="AZ894" s="634"/>
      <c r="BA894" s="634"/>
      <c r="BB894" s="635"/>
      <c r="BC894" s="544" t="s">
        <v>4</v>
      </c>
      <c r="BD894" s="545"/>
      <c r="BE894" s="545"/>
      <c r="BF894" s="545"/>
      <c r="BG894" s="545"/>
      <c r="BH894" s="545"/>
      <c r="BI894" s="545"/>
      <c r="BJ894" s="545"/>
      <c r="BK894" s="545"/>
      <c r="BL894" s="545"/>
      <c r="BM894" s="545"/>
      <c r="BN894" s="545"/>
      <c r="BO894" s="545"/>
      <c r="BP894" s="545"/>
      <c r="BQ894" s="545"/>
      <c r="BR894" s="546"/>
      <c r="BS894" s="544" t="s">
        <v>4</v>
      </c>
      <c r="BT894" s="545"/>
      <c r="BU894" s="545"/>
      <c r="BV894" s="545"/>
      <c r="BW894" s="545"/>
      <c r="BX894" s="545"/>
      <c r="BY894" s="545"/>
      <c r="BZ894" s="545"/>
      <c r="CA894" s="545"/>
      <c r="CB894" s="545"/>
      <c r="CC894" s="545"/>
      <c r="CD894" s="545"/>
      <c r="CE894" s="545"/>
      <c r="CF894" s="545"/>
      <c r="CG894" s="545"/>
      <c r="CH894" s="546"/>
      <c r="CI894" s="544"/>
      <c r="CJ894" s="545"/>
      <c r="CK894" s="545"/>
      <c r="CL894" s="545"/>
      <c r="CM894" s="545"/>
      <c r="CN894" s="545"/>
      <c r="CO894" s="545"/>
      <c r="CP894" s="545"/>
      <c r="CQ894" s="545"/>
      <c r="CR894" s="545"/>
      <c r="CS894" s="545"/>
      <c r="CT894" s="545"/>
      <c r="CU894" s="545"/>
      <c r="CV894" s="545"/>
      <c r="CW894" s="545"/>
      <c r="CX894" s="545"/>
      <c r="CY894" s="545"/>
      <c r="CZ894" s="546"/>
    </row>
    <row r="895" spans="1:105" s="20" customFormat="1" ht="13.5" hidden="1" customHeight="1" x14ac:dyDescent="0.25">
      <c r="A895" s="553" t="s">
        <v>56</v>
      </c>
      <c r="B895" s="554"/>
      <c r="C895" s="554"/>
      <c r="D895" s="554"/>
      <c r="E895" s="554"/>
      <c r="F895" s="554"/>
      <c r="G895" s="554"/>
      <c r="H895" s="554"/>
      <c r="I895" s="554"/>
      <c r="J895" s="554"/>
      <c r="K895" s="554"/>
      <c r="L895" s="554"/>
      <c r="M895" s="554"/>
      <c r="N895" s="554"/>
      <c r="O895" s="554"/>
      <c r="P895" s="554"/>
      <c r="Q895" s="554"/>
      <c r="R895" s="554"/>
      <c r="S895" s="554"/>
      <c r="T895" s="554"/>
      <c r="U895" s="554"/>
      <c r="V895" s="554"/>
      <c r="W895" s="554"/>
      <c r="X895" s="554"/>
      <c r="Y895" s="554"/>
      <c r="Z895" s="554"/>
      <c r="AA895" s="554"/>
      <c r="AB895" s="554"/>
      <c r="AC895" s="554"/>
      <c r="AD895" s="554"/>
      <c r="AE895" s="554"/>
      <c r="AF895" s="554"/>
      <c r="AG895" s="554"/>
      <c r="AH895" s="554"/>
      <c r="AI895" s="554"/>
      <c r="AJ895" s="554"/>
      <c r="AK895" s="554"/>
      <c r="AL895" s="554"/>
      <c r="AM895" s="554"/>
      <c r="AN895" s="554"/>
      <c r="AO895" s="554"/>
      <c r="AP895" s="554"/>
      <c r="AQ895" s="554"/>
      <c r="AR895" s="554"/>
      <c r="AS895" s="554"/>
      <c r="AT895" s="554"/>
      <c r="AU895" s="554"/>
      <c r="AV895" s="554"/>
      <c r="AW895" s="554"/>
      <c r="AX895" s="554"/>
      <c r="AY895" s="554"/>
      <c r="AZ895" s="554"/>
      <c r="BA895" s="554"/>
      <c r="BB895" s="555"/>
      <c r="BC895" s="544" t="s">
        <v>4</v>
      </c>
      <c r="BD895" s="545"/>
      <c r="BE895" s="545"/>
      <c r="BF895" s="545"/>
      <c r="BG895" s="545"/>
      <c r="BH895" s="545"/>
      <c r="BI895" s="545"/>
      <c r="BJ895" s="545"/>
      <c r="BK895" s="545"/>
      <c r="BL895" s="545"/>
      <c r="BM895" s="545"/>
      <c r="BN895" s="545"/>
      <c r="BO895" s="545"/>
      <c r="BP895" s="545"/>
      <c r="BQ895" s="545"/>
      <c r="BR895" s="546"/>
      <c r="BS895" s="544" t="s">
        <v>4</v>
      </c>
      <c r="BT895" s="545"/>
      <c r="BU895" s="545"/>
      <c r="BV895" s="545"/>
      <c r="BW895" s="545"/>
      <c r="BX895" s="545"/>
      <c r="BY895" s="545"/>
      <c r="BZ895" s="545"/>
      <c r="CA895" s="545"/>
      <c r="CB895" s="545"/>
      <c r="CC895" s="545"/>
      <c r="CD895" s="545"/>
      <c r="CE895" s="545"/>
      <c r="CF895" s="545"/>
      <c r="CG895" s="545"/>
      <c r="CH895" s="546"/>
      <c r="CI895" s="544"/>
      <c r="CJ895" s="545"/>
      <c r="CK895" s="545"/>
      <c r="CL895" s="545"/>
      <c r="CM895" s="545"/>
      <c r="CN895" s="545"/>
      <c r="CO895" s="545"/>
      <c r="CP895" s="545"/>
      <c r="CQ895" s="545"/>
      <c r="CR895" s="545"/>
      <c r="CS895" s="545"/>
      <c r="CT895" s="545"/>
      <c r="CU895" s="545"/>
      <c r="CV895" s="545"/>
      <c r="CW895" s="545"/>
      <c r="CX895" s="545"/>
      <c r="CY895" s="545"/>
      <c r="CZ895" s="546"/>
    </row>
    <row r="896" spans="1:105" s="20" customFormat="1" ht="13.5" hidden="1"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c r="BC896" s="223"/>
      <c r="BD896" s="223"/>
      <c r="BE896" s="223"/>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23"/>
      <c r="CH896" s="223"/>
      <c r="CI896" s="223"/>
      <c r="CJ896" s="223"/>
      <c r="CK896" s="223"/>
      <c r="CL896" s="223"/>
      <c r="CM896" s="223"/>
      <c r="CN896" s="223"/>
      <c r="CO896" s="223"/>
      <c r="CP896" s="223"/>
      <c r="CQ896" s="223"/>
      <c r="CR896" s="223"/>
      <c r="CS896" s="223"/>
      <c r="CT896" s="223"/>
      <c r="CU896" s="223"/>
      <c r="CV896" s="223"/>
      <c r="CW896" s="223"/>
      <c r="CX896" s="223"/>
      <c r="CY896" s="223"/>
      <c r="CZ896" s="223"/>
    </row>
    <row r="897" spans="1:111" s="20" customFormat="1" ht="13.5" hidden="1" customHeight="1" x14ac:dyDescent="0.25">
      <c r="A897" s="524" t="s">
        <v>367</v>
      </c>
      <c r="B897" s="524"/>
      <c r="C897" s="524"/>
      <c r="D897" s="524"/>
      <c r="E897" s="524"/>
      <c r="F897" s="524"/>
      <c r="G897" s="524"/>
      <c r="H897" s="524"/>
      <c r="I897" s="524"/>
      <c r="J897" s="524"/>
      <c r="K897" s="524"/>
      <c r="L897" s="524"/>
      <c r="M897" s="524"/>
      <c r="N897" s="524"/>
      <c r="O897" s="524"/>
      <c r="P897" s="524"/>
      <c r="Q897" s="524"/>
      <c r="R897" s="524"/>
      <c r="S897" s="524"/>
      <c r="T897" s="524"/>
      <c r="U897" s="524"/>
      <c r="V897" s="524"/>
      <c r="W897" s="524"/>
      <c r="X897" s="524"/>
      <c r="Y897" s="524"/>
      <c r="Z897" s="524"/>
      <c r="AA897" s="524"/>
      <c r="AB897" s="524"/>
      <c r="AC897" s="524"/>
      <c r="AD897" s="524"/>
      <c r="AE897" s="524"/>
      <c r="AF897" s="524"/>
      <c r="AG897" s="524"/>
      <c r="AH897" s="524"/>
      <c r="AI897" s="524"/>
      <c r="AJ897" s="524"/>
      <c r="AK897" s="524"/>
      <c r="AL897" s="524"/>
      <c r="AM897" s="524"/>
      <c r="AN897" s="524"/>
      <c r="AO897" s="524"/>
      <c r="AP897" s="524"/>
      <c r="AQ897" s="524"/>
      <c r="AR897" s="524"/>
      <c r="AS897" s="524"/>
      <c r="AT897" s="524"/>
      <c r="AU897" s="524"/>
      <c r="AV897" s="524"/>
      <c r="AW897" s="524"/>
      <c r="AX897" s="524"/>
      <c r="AY897" s="524"/>
      <c r="AZ897" s="524"/>
      <c r="BA897" s="524"/>
      <c r="BB897" s="524"/>
      <c r="BC897" s="524"/>
      <c r="BD897" s="524"/>
      <c r="BE897" s="524"/>
      <c r="BF897" s="524"/>
      <c r="BG897" s="524"/>
      <c r="BH897" s="524"/>
      <c r="BI897" s="524"/>
      <c r="BJ897" s="524"/>
      <c r="BK897" s="524"/>
      <c r="BL897" s="524"/>
      <c r="BM897" s="524"/>
      <c r="BN897" s="524"/>
      <c r="BO897" s="524"/>
      <c r="BP897" s="524"/>
      <c r="BQ897" s="524"/>
      <c r="BR897" s="524"/>
      <c r="BS897" s="524"/>
      <c r="BT897" s="524"/>
      <c r="BU897" s="524"/>
      <c r="BV897" s="524"/>
      <c r="BW897" s="524"/>
      <c r="BX897" s="524"/>
      <c r="BY897" s="524"/>
      <c r="BZ897" s="524"/>
      <c r="CA897" s="524"/>
      <c r="CB897" s="524"/>
      <c r="CC897" s="524"/>
      <c r="CD897" s="524"/>
      <c r="CE897" s="524"/>
      <c r="CF897" s="524"/>
      <c r="CG897" s="524"/>
      <c r="CH897" s="524"/>
      <c r="CI897" s="524"/>
      <c r="CJ897" s="524"/>
      <c r="CK897" s="524"/>
      <c r="CL897" s="524"/>
      <c r="CM897" s="524"/>
      <c r="CN897" s="524"/>
      <c r="CO897" s="524"/>
      <c r="CP897" s="524"/>
      <c r="CQ897" s="524"/>
      <c r="CR897" s="524"/>
      <c r="CS897" s="524"/>
      <c r="CT897" s="524"/>
      <c r="CU897" s="524"/>
      <c r="CV897" s="524"/>
      <c r="CW897" s="524"/>
      <c r="CX897" s="524"/>
      <c r="CY897" s="524"/>
      <c r="CZ897" s="524"/>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24" t="s">
        <v>264</v>
      </c>
      <c r="B899" s="524"/>
      <c r="C899" s="524"/>
      <c r="D899" s="524"/>
      <c r="E899" s="524"/>
      <c r="F899" s="524"/>
      <c r="G899" s="524"/>
      <c r="H899" s="524"/>
      <c r="I899" s="524"/>
      <c r="J899" s="524"/>
      <c r="K899" s="524"/>
      <c r="L899" s="524"/>
      <c r="M899" s="524"/>
      <c r="N899" s="524"/>
      <c r="O899" s="524"/>
      <c r="P899" s="524"/>
      <c r="Q899" s="524"/>
      <c r="R899" s="524"/>
      <c r="S899" s="524"/>
      <c r="T899" s="524"/>
      <c r="U899" s="524"/>
      <c r="V899" s="524"/>
      <c r="W899" s="524"/>
      <c r="X899" s="524"/>
      <c r="Y899" s="524"/>
      <c r="Z899" s="524"/>
      <c r="AA899" s="524"/>
      <c r="AB899" s="524"/>
      <c r="AC899" s="524"/>
      <c r="AD899" s="524"/>
      <c r="AE899" s="524"/>
      <c r="AF899" s="524"/>
      <c r="AG899" s="524"/>
      <c r="AH899" s="524"/>
      <c r="AI899" s="524"/>
      <c r="AJ899" s="524"/>
      <c r="AK899" s="524"/>
      <c r="AL899" s="524"/>
      <c r="AM899" s="524"/>
      <c r="AN899" s="524"/>
      <c r="AO899" s="524"/>
      <c r="AP899" s="524"/>
      <c r="AQ899" s="524"/>
      <c r="AR899" s="524"/>
      <c r="AS899" s="524"/>
      <c r="AT899" s="524"/>
      <c r="AU899" s="524"/>
      <c r="AV899" s="524"/>
      <c r="AW899" s="524"/>
      <c r="AX899" s="524"/>
      <c r="AY899" s="524"/>
      <c r="AZ899" s="524"/>
      <c r="BA899" s="524"/>
      <c r="BB899" s="524"/>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475" t="s">
        <v>49</v>
      </c>
      <c r="B901" s="476"/>
      <c r="C901" s="476"/>
      <c r="D901" s="476"/>
      <c r="E901" s="476"/>
      <c r="F901" s="476"/>
      <c r="G901" s="477"/>
      <c r="H901" s="475" t="s">
        <v>0</v>
      </c>
      <c r="I901" s="476"/>
      <c r="J901" s="476"/>
      <c r="K901" s="476"/>
      <c r="L901" s="476"/>
      <c r="M901" s="476"/>
      <c r="N901" s="476"/>
      <c r="O901" s="476"/>
      <c r="P901" s="476"/>
      <c r="Q901" s="476"/>
      <c r="R901" s="476"/>
      <c r="S901" s="476"/>
      <c r="T901" s="476"/>
      <c r="U901" s="476"/>
      <c r="V901" s="476"/>
      <c r="W901" s="476"/>
      <c r="X901" s="476"/>
      <c r="Y901" s="476"/>
      <c r="Z901" s="476"/>
      <c r="AA901" s="476"/>
      <c r="AB901" s="476"/>
      <c r="AC901" s="476"/>
      <c r="AD901" s="476"/>
      <c r="AE901" s="476"/>
      <c r="AF901" s="476"/>
      <c r="AG901" s="476"/>
      <c r="AH901" s="476"/>
      <c r="AI901" s="476"/>
      <c r="AJ901" s="476"/>
      <c r="AK901" s="476"/>
      <c r="AL901" s="476"/>
      <c r="AM901" s="476"/>
      <c r="AN901" s="476"/>
      <c r="AO901" s="476"/>
      <c r="AP901" s="476"/>
      <c r="AQ901" s="476"/>
      <c r="AR901" s="476"/>
      <c r="AS901" s="476"/>
      <c r="AT901" s="476"/>
      <c r="AU901" s="476"/>
      <c r="AV901" s="476"/>
      <c r="AW901" s="476"/>
      <c r="AX901" s="476"/>
      <c r="AY901" s="476"/>
      <c r="AZ901" s="476"/>
      <c r="BA901" s="476"/>
      <c r="BB901" s="477"/>
      <c r="BC901" s="475" t="s">
        <v>265</v>
      </c>
      <c r="BD901" s="476"/>
      <c r="BE901" s="476"/>
      <c r="BF901" s="476"/>
      <c r="BG901" s="476"/>
      <c r="BH901" s="476"/>
      <c r="BI901" s="476"/>
      <c r="BJ901" s="476"/>
      <c r="BK901" s="476"/>
      <c r="BL901" s="476"/>
      <c r="BM901" s="476"/>
      <c r="BN901" s="476"/>
      <c r="BO901" s="476"/>
      <c r="BP901" s="476"/>
      <c r="BQ901" s="476"/>
      <c r="BR901" s="476"/>
      <c r="BS901" s="476"/>
      <c r="BT901" s="476"/>
      <c r="BU901" s="476"/>
      <c r="BV901" s="476"/>
      <c r="BW901" s="476"/>
      <c r="BX901" s="476"/>
      <c r="BY901" s="476"/>
      <c r="BZ901" s="476"/>
      <c r="CA901" s="476"/>
      <c r="CB901" s="476"/>
      <c r="CC901" s="476"/>
      <c r="CD901" s="476"/>
      <c r="CE901" s="476"/>
      <c r="CF901" s="476"/>
      <c r="CG901" s="476"/>
      <c r="CH901" s="476"/>
      <c r="CI901" s="476"/>
      <c r="CJ901" s="476"/>
      <c r="CK901" s="476"/>
      <c r="CL901" s="476"/>
      <c r="CM901" s="476"/>
      <c r="CN901" s="476"/>
      <c r="CO901" s="476"/>
      <c r="CP901" s="476"/>
      <c r="CQ901" s="476"/>
      <c r="CR901" s="476"/>
      <c r="CS901" s="476"/>
      <c r="CT901" s="476"/>
      <c r="CU901" s="476"/>
      <c r="CV901" s="476"/>
      <c r="CW901" s="476"/>
      <c r="CX901" s="476"/>
      <c r="CY901" s="476"/>
      <c r="CZ901" s="477"/>
    </row>
    <row r="902" spans="1:111" s="20" customFormat="1" ht="13.5" hidden="1" customHeight="1" x14ac:dyDescent="0.25">
      <c r="A902" s="661">
        <v>1</v>
      </c>
      <c r="B902" s="662"/>
      <c r="C902" s="662"/>
      <c r="D902" s="662"/>
      <c r="E902" s="662"/>
      <c r="F902" s="662"/>
      <c r="G902" s="663"/>
      <c r="H902" s="661">
        <v>2</v>
      </c>
      <c r="I902" s="662"/>
      <c r="J902" s="662"/>
      <c r="K902" s="662"/>
      <c r="L902" s="662"/>
      <c r="M902" s="662"/>
      <c r="N902" s="662"/>
      <c r="O902" s="662"/>
      <c r="P902" s="662"/>
      <c r="Q902" s="662"/>
      <c r="R902" s="662"/>
      <c r="S902" s="662"/>
      <c r="T902" s="662"/>
      <c r="U902" s="662"/>
      <c r="V902" s="662"/>
      <c r="W902" s="662"/>
      <c r="X902" s="662"/>
      <c r="Y902" s="662"/>
      <c r="Z902" s="662"/>
      <c r="AA902" s="662"/>
      <c r="AB902" s="662"/>
      <c r="AC902" s="662"/>
      <c r="AD902" s="662"/>
      <c r="AE902" s="662"/>
      <c r="AF902" s="662"/>
      <c r="AG902" s="662"/>
      <c r="AH902" s="662"/>
      <c r="AI902" s="662"/>
      <c r="AJ902" s="662"/>
      <c r="AK902" s="662"/>
      <c r="AL902" s="662"/>
      <c r="AM902" s="662"/>
      <c r="AN902" s="662"/>
      <c r="AO902" s="662"/>
      <c r="AP902" s="662"/>
      <c r="AQ902" s="662"/>
      <c r="AR902" s="662"/>
      <c r="AS902" s="662"/>
      <c r="AT902" s="662"/>
      <c r="AU902" s="662"/>
      <c r="AV902" s="662"/>
      <c r="AW902" s="662"/>
      <c r="AX902" s="662"/>
      <c r="AY902" s="662"/>
      <c r="AZ902" s="662"/>
      <c r="BA902" s="662"/>
      <c r="BB902" s="663"/>
      <c r="BC902" s="661">
        <v>3</v>
      </c>
      <c r="BD902" s="662"/>
      <c r="BE902" s="662"/>
      <c r="BF902" s="662"/>
      <c r="BG902" s="662"/>
      <c r="BH902" s="662"/>
      <c r="BI902" s="662"/>
      <c r="BJ902" s="662"/>
      <c r="BK902" s="662"/>
      <c r="BL902" s="662"/>
      <c r="BM902" s="662"/>
      <c r="BN902" s="662"/>
      <c r="BO902" s="662"/>
      <c r="BP902" s="662"/>
      <c r="BQ902" s="662"/>
      <c r="BR902" s="662"/>
      <c r="BS902" s="662"/>
      <c r="BT902" s="662"/>
      <c r="BU902" s="662"/>
      <c r="BV902" s="662"/>
      <c r="BW902" s="662"/>
      <c r="BX902" s="662"/>
      <c r="BY902" s="662"/>
      <c r="BZ902" s="662"/>
      <c r="CA902" s="662"/>
      <c r="CB902" s="662"/>
      <c r="CC902" s="662"/>
      <c r="CD902" s="662"/>
      <c r="CE902" s="662"/>
      <c r="CF902" s="662"/>
      <c r="CG902" s="662"/>
      <c r="CH902" s="662"/>
      <c r="CI902" s="662"/>
      <c r="CJ902" s="662"/>
      <c r="CK902" s="662"/>
      <c r="CL902" s="662"/>
      <c r="CM902" s="662"/>
      <c r="CN902" s="662"/>
      <c r="CO902" s="662"/>
      <c r="CP902" s="662"/>
      <c r="CQ902" s="662"/>
      <c r="CR902" s="662"/>
      <c r="CS902" s="662"/>
      <c r="CT902" s="662"/>
      <c r="CU902" s="662"/>
      <c r="CV902" s="662"/>
      <c r="CW902" s="662"/>
      <c r="CX902" s="662"/>
      <c r="CY902" s="662"/>
      <c r="CZ902" s="663"/>
    </row>
    <row r="903" spans="1:111" s="20" customFormat="1" ht="13.5" hidden="1" customHeight="1" x14ac:dyDescent="0.25">
      <c r="A903" s="648" t="s">
        <v>258</v>
      </c>
      <c r="B903" s="649"/>
      <c r="C903" s="649"/>
      <c r="D903" s="649"/>
      <c r="E903" s="649"/>
      <c r="F903" s="649"/>
      <c r="G903" s="649"/>
      <c r="H903" s="649"/>
      <c r="I903" s="649"/>
      <c r="J903" s="649"/>
      <c r="K903" s="649"/>
      <c r="L903" s="649"/>
      <c r="M903" s="649"/>
      <c r="N903" s="649"/>
      <c r="O903" s="649"/>
      <c r="P903" s="649"/>
      <c r="Q903" s="649"/>
      <c r="R903" s="649"/>
      <c r="S903" s="649"/>
      <c r="T903" s="649"/>
      <c r="U903" s="649"/>
      <c r="V903" s="649"/>
      <c r="W903" s="649"/>
      <c r="X903" s="649"/>
      <c r="Y903" s="649"/>
      <c r="Z903" s="649"/>
      <c r="AA903" s="649"/>
      <c r="AB903" s="649"/>
      <c r="AC903" s="649"/>
      <c r="AD903" s="649"/>
      <c r="AE903" s="649"/>
      <c r="AF903" s="649"/>
      <c r="AG903" s="649"/>
      <c r="AH903" s="649"/>
      <c r="AI903" s="649"/>
      <c r="AJ903" s="649"/>
      <c r="AK903" s="649"/>
      <c r="AL903" s="649"/>
      <c r="AM903" s="649"/>
      <c r="AN903" s="649"/>
      <c r="AO903" s="649"/>
      <c r="AP903" s="649"/>
      <c r="AQ903" s="649"/>
      <c r="AR903" s="649"/>
      <c r="AS903" s="649"/>
      <c r="AT903" s="649"/>
      <c r="AU903" s="649"/>
      <c r="AV903" s="649"/>
      <c r="AW903" s="649"/>
      <c r="AX903" s="649"/>
      <c r="AY903" s="649"/>
      <c r="AZ903" s="649"/>
      <c r="BA903" s="649"/>
      <c r="BB903" s="649"/>
      <c r="BC903" s="649"/>
      <c r="BD903" s="649"/>
      <c r="BE903" s="649"/>
      <c r="BF903" s="649"/>
      <c r="BG903" s="649"/>
      <c r="BH903" s="649"/>
      <c r="BI903" s="649"/>
      <c r="BJ903" s="649"/>
      <c r="BK903" s="649"/>
      <c r="BL903" s="649"/>
      <c r="BM903" s="649"/>
      <c r="BN903" s="649"/>
      <c r="BO903" s="649"/>
      <c r="BP903" s="649"/>
      <c r="BQ903" s="649"/>
      <c r="BR903" s="649"/>
      <c r="BS903" s="649"/>
      <c r="BT903" s="649"/>
      <c r="BU903" s="649"/>
      <c r="BV903" s="649"/>
      <c r="BW903" s="649"/>
      <c r="BX903" s="649"/>
      <c r="BY903" s="649"/>
      <c r="BZ903" s="649"/>
      <c r="CA903" s="649"/>
      <c r="CB903" s="649"/>
      <c r="CC903" s="649"/>
      <c r="CD903" s="649"/>
      <c r="CE903" s="649"/>
      <c r="CF903" s="649"/>
      <c r="CG903" s="649"/>
      <c r="CH903" s="649"/>
      <c r="CI903" s="649"/>
      <c r="CJ903" s="649"/>
      <c r="CK903" s="649"/>
      <c r="CL903" s="649"/>
      <c r="CM903" s="649"/>
      <c r="CN903" s="649"/>
      <c r="CO903" s="649"/>
      <c r="CP903" s="649"/>
      <c r="CQ903" s="649"/>
      <c r="CR903" s="649"/>
      <c r="CS903" s="649"/>
      <c r="CT903" s="649"/>
      <c r="CU903" s="649"/>
      <c r="CV903" s="649"/>
      <c r="CW903" s="649"/>
      <c r="CX903" s="649"/>
      <c r="CY903" s="649"/>
      <c r="CZ903" s="649"/>
    </row>
    <row r="904" spans="1:111" s="20" customFormat="1" ht="13.5" hidden="1" customHeight="1" x14ac:dyDescent="0.25">
      <c r="A904" s="630"/>
      <c r="B904" s="631"/>
      <c r="C904" s="631"/>
      <c r="D904" s="631"/>
      <c r="E904" s="631"/>
      <c r="F904" s="631"/>
      <c r="G904" s="632"/>
      <c r="H904" s="584"/>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5"/>
      <c r="AL904" s="585"/>
      <c r="AM904" s="585"/>
      <c r="AN904" s="585"/>
      <c r="AO904" s="585"/>
      <c r="AP904" s="585"/>
      <c r="AQ904" s="585"/>
      <c r="AR904" s="585"/>
      <c r="AS904" s="585"/>
      <c r="AT904" s="585"/>
      <c r="AU904" s="585"/>
      <c r="AV904" s="585"/>
      <c r="AW904" s="585"/>
      <c r="AX904" s="585"/>
      <c r="AY904" s="585"/>
      <c r="AZ904" s="585"/>
      <c r="BA904" s="585"/>
      <c r="BB904" s="586"/>
      <c r="BC904" s="544"/>
      <c r="BD904" s="545"/>
      <c r="BE904" s="545"/>
      <c r="BF904" s="545"/>
      <c r="BG904" s="545"/>
      <c r="BH904" s="545"/>
      <c r="BI904" s="545"/>
      <c r="BJ904" s="545"/>
      <c r="BK904" s="545"/>
      <c r="BL904" s="545"/>
      <c r="BM904" s="545"/>
      <c r="BN904" s="545"/>
      <c r="BO904" s="545"/>
      <c r="BP904" s="545"/>
      <c r="BQ904" s="545"/>
      <c r="BR904" s="545"/>
      <c r="BS904" s="545"/>
      <c r="BT904" s="545"/>
      <c r="BU904" s="545"/>
      <c r="BV904" s="545"/>
      <c r="BW904" s="545"/>
      <c r="BX904" s="545"/>
      <c r="BY904" s="545"/>
      <c r="BZ904" s="545"/>
      <c r="CA904" s="545"/>
      <c r="CB904" s="545"/>
      <c r="CC904" s="545"/>
      <c r="CD904" s="545"/>
      <c r="CE904" s="545"/>
      <c r="CF904" s="545"/>
      <c r="CG904" s="545"/>
      <c r="CH904" s="545"/>
      <c r="CI904" s="545"/>
      <c r="CJ904" s="545"/>
      <c r="CK904" s="545"/>
      <c r="CL904" s="545"/>
      <c r="CM904" s="545"/>
      <c r="CN904" s="545"/>
      <c r="CO904" s="545"/>
      <c r="CP904" s="545"/>
      <c r="CQ904" s="545"/>
      <c r="CR904" s="545"/>
      <c r="CS904" s="545"/>
      <c r="CT904" s="545"/>
      <c r="CU904" s="545"/>
      <c r="CV904" s="545"/>
      <c r="CW904" s="545"/>
      <c r="CX904" s="545"/>
      <c r="CY904" s="545"/>
      <c r="CZ904" s="546"/>
    </row>
    <row r="905" spans="1:111" s="20" customFormat="1" ht="13.5" hidden="1" customHeight="1" x14ac:dyDescent="0.25">
      <c r="A905" s="633" t="s">
        <v>292</v>
      </c>
      <c r="B905" s="634"/>
      <c r="C905" s="634"/>
      <c r="D905" s="634"/>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c r="AA905" s="634"/>
      <c r="AB905" s="634"/>
      <c r="AC905" s="634"/>
      <c r="AD905" s="634"/>
      <c r="AE905" s="634"/>
      <c r="AF905" s="634"/>
      <c r="AG905" s="634"/>
      <c r="AH905" s="634"/>
      <c r="AI905" s="634"/>
      <c r="AJ905" s="634"/>
      <c r="AK905" s="634"/>
      <c r="AL905" s="634"/>
      <c r="AM905" s="634"/>
      <c r="AN905" s="634"/>
      <c r="AO905" s="634"/>
      <c r="AP905" s="634"/>
      <c r="AQ905" s="634"/>
      <c r="AR905" s="634"/>
      <c r="AS905" s="634"/>
      <c r="AT905" s="634"/>
      <c r="AU905" s="634"/>
      <c r="AV905" s="634"/>
      <c r="AW905" s="634"/>
      <c r="AX905" s="634"/>
      <c r="AY905" s="634"/>
      <c r="AZ905" s="634"/>
      <c r="BA905" s="634"/>
      <c r="BB905" s="635"/>
      <c r="BC905" s="544"/>
      <c r="BD905" s="545"/>
      <c r="BE905" s="545"/>
      <c r="BF905" s="545"/>
      <c r="BG905" s="545"/>
      <c r="BH905" s="545"/>
      <c r="BI905" s="545"/>
      <c r="BJ905" s="545"/>
      <c r="BK905" s="545"/>
      <c r="BL905" s="545"/>
      <c r="BM905" s="545"/>
      <c r="BN905" s="545"/>
      <c r="BO905" s="545"/>
      <c r="BP905" s="545"/>
      <c r="BQ905" s="545"/>
      <c r="BR905" s="545"/>
      <c r="BS905" s="545"/>
      <c r="BT905" s="545"/>
      <c r="BU905" s="545"/>
      <c r="BV905" s="545"/>
      <c r="BW905" s="545"/>
      <c r="BX905" s="545"/>
      <c r="BY905" s="545"/>
      <c r="BZ905" s="545"/>
      <c r="CA905" s="545"/>
      <c r="CB905" s="545"/>
      <c r="CC905" s="545"/>
      <c r="CD905" s="545"/>
      <c r="CE905" s="545"/>
      <c r="CF905" s="545"/>
      <c r="CG905" s="545"/>
      <c r="CH905" s="545"/>
      <c r="CI905" s="545"/>
      <c r="CJ905" s="545"/>
      <c r="CK905" s="545"/>
      <c r="CL905" s="545"/>
      <c r="CM905" s="545"/>
      <c r="CN905" s="545"/>
      <c r="CO905" s="545"/>
      <c r="CP905" s="545"/>
      <c r="CQ905" s="545"/>
      <c r="CR905" s="545"/>
      <c r="CS905" s="545"/>
      <c r="CT905" s="545"/>
      <c r="CU905" s="545"/>
      <c r="CV905" s="545"/>
      <c r="CW905" s="545"/>
      <c r="CX905" s="545"/>
      <c r="CY905" s="545"/>
      <c r="CZ905" s="546"/>
    </row>
    <row r="906" spans="1:111" s="20" customFormat="1" ht="13.5" hidden="1" customHeight="1" x14ac:dyDescent="0.25">
      <c r="A906" s="648" t="s">
        <v>258</v>
      </c>
      <c r="B906" s="649"/>
      <c r="C906" s="649"/>
      <c r="D906" s="649"/>
      <c r="E906" s="649"/>
      <c r="F906" s="649"/>
      <c r="G906" s="649"/>
      <c r="H906" s="649"/>
      <c r="I906" s="649"/>
      <c r="J906" s="649"/>
      <c r="K906" s="649"/>
      <c r="L906" s="649"/>
      <c r="M906" s="649"/>
      <c r="N906" s="649"/>
      <c r="O906" s="649"/>
      <c r="P906" s="649"/>
      <c r="Q906" s="649"/>
      <c r="R906" s="649"/>
      <c r="S906" s="649"/>
      <c r="T906" s="649"/>
      <c r="U906" s="649"/>
      <c r="V906" s="649"/>
      <c r="W906" s="649"/>
      <c r="X906" s="649"/>
      <c r="Y906" s="649"/>
      <c r="Z906" s="649"/>
      <c r="AA906" s="649"/>
      <c r="AB906" s="649"/>
      <c r="AC906" s="649"/>
      <c r="AD906" s="649"/>
      <c r="AE906" s="649"/>
      <c r="AF906" s="649"/>
      <c r="AG906" s="649"/>
      <c r="AH906" s="649"/>
      <c r="AI906" s="649"/>
      <c r="AJ906" s="649"/>
      <c r="AK906" s="649"/>
      <c r="AL906" s="649"/>
      <c r="AM906" s="649"/>
      <c r="AN906" s="649"/>
      <c r="AO906" s="649"/>
      <c r="AP906" s="649"/>
      <c r="AQ906" s="649"/>
      <c r="AR906" s="649"/>
      <c r="AS906" s="649"/>
      <c r="AT906" s="649"/>
      <c r="AU906" s="649"/>
      <c r="AV906" s="649"/>
      <c r="AW906" s="649"/>
      <c r="AX906" s="649"/>
      <c r="AY906" s="649"/>
      <c r="AZ906" s="649"/>
      <c r="BA906" s="649"/>
      <c r="BB906" s="649"/>
      <c r="BC906" s="649"/>
      <c r="BD906" s="649"/>
      <c r="BE906" s="649"/>
      <c r="BF906" s="649"/>
      <c r="BG906" s="649"/>
      <c r="BH906" s="649"/>
      <c r="BI906" s="649"/>
      <c r="BJ906" s="649"/>
      <c r="BK906" s="649"/>
      <c r="BL906" s="649"/>
      <c r="BM906" s="649"/>
      <c r="BN906" s="649"/>
      <c r="BO906" s="649"/>
      <c r="BP906" s="649"/>
      <c r="BQ906" s="649"/>
      <c r="BR906" s="649"/>
      <c r="BS906" s="649"/>
      <c r="BT906" s="649"/>
      <c r="BU906" s="649"/>
      <c r="BV906" s="649"/>
      <c r="BW906" s="649"/>
      <c r="BX906" s="649"/>
      <c r="BY906" s="649"/>
      <c r="BZ906" s="649"/>
      <c r="CA906" s="649"/>
      <c r="CB906" s="649"/>
      <c r="CC906" s="649"/>
      <c r="CD906" s="649"/>
      <c r="CE906" s="649"/>
      <c r="CF906" s="649"/>
      <c r="CG906" s="649"/>
      <c r="CH906" s="649"/>
      <c r="CI906" s="649"/>
      <c r="CJ906" s="649"/>
      <c r="CK906" s="649"/>
      <c r="CL906" s="649"/>
      <c r="CM906" s="649"/>
      <c r="CN906" s="649"/>
      <c r="CO906" s="649"/>
      <c r="CP906" s="649"/>
      <c r="CQ906" s="649"/>
      <c r="CR906" s="649"/>
      <c r="CS906" s="649"/>
      <c r="CT906" s="649"/>
      <c r="CU906" s="649"/>
      <c r="CV906" s="649"/>
      <c r="CW906" s="649"/>
      <c r="CX906" s="649"/>
      <c r="CY906" s="649"/>
      <c r="CZ906" s="649"/>
    </row>
    <row r="907" spans="1:111" s="20" customFormat="1" ht="13.5" hidden="1" customHeight="1" x14ac:dyDescent="0.25">
      <c r="A907" s="630"/>
      <c r="B907" s="631"/>
      <c r="C907" s="631"/>
      <c r="D907" s="631"/>
      <c r="E907" s="631"/>
      <c r="F907" s="631"/>
      <c r="G907" s="632"/>
      <c r="H907" s="584"/>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5"/>
      <c r="AL907" s="585"/>
      <c r="AM907" s="585"/>
      <c r="AN907" s="585"/>
      <c r="AO907" s="585"/>
      <c r="AP907" s="585"/>
      <c r="AQ907" s="585"/>
      <c r="AR907" s="585"/>
      <c r="AS907" s="585"/>
      <c r="AT907" s="585"/>
      <c r="AU907" s="585"/>
      <c r="AV907" s="585"/>
      <c r="AW907" s="585"/>
      <c r="AX907" s="585"/>
      <c r="AY907" s="585"/>
      <c r="AZ907" s="585"/>
      <c r="BA907" s="585"/>
      <c r="BB907" s="586"/>
      <c r="BC907" s="544"/>
      <c r="BD907" s="545"/>
      <c r="BE907" s="545"/>
      <c r="BF907" s="545"/>
      <c r="BG907" s="545"/>
      <c r="BH907" s="545"/>
      <c r="BI907" s="545"/>
      <c r="BJ907" s="545"/>
      <c r="BK907" s="545"/>
      <c r="BL907" s="545"/>
      <c r="BM907" s="545"/>
      <c r="BN907" s="545"/>
      <c r="BO907" s="545"/>
      <c r="BP907" s="545"/>
      <c r="BQ907" s="545"/>
      <c r="BR907" s="545"/>
      <c r="BS907" s="545"/>
      <c r="BT907" s="545"/>
      <c r="BU907" s="545"/>
      <c r="BV907" s="545"/>
      <c r="BW907" s="545"/>
      <c r="BX907" s="545"/>
      <c r="BY907" s="545"/>
      <c r="BZ907" s="545"/>
      <c r="CA907" s="545"/>
      <c r="CB907" s="545"/>
      <c r="CC907" s="545"/>
      <c r="CD907" s="545"/>
      <c r="CE907" s="545"/>
      <c r="CF907" s="545"/>
      <c r="CG907" s="545"/>
      <c r="CH907" s="545"/>
      <c r="CI907" s="545"/>
      <c r="CJ907" s="545"/>
      <c r="CK907" s="545"/>
      <c r="CL907" s="545"/>
      <c r="CM907" s="545"/>
      <c r="CN907" s="545"/>
      <c r="CO907" s="545"/>
      <c r="CP907" s="545"/>
      <c r="CQ907" s="545"/>
      <c r="CR907" s="545"/>
      <c r="CS907" s="545"/>
      <c r="CT907" s="545"/>
      <c r="CU907" s="545"/>
      <c r="CV907" s="545"/>
      <c r="CW907" s="545"/>
      <c r="CX907" s="545"/>
      <c r="CY907" s="545"/>
      <c r="CZ907" s="546"/>
    </row>
    <row r="908" spans="1:111" s="20" customFormat="1" ht="13.5" hidden="1" customHeight="1" x14ac:dyDescent="0.25">
      <c r="A908" s="633" t="s">
        <v>292</v>
      </c>
      <c r="B908" s="634"/>
      <c r="C908" s="634"/>
      <c r="D908" s="634"/>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c r="AA908" s="634"/>
      <c r="AB908" s="634"/>
      <c r="AC908" s="634"/>
      <c r="AD908" s="634"/>
      <c r="AE908" s="634"/>
      <c r="AF908" s="634"/>
      <c r="AG908" s="634"/>
      <c r="AH908" s="634"/>
      <c r="AI908" s="634"/>
      <c r="AJ908" s="634"/>
      <c r="AK908" s="634"/>
      <c r="AL908" s="634"/>
      <c r="AM908" s="634"/>
      <c r="AN908" s="634"/>
      <c r="AO908" s="634"/>
      <c r="AP908" s="634"/>
      <c r="AQ908" s="634"/>
      <c r="AR908" s="634"/>
      <c r="AS908" s="634"/>
      <c r="AT908" s="634"/>
      <c r="AU908" s="634"/>
      <c r="AV908" s="634"/>
      <c r="AW908" s="634"/>
      <c r="AX908" s="634"/>
      <c r="AY908" s="634"/>
      <c r="AZ908" s="634"/>
      <c r="BA908" s="634"/>
      <c r="BB908" s="635"/>
      <c r="BC908" s="544"/>
      <c r="BD908" s="545"/>
      <c r="BE908" s="545"/>
      <c r="BF908" s="545"/>
      <c r="BG908" s="545"/>
      <c r="BH908" s="545"/>
      <c r="BI908" s="545"/>
      <c r="BJ908" s="545"/>
      <c r="BK908" s="545"/>
      <c r="BL908" s="545"/>
      <c r="BM908" s="545"/>
      <c r="BN908" s="545"/>
      <c r="BO908" s="545"/>
      <c r="BP908" s="545"/>
      <c r="BQ908" s="545"/>
      <c r="BR908" s="545"/>
      <c r="BS908" s="545"/>
      <c r="BT908" s="545"/>
      <c r="BU908" s="545"/>
      <c r="BV908" s="545"/>
      <c r="BW908" s="545"/>
      <c r="BX908" s="545"/>
      <c r="BY908" s="545"/>
      <c r="BZ908" s="545"/>
      <c r="CA908" s="545"/>
      <c r="CB908" s="545"/>
      <c r="CC908" s="545"/>
      <c r="CD908" s="545"/>
      <c r="CE908" s="545"/>
      <c r="CF908" s="545"/>
      <c r="CG908" s="545"/>
      <c r="CH908" s="545"/>
      <c r="CI908" s="545"/>
      <c r="CJ908" s="545"/>
      <c r="CK908" s="545"/>
      <c r="CL908" s="545"/>
      <c r="CM908" s="545"/>
      <c r="CN908" s="545"/>
      <c r="CO908" s="545"/>
      <c r="CP908" s="545"/>
      <c r="CQ908" s="545"/>
      <c r="CR908" s="545"/>
      <c r="CS908" s="545"/>
      <c r="CT908" s="545"/>
      <c r="CU908" s="545"/>
      <c r="CV908" s="545"/>
      <c r="CW908" s="545"/>
      <c r="CX908" s="545"/>
      <c r="CY908" s="545"/>
      <c r="CZ908" s="546"/>
    </row>
    <row r="909" spans="1:111" s="20" customFormat="1" ht="13.5" hidden="1" customHeight="1" x14ac:dyDescent="0.25">
      <c r="A909" s="633" t="s">
        <v>37</v>
      </c>
      <c r="B909" s="634"/>
      <c r="C909" s="634"/>
      <c r="D909" s="634"/>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c r="AA909" s="634"/>
      <c r="AB909" s="634"/>
      <c r="AC909" s="634"/>
      <c r="AD909" s="634"/>
      <c r="AE909" s="634"/>
      <c r="AF909" s="634"/>
      <c r="AG909" s="634"/>
      <c r="AH909" s="634"/>
      <c r="AI909" s="634"/>
      <c r="AJ909" s="634"/>
      <c r="AK909" s="634"/>
      <c r="AL909" s="634"/>
      <c r="AM909" s="634"/>
      <c r="AN909" s="634"/>
      <c r="AO909" s="634"/>
      <c r="AP909" s="634"/>
      <c r="AQ909" s="634"/>
      <c r="AR909" s="634"/>
      <c r="AS909" s="634"/>
      <c r="AT909" s="634"/>
      <c r="AU909" s="634"/>
      <c r="AV909" s="634"/>
      <c r="AW909" s="634"/>
      <c r="AX909" s="634"/>
      <c r="AY909" s="634"/>
      <c r="AZ909" s="634"/>
      <c r="BA909" s="634"/>
      <c r="BB909" s="635"/>
      <c r="BC909" s="544"/>
      <c r="BD909" s="545"/>
      <c r="BE909" s="545"/>
      <c r="BF909" s="545"/>
      <c r="BG909" s="545"/>
      <c r="BH909" s="545"/>
      <c r="BI909" s="545"/>
      <c r="BJ909" s="545"/>
      <c r="BK909" s="545"/>
      <c r="BL909" s="545"/>
      <c r="BM909" s="545"/>
      <c r="BN909" s="545"/>
      <c r="BO909" s="545"/>
      <c r="BP909" s="545"/>
      <c r="BQ909" s="545"/>
      <c r="BR909" s="545"/>
      <c r="BS909" s="545"/>
      <c r="BT909" s="545"/>
      <c r="BU909" s="545"/>
      <c r="BV909" s="545"/>
      <c r="BW909" s="545"/>
      <c r="BX909" s="545"/>
      <c r="BY909" s="545"/>
      <c r="BZ909" s="545"/>
      <c r="CA909" s="545"/>
      <c r="CB909" s="545"/>
      <c r="CC909" s="545"/>
      <c r="CD909" s="545"/>
      <c r="CE909" s="545"/>
      <c r="CF909" s="545"/>
      <c r="CG909" s="545"/>
      <c r="CH909" s="545"/>
      <c r="CI909" s="545"/>
      <c r="CJ909" s="545"/>
      <c r="CK909" s="545"/>
      <c r="CL909" s="545"/>
      <c r="CM909" s="545"/>
      <c r="CN909" s="545"/>
      <c r="CO909" s="545"/>
      <c r="CP909" s="545"/>
      <c r="CQ909" s="545"/>
      <c r="CR909" s="545"/>
      <c r="CS909" s="545"/>
      <c r="CT909" s="545"/>
      <c r="CU909" s="545"/>
      <c r="CV909" s="545"/>
      <c r="CW909" s="545"/>
      <c r="CX909" s="545"/>
      <c r="CY909" s="545"/>
      <c r="CZ909" s="546"/>
    </row>
    <row r="910" spans="1:111" s="20" customFormat="1" ht="13.5"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c r="BC910" s="223"/>
      <c r="BD910" s="223"/>
      <c r="BE910" s="223"/>
      <c r="BF910" s="223"/>
      <c r="BG910" s="223"/>
      <c r="BH910" s="223"/>
      <c r="BI910" s="223"/>
      <c r="BJ910" s="223"/>
      <c r="BK910" s="223"/>
      <c r="BL910" s="223"/>
      <c r="BM910" s="223"/>
      <c r="BN910" s="223"/>
      <c r="BO910" s="223"/>
      <c r="BP910" s="223"/>
      <c r="BQ910" s="223"/>
      <c r="BR910" s="223"/>
      <c r="BS910" s="223"/>
      <c r="BT910" s="223"/>
      <c r="BU910" s="223"/>
      <c r="BV910" s="223"/>
      <c r="BW910" s="223"/>
      <c r="BX910" s="223"/>
      <c r="BY910" s="223"/>
      <c r="BZ910" s="223"/>
      <c r="CA910" s="223"/>
      <c r="CB910" s="223"/>
      <c r="CC910" s="223"/>
      <c r="CD910" s="223"/>
      <c r="CE910" s="223"/>
      <c r="CF910" s="223"/>
      <c r="CG910" s="223"/>
      <c r="CH910" s="223"/>
      <c r="CI910" s="223"/>
      <c r="CJ910" s="223"/>
      <c r="CK910" s="223"/>
      <c r="CL910" s="223"/>
      <c r="CM910" s="223"/>
      <c r="CN910" s="223"/>
      <c r="CO910" s="223"/>
      <c r="CP910" s="223"/>
      <c r="CQ910" s="223"/>
      <c r="CR910" s="223"/>
      <c r="CS910" s="223"/>
      <c r="CT910" s="223"/>
      <c r="CU910" s="223"/>
      <c r="CV910" s="223"/>
      <c r="CW910" s="223"/>
      <c r="CX910" s="223"/>
      <c r="CY910" s="223"/>
      <c r="CZ910" s="223"/>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48" t="s">
        <v>464</v>
      </c>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c r="AA912" s="665"/>
      <c r="AB912" s="666"/>
      <c r="AC912" s="666"/>
      <c r="AD912" s="666"/>
      <c r="AE912" s="666"/>
      <c r="AF912" s="666"/>
      <c r="AG912" s="666"/>
      <c r="AH912" s="666"/>
      <c r="AI912" s="666"/>
      <c r="AJ912" s="666"/>
      <c r="AK912" s="666"/>
      <c r="AL912" s="666"/>
      <c r="AM912" s="666"/>
      <c r="AN912" s="667"/>
      <c r="AO912" s="668">
        <f>CI73+CI501+CI571+CI642+CI857+CI877+CI213</f>
        <v>0</v>
      </c>
      <c r="AP912" s="668"/>
      <c r="AQ912" s="668"/>
      <c r="AR912" s="668"/>
      <c r="AS912" s="668"/>
      <c r="AT912" s="668"/>
      <c r="AU912" s="668"/>
      <c r="AV912" s="668"/>
      <c r="AW912" s="668"/>
      <c r="AX912" s="668"/>
      <c r="AY912" s="668"/>
      <c r="AZ912" s="668"/>
      <c r="BA912" s="668"/>
      <c r="BB912" s="668"/>
      <c r="BC912" s="668">
        <f>CI12+CI67+CI96+CL115+BV111+CI203+CI234+CI250+CK313+CI343+CK361+CK407+CK426+CI481+CI550+CI617+CI736+CI871-0.01</f>
        <v>124422999.99351999</v>
      </c>
      <c r="BD912" s="457"/>
      <c r="BE912" s="457"/>
      <c r="BF912" s="457"/>
      <c r="BG912" s="457"/>
      <c r="BH912" s="457"/>
      <c r="BI912" s="457"/>
      <c r="BJ912" s="457"/>
      <c r="BK912" s="457"/>
      <c r="BL912" s="457"/>
      <c r="BM912" s="457"/>
      <c r="BN912" s="457"/>
      <c r="BO912" s="457"/>
      <c r="BP912" s="457"/>
      <c r="BQ912" s="457"/>
      <c r="BR912" s="457"/>
      <c r="BS912" s="668">
        <f>CI16+BV118+CL127+CI265+CK318+CK370+CK412+CI488+CI556+CI592+CI842+CK393+CI254+CI296+CK431+CL162</f>
        <v>13334599.99694</v>
      </c>
      <c r="BT912" s="457"/>
      <c r="BU912" s="457"/>
      <c r="BV912" s="457"/>
      <c r="BW912" s="457"/>
      <c r="BX912" s="457"/>
      <c r="BY912" s="457"/>
      <c r="BZ912" s="457"/>
      <c r="CA912" s="457"/>
      <c r="CB912" s="457"/>
      <c r="CC912" s="457"/>
      <c r="CD912" s="457"/>
      <c r="CE912" s="457"/>
      <c r="CF912" s="457"/>
      <c r="CG912" s="457"/>
      <c r="CH912" s="457"/>
      <c r="CI912" s="665">
        <f>CI17+CI74+CL143+BV106+BV123+CI203+CI213+CI234+CI255+CI269+CK319+CI344+CK371+CK394+CK413+CI572+CI650+CI861+CI881+CI502+CI297+CI96+CI432+CK432+CL162</f>
        <v>137757600.00046</v>
      </c>
      <c r="CJ912" s="666"/>
      <c r="CK912" s="666"/>
      <c r="CL912" s="666"/>
      <c r="CM912" s="666"/>
      <c r="CN912" s="666"/>
      <c r="CO912" s="666"/>
      <c r="CP912" s="666"/>
      <c r="CQ912" s="666"/>
      <c r="CR912" s="666"/>
      <c r="CS912" s="666"/>
      <c r="CT912" s="666"/>
      <c r="CU912" s="666"/>
      <c r="CV912" s="666"/>
      <c r="CW912" s="666"/>
      <c r="CX912" s="666"/>
      <c r="CY912" s="666"/>
      <c r="CZ912" s="667"/>
      <c r="DA912" s="243"/>
      <c r="DB912" s="250"/>
      <c r="DG912" s="250"/>
    </row>
    <row r="913" spans="1:113" x14ac:dyDescent="0.25">
      <c r="AA913" s="665"/>
      <c r="AB913" s="666"/>
      <c r="AC913" s="666"/>
      <c r="AD913" s="666"/>
      <c r="AE913" s="666"/>
      <c r="AF913" s="666"/>
      <c r="AG913" s="666"/>
      <c r="AH913" s="666"/>
      <c r="AI913" s="666"/>
      <c r="AJ913" s="666"/>
      <c r="AK913" s="666"/>
      <c r="AL913" s="666"/>
      <c r="AM913" s="666"/>
      <c r="AN913" s="667"/>
      <c r="AO913" s="668">
        <v>0</v>
      </c>
      <c r="AP913" s="668"/>
      <c r="AQ913" s="668"/>
      <c r="AR913" s="668"/>
      <c r="AS913" s="668"/>
      <c r="AT913" s="668"/>
      <c r="AU913" s="668"/>
      <c r="AV913" s="668"/>
      <c r="AW913" s="668"/>
      <c r="AX913" s="668"/>
      <c r="AY913" s="668"/>
      <c r="AZ913" s="668"/>
      <c r="BA913" s="668"/>
      <c r="BB913" s="668"/>
      <c r="BC913" s="668">
        <f>124423000</f>
        <v>124423000</v>
      </c>
      <c r="BD913" s="457"/>
      <c r="BE913" s="457"/>
      <c r="BF913" s="457"/>
      <c r="BG913" s="457"/>
      <c r="BH913" s="457"/>
      <c r="BI913" s="457"/>
      <c r="BJ913" s="457"/>
      <c r="BK913" s="457"/>
      <c r="BL913" s="457"/>
      <c r="BM913" s="457"/>
      <c r="BN913" s="457"/>
      <c r="BO913" s="457"/>
      <c r="BP913" s="457"/>
      <c r="BQ913" s="457"/>
      <c r="BR913" s="457"/>
      <c r="BS913" s="668">
        <f>12854600+480000</f>
        <v>13334600</v>
      </c>
      <c r="BT913" s="668"/>
      <c r="BU913" s="668"/>
      <c r="BV913" s="668"/>
      <c r="BW913" s="668"/>
      <c r="BX913" s="668"/>
      <c r="BY913" s="668"/>
      <c r="BZ913" s="668"/>
      <c r="CA913" s="668"/>
      <c r="CB913" s="668"/>
      <c r="CC913" s="668"/>
      <c r="CD913" s="668"/>
      <c r="CE913" s="668"/>
      <c r="CF913" s="668"/>
      <c r="CG913" s="668"/>
      <c r="CH913" s="668"/>
      <c r="CI913" s="668">
        <f>AO913+BC913+BS913</f>
        <v>137757600</v>
      </c>
      <c r="CJ913" s="668"/>
      <c r="CK913" s="668"/>
      <c r="CL913" s="668"/>
      <c r="CM913" s="668"/>
      <c r="CN913" s="668"/>
      <c r="CO913" s="668"/>
      <c r="CP913" s="668"/>
      <c r="CQ913" s="668"/>
      <c r="CR913" s="668"/>
      <c r="CS913" s="668"/>
      <c r="CT913" s="668"/>
      <c r="CU913" s="668"/>
      <c r="CV913" s="668"/>
      <c r="CW913" s="668"/>
      <c r="CX913" s="668"/>
      <c r="CY913" s="668"/>
      <c r="CZ913" s="668"/>
      <c r="DA913" s="243"/>
      <c r="DG913" s="250"/>
    </row>
    <row r="914" spans="1:113" x14ac:dyDescent="0.25">
      <c r="A914" s="669" t="s">
        <v>1000</v>
      </c>
      <c r="B914" s="670"/>
      <c r="C914" s="670"/>
      <c r="D914" s="670"/>
      <c r="E914" s="670"/>
      <c r="F914" s="670"/>
      <c r="G914" s="670"/>
      <c r="H914" s="670"/>
      <c r="I914" s="670"/>
      <c r="J914" s="670"/>
      <c r="K914" s="670"/>
      <c r="L914" s="670"/>
      <c r="M914" s="670"/>
      <c r="N914" s="670"/>
      <c r="O914" s="670"/>
      <c r="P914" s="670"/>
      <c r="Q914" s="670"/>
      <c r="R914" s="670"/>
      <c r="S914" s="670"/>
      <c r="T914" s="670"/>
      <c r="U914" s="670"/>
      <c r="V914" s="670"/>
      <c r="W914" s="670"/>
      <c r="X914" s="670"/>
      <c r="Y914" s="670"/>
      <c r="Z914" s="671"/>
      <c r="AA914" s="665"/>
      <c r="AB914" s="666"/>
      <c r="AC914" s="666"/>
      <c r="AD914" s="666"/>
      <c r="AE914" s="666"/>
      <c r="AF914" s="666"/>
      <c r="AG914" s="666"/>
      <c r="AH914" s="666"/>
      <c r="AI914" s="666"/>
      <c r="AJ914" s="666"/>
      <c r="AK914" s="666"/>
      <c r="AL914" s="666"/>
      <c r="AM914" s="666"/>
      <c r="AN914" s="667"/>
      <c r="AO914" s="668">
        <v>0</v>
      </c>
      <c r="AP914" s="668"/>
      <c r="AQ914" s="668"/>
      <c r="AR914" s="668"/>
      <c r="AS914" s="668"/>
      <c r="AT914" s="668"/>
      <c r="AU914" s="668"/>
      <c r="AV914" s="668"/>
      <c r="AW914" s="668"/>
      <c r="AX914" s="668"/>
      <c r="AY914" s="668"/>
      <c r="AZ914" s="668"/>
      <c r="BA914" s="668"/>
      <c r="BB914" s="668"/>
      <c r="BC914" s="668"/>
      <c r="BD914" s="457"/>
      <c r="BE914" s="457"/>
      <c r="BF914" s="457"/>
      <c r="BG914" s="457"/>
      <c r="BH914" s="457"/>
      <c r="BI914" s="457"/>
      <c r="BJ914" s="457"/>
      <c r="BK914" s="457"/>
      <c r="BL914" s="457"/>
      <c r="BM914" s="457"/>
      <c r="BN914" s="457"/>
      <c r="BO914" s="457"/>
      <c r="BP914" s="457"/>
      <c r="BQ914" s="457"/>
      <c r="BR914" s="457"/>
      <c r="BS914" s="668"/>
      <c r="BT914" s="457"/>
      <c r="BU914" s="457"/>
      <c r="BV914" s="457"/>
      <c r="BW914" s="457"/>
      <c r="BX914" s="457"/>
      <c r="BY914" s="457"/>
      <c r="BZ914" s="457"/>
      <c r="CA914" s="457"/>
      <c r="CB914" s="457"/>
      <c r="CC914" s="457"/>
      <c r="CD914" s="457"/>
      <c r="CE914" s="457"/>
      <c r="CF914" s="457"/>
      <c r="CG914" s="457"/>
      <c r="CH914" s="457"/>
      <c r="CI914" s="668">
        <f>BC914+BS914</f>
        <v>0</v>
      </c>
      <c r="CJ914" s="457"/>
      <c r="CK914" s="457"/>
      <c r="CL914" s="457"/>
      <c r="CM914" s="457"/>
      <c r="CN914" s="457"/>
      <c r="CO914" s="457"/>
      <c r="CP914" s="457"/>
      <c r="CQ914" s="457"/>
      <c r="CR914" s="457"/>
      <c r="CS914" s="457"/>
      <c r="CT914" s="457"/>
      <c r="CU914" s="457"/>
      <c r="CV914" s="457"/>
      <c r="CW914" s="457"/>
      <c r="CX914" s="457"/>
      <c r="CY914" s="457"/>
      <c r="CZ914" s="457"/>
      <c r="DA914" s="243"/>
      <c r="DG914" s="250"/>
    </row>
    <row r="915" spans="1:113" x14ac:dyDescent="0.25">
      <c r="AA915" s="665"/>
      <c r="AB915" s="666"/>
      <c r="AC915" s="666"/>
      <c r="AD915" s="666"/>
      <c r="AE915" s="666"/>
      <c r="AF915" s="666"/>
      <c r="AG915" s="666"/>
      <c r="AH915" s="666"/>
      <c r="AI915" s="666"/>
      <c r="AJ915" s="666"/>
      <c r="AK915" s="666"/>
      <c r="AL915" s="666"/>
      <c r="AM915" s="666"/>
      <c r="AN915" s="667"/>
      <c r="AO915" s="668">
        <f>AO912-AO913</f>
        <v>0</v>
      </c>
      <c r="AP915" s="457"/>
      <c r="AQ915" s="457"/>
      <c r="AR915" s="457"/>
      <c r="AS915" s="457"/>
      <c r="AT915" s="457"/>
      <c r="AU915" s="457"/>
      <c r="AV915" s="457"/>
      <c r="AW915" s="457"/>
      <c r="AX915" s="457"/>
      <c r="AY915" s="457"/>
      <c r="AZ915" s="457"/>
      <c r="BA915" s="457"/>
      <c r="BB915" s="457"/>
      <c r="BC915" s="668">
        <f>BC913+BC914-BC912</f>
        <v>6.4800083637237549E-3</v>
      </c>
      <c r="BD915" s="668"/>
      <c r="BE915" s="668"/>
      <c r="BF915" s="668"/>
      <c r="BG915" s="668"/>
      <c r="BH915" s="668"/>
      <c r="BI915" s="668"/>
      <c r="BJ915" s="668"/>
      <c r="BK915" s="668"/>
      <c r="BL915" s="668"/>
      <c r="BM915" s="668"/>
      <c r="BN915" s="668"/>
      <c r="BO915" s="668"/>
      <c r="BP915" s="668"/>
      <c r="BQ915" s="668"/>
      <c r="BR915" s="668"/>
      <c r="BS915" s="668">
        <f>BS913+BS914-BS912</f>
        <v>3.060000017285347E-3</v>
      </c>
      <c r="BT915" s="457"/>
      <c r="BU915" s="457"/>
      <c r="BV915" s="457"/>
      <c r="BW915" s="457"/>
      <c r="BX915" s="457"/>
      <c r="BY915" s="457"/>
      <c r="BZ915" s="457"/>
      <c r="CA915" s="457"/>
      <c r="CB915" s="457"/>
      <c r="CC915" s="457"/>
      <c r="CD915" s="457"/>
      <c r="CE915" s="457"/>
      <c r="CF915" s="457"/>
      <c r="CG915" s="457"/>
      <c r="CH915" s="457"/>
      <c r="CI915" s="668">
        <f>CI912-CI913-CI914</f>
        <v>4.5999884605407715E-4</v>
      </c>
      <c r="CJ915" s="457"/>
      <c r="CK915" s="457"/>
      <c r="CL915" s="457"/>
      <c r="CM915" s="457"/>
      <c r="CN915" s="457"/>
      <c r="CO915" s="457"/>
      <c r="CP915" s="457"/>
      <c r="CQ915" s="457"/>
      <c r="CR915" s="457"/>
      <c r="CS915" s="457"/>
      <c r="CT915" s="457"/>
      <c r="CU915" s="457"/>
      <c r="CV915" s="457"/>
      <c r="CW915" s="457"/>
      <c r="CX915" s="457"/>
      <c r="CY915" s="457"/>
      <c r="CZ915" s="457"/>
      <c r="DA915" s="243"/>
      <c r="DG915" s="250"/>
      <c r="DI915" s="20"/>
    </row>
    <row r="916" spans="1:113" x14ac:dyDescent="0.25">
      <c r="DA916" s="243"/>
      <c r="DG916" s="250"/>
    </row>
    <row r="919" spans="1:113" x14ac:dyDescent="0.25">
      <c r="DA919" s="243"/>
    </row>
  </sheetData>
  <mergeCells count="3618">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GW425:HL425"/>
    <mergeCell ref="HM425:IB425"/>
    <mergeCell ref="IC425:IR425"/>
    <mergeCell ref="IS425:JH425"/>
    <mergeCell ref="H422:BB422"/>
    <mergeCell ref="H423:BB423"/>
    <mergeCell ref="H425:BB425"/>
    <mergeCell ref="H424:BB424"/>
    <mergeCell ref="BC422:BR422"/>
    <mergeCell ref="BC423:BR423"/>
    <mergeCell ref="BC424:BR424"/>
    <mergeCell ref="BC425:BR425"/>
    <mergeCell ref="BS422:CH422"/>
    <mergeCell ref="BS423:CH423"/>
    <mergeCell ref="BS424:CH424"/>
    <mergeCell ref="BS425:CH425"/>
    <mergeCell ref="A897:CZ897"/>
    <mergeCell ref="A899:BB899"/>
    <mergeCell ref="A901:G901"/>
    <mergeCell ref="H901:BB901"/>
    <mergeCell ref="BC901:CZ901"/>
    <mergeCell ref="A903:CZ903"/>
    <mergeCell ref="A904:G904"/>
    <mergeCell ref="H904:BB904"/>
    <mergeCell ref="BC904:CZ904"/>
    <mergeCell ref="A905:BB905"/>
    <mergeCell ref="A906:CZ906"/>
    <mergeCell ref="A907:G907"/>
    <mergeCell ref="H907:BB907"/>
    <mergeCell ref="BC907:CZ907"/>
    <mergeCell ref="A908:BB908"/>
    <mergeCell ref="A914:Z914"/>
    <mergeCell ref="AA915:AN915"/>
    <mergeCell ref="AO915:BB915"/>
    <mergeCell ref="BC915:BR915"/>
    <mergeCell ref="BS915:CH915"/>
    <mergeCell ref="CI915:CZ915"/>
    <mergeCell ref="CI913:CZ913"/>
    <mergeCell ref="AA914:AN914"/>
    <mergeCell ref="AO914:BB914"/>
    <mergeCell ref="BC914:BR914"/>
    <mergeCell ref="BS914:CH914"/>
    <mergeCell ref="CI914:CZ914"/>
    <mergeCell ref="AA912:AN912"/>
    <mergeCell ref="AO912:BB912"/>
    <mergeCell ref="BC912:BR912"/>
    <mergeCell ref="BS912:CH912"/>
    <mergeCell ref="CI912:CZ912"/>
    <mergeCell ref="A891:BB891"/>
    <mergeCell ref="BC891:BR891"/>
    <mergeCell ref="BS891:CH891"/>
    <mergeCell ref="CI891:CZ891"/>
    <mergeCell ref="A892:CZ892"/>
    <mergeCell ref="A893:G893"/>
    <mergeCell ref="H893:AT893"/>
    <mergeCell ref="AU893:BB893"/>
    <mergeCell ref="BC893:BR893"/>
    <mergeCell ref="BS893:CH893"/>
    <mergeCell ref="CI893:CZ893"/>
    <mergeCell ref="A894:BB894"/>
    <mergeCell ref="BC894:BR894"/>
    <mergeCell ref="BS894:CH894"/>
    <mergeCell ref="CI894:CZ894"/>
    <mergeCell ref="BC895:BR895"/>
    <mergeCell ref="BS895:CH895"/>
    <mergeCell ref="CI895:CZ895"/>
    <mergeCell ref="W885:CZ885"/>
    <mergeCell ref="A887:G887"/>
    <mergeCell ref="H887:AT887"/>
    <mergeCell ref="AU887:BB887"/>
    <mergeCell ref="BC887:BR887"/>
    <mergeCell ref="BS887:CH887"/>
    <mergeCell ref="CI887:CZ887"/>
    <mergeCell ref="H888:AT888"/>
    <mergeCell ref="AU888:BB888"/>
    <mergeCell ref="BC888:BR888"/>
    <mergeCell ref="BS888:CH888"/>
    <mergeCell ref="CI888:CZ888"/>
    <mergeCell ref="A889:CZ889"/>
    <mergeCell ref="A890:G890"/>
    <mergeCell ref="H890:AT890"/>
    <mergeCell ref="AU890:BB890"/>
    <mergeCell ref="BC890:BR890"/>
    <mergeCell ref="BS890:CH890"/>
    <mergeCell ref="CI890:CZ890"/>
    <mergeCell ref="A871:BR871"/>
    <mergeCell ref="BS871:CH871"/>
    <mergeCell ref="CI871:CZ871"/>
    <mergeCell ref="A872:CZ872"/>
    <mergeCell ref="A873:G873"/>
    <mergeCell ref="H873:BR873"/>
    <mergeCell ref="BS873:CH873"/>
    <mergeCell ref="CI873:CZ873"/>
    <mergeCell ref="A874:BR874"/>
    <mergeCell ref="A875:CZ875"/>
    <mergeCell ref="A876:G876"/>
    <mergeCell ref="H876:BR876"/>
    <mergeCell ref="BS876:CH876"/>
    <mergeCell ref="CI876:CZ876"/>
    <mergeCell ref="A877:BR877"/>
    <mergeCell ref="A878:CZ878"/>
    <mergeCell ref="A879:G879"/>
    <mergeCell ref="H879:BR879"/>
    <mergeCell ref="BS879:CH879"/>
    <mergeCell ref="CI879:CZ879"/>
    <mergeCell ref="CI860:CZ860"/>
    <mergeCell ref="A861:BB861"/>
    <mergeCell ref="BC861:BR861"/>
    <mergeCell ref="BS861:CH861"/>
    <mergeCell ref="CI861:CZ861"/>
    <mergeCell ref="A863:CZ863"/>
    <mergeCell ref="W865:CZ865"/>
    <mergeCell ref="A867:G867"/>
    <mergeCell ref="H867:BR867"/>
    <mergeCell ref="BS867:CH867"/>
    <mergeCell ref="CI867:CZ867"/>
    <mergeCell ref="H868:BR868"/>
    <mergeCell ref="A869:CZ869"/>
    <mergeCell ref="A870:G870"/>
    <mergeCell ref="H870:BR870"/>
    <mergeCell ref="BS870:CH870"/>
    <mergeCell ref="CI870:CZ870"/>
    <mergeCell ref="H800:AT800"/>
    <mergeCell ref="AU800:BB800"/>
    <mergeCell ref="H801:AT801"/>
    <mergeCell ref="AU801:BB801"/>
    <mergeCell ref="A800:G800"/>
    <mergeCell ref="BC800:BR800"/>
    <mergeCell ref="BS800:CH800"/>
    <mergeCell ref="CI800:CZ800"/>
    <mergeCell ref="A801:G801"/>
    <mergeCell ref="BC801:BR801"/>
    <mergeCell ref="BS801:CH801"/>
    <mergeCell ref="CI801:CZ801"/>
    <mergeCell ref="A798:G798"/>
    <mergeCell ref="BC798:BR798"/>
    <mergeCell ref="BS798:CH798"/>
    <mergeCell ref="CI798:CZ798"/>
    <mergeCell ref="A797:G797"/>
    <mergeCell ref="BC797:BR797"/>
    <mergeCell ref="BS797:CH797"/>
    <mergeCell ref="A794:G794"/>
    <mergeCell ref="H794:AT794"/>
    <mergeCell ref="AU794:BB794"/>
    <mergeCell ref="BC794:BR794"/>
    <mergeCell ref="BS794:CH794"/>
    <mergeCell ref="CI794:CZ794"/>
    <mergeCell ref="BC796:BR796"/>
    <mergeCell ref="BS796:CH796"/>
    <mergeCell ref="CI796:CZ796"/>
    <mergeCell ref="H797:AT797"/>
    <mergeCell ref="AU797:BB797"/>
    <mergeCell ref="H798:AT798"/>
    <mergeCell ref="AU798:BB798"/>
    <mergeCell ref="A799:G799"/>
    <mergeCell ref="H799:AT799"/>
    <mergeCell ref="AU799:BB799"/>
    <mergeCell ref="BC799:BR799"/>
    <mergeCell ref="BS799:CH799"/>
    <mergeCell ref="CI799:CZ799"/>
    <mergeCell ref="CI797:CZ797"/>
    <mergeCell ref="A795:G795"/>
    <mergeCell ref="H795:AT795"/>
    <mergeCell ref="AU795:BB795"/>
    <mergeCell ref="BC795:BR795"/>
    <mergeCell ref="BS795:CH795"/>
    <mergeCell ref="CI795:CZ795"/>
    <mergeCell ref="A796:G796"/>
    <mergeCell ref="H796:AT796"/>
    <mergeCell ref="AU796:BB796"/>
    <mergeCell ref="A790:G790"/>
    <mergeCell ref="H790:AT790"/>
    <mergeCell ref="AU790:BB790"/>
    <mergeCell ref="BC790:BR790"/>
    <mergeCell ref="A791:G791"/>
    <mergeCell ref="H791:AT791"/>
    <mergeCell ref="AU791:BB791"/>
    <mergeCell ref="BC791:BR791"/>
    <mergeCell ref="A792:G792"/>
    <mergeCell ref="H792:AT792"/>
    <mergeCell ref="AU792:BB792"/>
    <mergeCell ref="BC792:BR792"/>
    <mergeCell ref="BS792:CH792"/>
    <mergeCell ref="CI792:CZ792"/>
    <mergeCell ref="A793:G793"/>
    <mergeCell ref="H793:AT793"/>
    <mergeCell ref="AU793:BB793"/>
    <mergeCell ref="BC793:BR793"/>
    <mergeCell ref="BS793:CH793"/>
    <mergeCell ref="CI793:CZ793"/>
    <mergeCell ref="BS790:CH790"/>
    <mergeCell ref="CI790:CZ790"/>
    <mergeCell ref="BS791:CH791"/>
    <mergeCell ref="CI791:CZ791"/>
    <mergeCell ref="H777:AT777"/>
    <mergeCell ref="AU777:BB777"/>
    <mergeCell ref="BC777:BR777"/>
    <mergeCell ref="H778:AT778"/>
    <mergeCell ref="AU778:BB778"/>
    <mergeCell ref="BC778:BR778"/>
    <mergeCell ref="A779:G779"/>
    <mergeCell ref="H779:AT779"/>
    <mergeCell ref="AU779:BB779"/>
    <mergeCell ref="BC779:BR779"/>
    <mergeCell ref="BS779:CH779"/>
    <mergeCell ref="CI779:CZ779"/>
    <mergeCell ref="H780:AT780"/>
    <mergeCell ref="AU780:BB780"/>
    <mergeCell ref="BC780:BR780"/>
    <mergeCell ref="A781:G781"/>
    <mergeCell ref="H781:AT781"/>
    <mergeCell ref="AU781:BB781"/>
    <mergeCell ref="BC781:BR781"/>
    <mergeCell ref="A778:G778"/>
    <mergeCell ref="BS778:CH778"/>
    <mergeCell ref="CI778:CZ778"/>
    <mergeCell ref="A780:G780"/>
    <mergeCell ref="BS780:CH780"/>
    <mergeCell ref="CI780:CZ780"/>
    <mergeCell ref="A777:G777"/>
    <mergeCell ref="BS777:CH777"/>
    <mergeCell ref="CI777:CZ777"/>
    <mergeCell ref="A774:G774"/>
    <mergeCell ref="H774:AT774"/>
    <mergeCell ref="AU774:BB774"/>
    <mergeCell ref="BC774:BR774"/>
    <mergeCell ref="BS774:CH774"/>
    <mergeCell ref="CI774:CZ774"/>
    <mergeCell ref="A775:G775"/>
    <mergeCell ref="H775:AT775"/>
    <mergeCell ref="AU775:BB775"/>
    <mergeCell ref="BC775:BR775"/>
    <mergeCell ref="BS775:CH775"/>
    <mergeCell ref="CI775:CZ775"/>
    <mergeCell ref="A776:G776"/>
    <mergeCell ref="H776:AT776"/>
    <mergeCell ref="AU776:BB776"/>
    <mergeCell ref="BC776:BR776"/>
    <mergeCell ref="BS776:CH776"/>
    <mergeCell ref="CI776:CZ776"/>
    <mergeCell ref="A770:G770"/>
    <mergeCell ref="H770:AT770"/>
    <mergeCell ref="AU770:BB770"/>
    <mergeCell ref="BC770:BR770"/>
    <mergeCell ref="A771:G771"/>
    <mergeCell ref="H771:AT771"/>
    <mergeCell ref="AU771:BB771"/>
    <mergeCell ref="A772:G772"/>
    <mergeCell ref="H772:AT772"/>
    <mergeCell ref="AU772:BB772"/>
    <mergeCell ref="BC772:BR772"/>
    <mergeCell ref="BS772:CH772"/>
    <mergeCell ref="CI772:CZ772"/>
    <mergeCell ref="A773:G773"/>
    <mergeCell ref="H773:AT773"/>
    <mergeCell ref="AU773:BB773"/>
    <mergeCell ref="BC773:BR773"/>
    <mergeCell ref="BS773:CH773"/>
    <mergeCell ref="CI773:CZ773"/>
    <mergeCell ref="BS770:CH770"/>
    <mergeCell ref="CI770:CZ770"/>
    <mergeCell ref="BC771:BR771"/>
    <mergeCell ref="BS771:CH771"/>
    <mergeCell ref="CI771:CZ771"/>
    <mergeCell ref="A585:G585"/>
    <mergeCell ref="H585:BB585"/>
    <mergeCell ref="BC585:BR585"/>
    <mergeCell ref="BS585:CH585"/>
    <mergeCell ref="CI585:CZ585"/>
    <mergeCell ref="H586:BB586"/>
    <mergeCell ref="H587:BB587"/>
    <mergeCell ref="A588:G588"/>
    <mergeCell ref="H588:BB588"/>
    <mergeCell ref="BC588:BR588"/>
    <mergeCell ref="BS588:CH588"/>
    <mergeCell ref="CI588:CZ588"/>
    <mergeCell ref="H589:BB589"/>
    <mergeCell ref="A587:G587"/>
    <mergeCell ref="BC587:BR587"/>
    <mergeCell ref="BS587:CH587"/>
    <mergeCell ref="CI587:CZ587"/>
    <mergeCell ref="A586:G586"/>
    <mergeCell ref="BC586:BR586"/>
    <mergeCell ref="BS586:CH586"/>
    <mergeCell ref="CI586:CZ586"/>
    <mergeCell ref="BS584:CH584"/>
    <mergeCell ref="CI584:CZ584"/>
    <mergeCell ref="A582:G582"/>
    <mergeCell ref="H582:BB582"/>
    <mergeCell ref="BC582:BR582"/>
    <mergeCell ref="BS582:CH582"/>
    <mergeCell ref="CI582:CZ582"/>
    <mergeCell ref="A583:G583"/>
    <mergeCell ref="H583:BB583"/>
    <mergeCell ref="BC583:BR583"/>
    <mergeCell ref="BS583:CH583"/>
    <mergeCell ref="CI583:CZ583"/>
    <mergeCell ref="A584:G584"/>
    <mergeCell ref="BC579:BR579"/>
    <mergeCell ref="BS579:CH579"/>
    <mergeCell ref="CI579:CZ579"/>
    <mergeCell ref="A578:G578"/>
    <mergeCell ref="H578:BB578"/>
    <mergeCell ref="BC578:BR578"/>
    <mergeCell ref="BS578:CH578"/>
    <mergeCell ref="CI578:CZ578"/>
    <mergeCell ref="A520:G520"/>
    <mergeCell ref="H520:BR520"/>
    <mergeCell ref="BS520:CH520"/>
    <mergeCell ref="CI520:CZ520"/>
    <mergeCell ref="A523:G523"/>
    <mergeCell ref="H523:BR523"/>
    <mergeCell ref="BS523:CH523"/>
    <mergeCell ref="CI523:CZ523"/>
    <mergeCell ref="A522:G522"/>
    <mergeCell ref="H522:BR522"/>
    <mergeCell ref="BS522:CH522"/>
    <mergeCell ref="CI522:CZ522"/>
    <mergeCell ref="H569:BR569"/>
    <mergeCell ref="BS569:CH569"/>
    <mergeCell ref="CI569:CZ569"/>
    <mergeCell ref="A570:G570"/>
    <mergeCell ref="H570:BR570"/>
    <mergeCell ref="BS570:CH570"/>
    <mergeCell ref="CI570:CZ570"/>
    <mergeCell ref="BS555:CH555"/>
    <mergeCell ref="CI555:CZ555"/>
    <mergeCell ref="A556:BR556"/>
    <mergeCell ref="A557:CZ557"/>
    <mergeCell ref="A559:G559"/>
    <mergeCell ref="H559:BR559"/>
    <mergeCell ref="A563:G563"/>
    <mergeCell ref="H563:BR563"/>
    <mergeCell ref="BS563:CH563"/>
    <mergeCell ref="CI563:CZ563"/>
    <mergeCell ref="A564:G564"/>
    <mergeCell ref="H564:BR564"/>
    <mergeCell ref="BS564:CH564"/>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BE429:BT429"/>
    <mergeCell ref="BU429:CJ429"/>
    <mergeCell ref="CK429:CZ429"/>
    <mergeCell ref="H430:AN430"/>
    <mergeCell ref="AO430:BD430"/>
    <mergeCell ref="BE430:BT430"/>
    <mergeCell ref="BU430:CJ430"/>
    <mergeCell ref="CK430:CZ430"/>
    <mergeCell ref="A430:G430"/>
    <mergeCell ref="A429:G429"/>
    <mergeCell ref="H429:AN429"/>
    <mergeCell ref="AO429:BD429"/>
    <mergeCell ref="A432:BB432"/>
    <mergeCell ref="BC432:BR432"/>
    <mergeCell ref="BS432:CH432"/>
    <mergeCell ref="A428:G428"/>
    <mergeCell ref="H428:AN428"/>
    <mergeCell ref="AO428:BD428"/>
    <mergeCell ref="BE428:BT428"/>
    <mergeCell ref="BU428:CJ428"/>
    <mergeCell ref="A423:G423"/>
    <mergeCell ref="CK423:CZ423"/>
    <mergeCell ref="CK424:CZ424"/>
    <mergeCell ref="CK425:CZ425"/>
    <mergeCell ref="CK426:CZ426"/>
    <mergeCell ref="A424:G424"/>
    <mergeCell ref="A425:G425"/>
    <mergeCell ref="A426:BB426"/>
    <mergeCell ref="BC426:BR426"/>
    <mergeCell ref="BS426:CH426"/>
    <mergeCell ref="A419:G419"/>
    <mergeCell ref="H419:BB419"/>
    <mergeCell ref="BC419:BR419"/>
    <mergeCell ref="BS419:CH419"/>
    <mergeCell ref="CI419:CZ419"/>
    <mergeCell ref="A420:G420"/>
    <mergeCell ref="H420:BB420"/>
    <mergeCell ref="BC420:BR420"/>
    <mergeCell ref="BS420:CH420"/>
    <mergeCell ref="CI420:CZ420"/>
    <mergeCell ref="A421:CZ421"/>
    <mergeCell ref="A422:G422"/>
    <mergeCell ref="CK422:CZ422"/>
    <mergeCell ref="CK428:CZ428"/>
    <mergeCell ref="A427:CZ427"/>
    <mergeCell ref="A410:G410"/>
    <mergeCell ref="H410:AN410"/>
    <mergeCell ref="AO410:BD410"/>
    <mergeCell ref="BE410:BT410"/>
    <mergeCell ref="BU410:CJ410"/>
    <mergeCell ref="CK410:CZ410"/>
    <mergeCell ref="A411:G411"/>
    <mergeCell ref="H411:AN411"/>
    <mergeCell ref="AO411:BD411"/>
    <mergeCell ref="BE411:BT411"/>
    <mergeCell ref="BU411:CJ411"/>
    <mergeCell ref="CK411:CZ411"/>
    <mergeCell ref="A412:AN412"/>
    <mergeCell ref="AO412:BD412"/>
    <mergeCell ref="BE412:BT412"/>
    <mergeCell ref="BU412:CJ412"/>
    <mergeCell ref="CK412:CZ412"/>
    <mergeCell ref="A389:CZ389"/>
    <mergeCell ref="A390:G390"/>
    <mergeCell ref="H390:AN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O393:BD393"/>
    <mergeCell ref="BE393:BT393"/>
    <mergeCell ref="BU393:CJ393"/>
    <mergeCell ref="CK393:CZ393"/>
    <mergeCell ref="BU390:CJ390"/>
    <mergeCell ref="CK390:CZ390"/>
    <mergeCell ref="AO390:BD390"/>
    <mergeCell ref="BE390:BT390"/>
    <mergeCell ref="A369:G369"/>
    <mergeCell ref="H369:AN369"/>
    <mergeCell ref="AO369:BD369"/>
    <mergeCell ref="BE369:BT369"/>
    <mergeCell ref="BU369:CJ369"/>
    <mergeCell ref="CK369:CZ369"/>
    <mergeCell ref="A379:CZ379"/>
    <mergeCell ref="A382:G382"/>
    <mergeCell ref="H382:AN382"/>
    <mergeCell ref="AO382:BD382"/>
    <mergeCell ref="BE382:BT382"/>
    <mergeCell ref="BU382:CJ382"/>
    <mergeCell ref="CK382:CZ382"/>
    <mergeCell ref="A384:AN384"/>
    <mergeCell ref="A385:CZ385"/>
    <mergeCell ref="A386:G386"/>
    <mergeCell ref="H386:BB386"/>
    <mergeCell ref="BC386:BR386"/>
    <mergeCell ref="BS386:CH386"/>
    <mergeCell ref="CI386:CZ386"/>
    <mergeCell ref="AO384:BD384"/>
    <mergeCell ref="BE384:BT384"/>
    <mergeCell ref="BU384:CJ384"/>
    <mergeCell ref="CK384:CZ384"/>
    <mergeCell ref="A383:G383"/>
    <mergeCell ref="H383:AN383"/>
    <mergeCell ref="AO383:BD383"/>
    <mergeCell ref="BE383:BT383"/>
    <mergeCell ref="BU383:CJ383"/>
    <mergeCell ref="CK383:CZ383"/>
    <mergeCell ref="BE378:BT378"/>
    <mergeCell ref="BU378:CJ378"/>
    <mergeCell ref="CK378:CZ378"/>
    <mergeCell ref="A373:CZ373"/>
    <mergeCell ref="W375:CZ375"/>
    <mergeCell ref="A377:G377"/>
    <mergeCell ref="H377:AN377"/>
    <mergeCell ref="AO377:BD377"/>
    <mergeCell ref="BE377:BT377"/>
    <mergeCell ref="BU377:CJ377"/>
    <mergeCell ref="CK377:CZ377"/>
    <mergeCell ref="AO371:BD371"/>
    <mergeCell ref="BE371:BT371"/>
    <mergeCell ref="BU371:CJ371"/>
    <mergeCell ref="CK371:CZ371"/>
    <mergeCell ref="AO370:BD370"/>
    <mergeCell ref="BE370:BT370"/>
    <mergeCell ref="BU370:CJ370"/>
    <mergeCell ref="CK370:CZ370"/>
    <mergeCell ref="A370:AN370"/>
    <mergeCell ref="A371:AN371"/>
    <mergeCell ref="A329:BB329"/>
    <mergeCell ref="BC329:BR329"/>
    <mergeCell ref="BS329:CH329"/>
    <mergeCell ref="CI329:CZ329"/>
    <mergeCell ref="A341:CZ341"/>
    <mergeCell ref="A342:G342"/>
    <mergeCell ref="H342:BB342"/>
    <mergeCell ref="BC342:BR342"/>
    <mergeCell ref="BS342:CH342"/>
    <mergeCell ref="CI342:CZ342"/>
    <mergeCell ref="A343:BB343"/>
    <mergeCell ref="BC343:BR343"/>
    <mergeCell ref="BS343:CH343"/>
    <mergeCell ref="CI343:CZ343"/>
    <mergeCell ref="A344:BB344"/>
    <mergeCell ref="W348:CZ348"/>
    <mergeCell ref="A350:G350"/>
    <mergeCell ref="H350:AN350"/>
    <mergeCell ref="AO350:BD350"/>
    <mergeCell ref="BE350:BT350"/>
    <mergeCell ref="BU350:CJ350"/>
    <mergeCell ref="CK350:CZ350"/>
    <mergeCell ref="BC344:BR344"/>
    <mergeCell ref="BS344:CH344"/>
    <mergeCell ref="CI344:CZ344"/>
    <mergeCell ref="A346:CZ346"/>
    <mergeCell ref="A335:CZ335"/>
    <mergeCell ref="W337:CZ337"/>
    <mergeCell ref="A339:G339"/>
    <mergeCell ref="H339:BB339"/>
    <mergeCell ref="BC339:BR339"/>
    <mergeCell ref="BS339:CH339"/>
    <mergeCell ref="A321:CZ321"/>
    <mergeCell ref="W323:CZ323"/>
    <mergeCell ref="A325:G325"/>
    <mergeCell ref="H325:BB325"/>
    <mergeCell ref="BC325:BR325"/>
    <mergeCell ref="BS325:CH325"/>
    <mergeCell ref="CI325:CZ325"/>
    <mergeCell ref="A326:G326"/>
    <mergeCell ref="H326:BB326"/>
    <mergeCell ref="BC326:BR326"/>
    <mergeCell ref="BS326:CH326"/>
    <mergeCell ref="CI326:CZ326"/>
    <mergeCell ref="A327:CZ327"/>
    <mergeCell ref="A328:G328"/>
    <mergeCell ref="H328:BB328"/>
    <mergeCell ref="BC328:BR328"/>
    <mergeCell ref="BS328:CH328"/>
    <mergeCell ref="CI328:CZ328"/>
    <mergeCell ref="A312:G312"/>
    <mergeCell ref="H312:AN312"/>
    <mergeCell ref="AO312:BD312"/>
    <mergeCell ref="BE312:BT312"/>
    <mergeCell ref="BU312:CJ312"/>
    <mergeCell ref="CK312:CZ312"/>
    <mergeCell ref="A313:AN313"/>
    <mergeCell ref="A314:CZ314"/>
    <mergeCell ref="A315:G315"/>
    <mergeCell ref="H315:AN315"/>
    <mergeCell ref="AO315:BD315"/>
    <mergeCell ref="BE315:BT315"/>
    <mergeCell ref="BU315:CJ315"/>
    <mergeCell ref="CK315:CZ315"/>
    <mergeCell ref="AO313:BD313"/>
    <mergeCell ref="BE313:BT313"/>
    <mergeCell ref="BU313:CJ313"/>
    <mergeCell ref="CK313:CZ313"/>
    <mergeCell ref="A309:G309"/>
    <mergeCell ref="H309:AN309"/>
    <mergeCell ref="AO309:BD309"/>
    <mergeCell ref="BE309:BT309"/>
    <mergeCell ref="BU309:CJ309"/>
    <mergeCell ref="CK309:CZ309"/>
    <mergeCell ref="A310:G310"/>
    <mergeCell ref="H310:AN310"/>
    <mergeCell ref="AO310:BD310"/>
    <mergeCell ref="BE310:BT310"/>
    <mergeCell ref="BU310:CJ310"/>
    <mergeCell ref="CK310:CZ310"/>
    <mergeCell ref="A311:G311"/>
    <mergeCell ref="H311:AN311"/>
    <mergeCell ref="AO311:BD311"/>
    <mergeCell ref="BE311:BT311"/>
    <mergeCell ref="BU311:CJ311"/>
    <mergeCell ref="CK311:CZ311"/>
    <mergeCell ref="AO306:BD306"/>
    <mergeCell ref="BE306:BT306"/>
    <mergeCell ref="BU306:CJ306"/>
    <mergeCell ref="CK306:CZ306"/>
    <mergeCell ref="A299:CZ299"/>
    <mergeCell ref="BC297:BR297"/>
    <mergeCell ref="BS297:CH297"/>
    <mergeCell ref="CI297:CZ297"/>
    <mergeCell ref="A297:BB297"/>
    <mergeCell ref="A301:CZ301"/>
    <mergeCell ref="CI295:CZ295"/>
    <mergeCell ref="A296:BB296"/>
    <mergeCell ref="BC296:BR296"/>
    <mergeCell ref="BS296:CH296"/>
    <mergeCell ref="A308:G308"/>
    <mergeCell ref="H308:AN308"/>
    <mergeCell ref="AO308:BD308"/>
    <mergeCell ref="BE308:BT308"/>
    <mergeCell ref="BU308:CJ308"/>
    <mergeCell ref="CK308:CZ308"/>
    <mergeCell ref="A307:CZ307"/>
    <mergeCell ref="CI296:CZ296"/>
    <mergeCell ref="W303:CZ303"/>
    <mergeCell ref="A305:G305"/>
    <mergeCell ref="H305:AN305"/>
    <mergeCell ref="AO305:BD305"/>
    <mergeCell ref="BE305:BT305"/>
    <mergeCell ref="BU305:CJ305"/>
    <mergeCell ref="CK305:CZ305"/>
    <mergeCell ref="A306:G306"/>
    <mergeCell ref="H306:AN306"/>
    <mergeCell ref="H253:BB253"/>
    <mergeCell ref="BC253:BR253"/>
    <mergeCell ref="BS253:CH253"/>
    <mergeCell ref="CI253:CZ253"/>
    <mergeCell ref="A254:BB254"/>
    <mergeCell ref="BC254:BR254"/>
    <mergeCell ref="BS254:CH254"/>
    <mergeCell ref="CI254:CZ254"/>
    <mergeCell ref="A266:CZ266"/>
    <mergeCell ref="A269:BB269"/>
    <mergeCell ref="BC269:BR269"/>
    <mergeCell ref="BS269:CH269"/>
    <mergeCell ref="CI269:CZ269"/>
    <mergeCell ref="A271:CZ271"/>
    <mergeCell ref="W273:CZ273"/>
    <mergeCell ref="A275:G275"/>
    <mergeCell ref="H275:BB275"/>
    <mergeCell ref="BC275:BR275"/>
    <mergeCell ref="BS275:CH275"/>
    <mergeCell ref="CI275:CZ275"/>
    <mergeCell ref="A265:BB265"/>
    <mergeCell ref="BC265:BR265"/>
    <mergeCell ref="BS265:CH265"/>
    <mergeCell ref="CI265:CZ265"/>
    <mergeCell ref="A255:BB255"/>
    <mergeCell ref="BC255:BR255"/>
    <mergeCell ref="BS255:CH255"/>
    <mergeCell ref="CI255:CZ255"/>
    <mergeCell ref="A257:CZ257"/>
    <mergeCell ref="A263:CZ263"/>
    <mergeCell ref="H241:BB241"/>
    <mergeCell ref="BC241:BR241"/>
    <mergeCell ref="BS241:CH241"/>
    <mergeCell ref="CI241:CZ241"/>
    <mergeCell ref="A242:CZ242"/>
    <mergeCell ref="A243:G243"/>
    <mergeCell ref="H243:BB243"/>
    <mergeCell ref="A244:G244"/>
    <mergeCell ref="H244:BB244"/>
    <mergeCell ref="A245:G245"/>
    <mergeCell ref="H245:BB245"/>
    <mergeCell ref="A247:G247"/>
    <mergeCell ref="H247:BB247"/>
    <mergeCell ref="BC247:BR247"/>
    <mergeCell ref="BS247:CH247"/>
    <mergeCell ref="CI247:CZ247"/>
    <mergeCell ref="BC243:BR243"/>
    <mergeCell ref="BS243:CH243"/>
    <mergeCell ref="CI243:CZ243"/>
    <mergeCell ref="BC244:BR244"/>
    <mergeCell ref="BS244:CH244"/>
    <mergeCell ref="CI244:CZ244"/>
    <mergeCell ref="BC245:BR245"/>
    <mergeCell ref="BS245:CH245"/>
    <mergeCell ref="CI245:CZ245"/>
    <mergeCell ref="A246:G246"/>
    <mergeCell ref="H246:BB246"/>
    <mergeCell ref="BC246:BR246"/>
    <mergeCell ref="BS246:CH246"/>
    <mergeCell ref="CI246:CZ246"/>
    <mergeCell ref="A213:BB213"/>
    <mergeCell ref="CI201:CZ201"/>
    <mergeCell ref="A202:BB202"/>
    <mergeCell ref="BC202:BR202"/>
    <mergeCell ref="BS202:CH202"/>
    <mergeCell ref="CI202:CZ202"/>
    <mergeCell ref="BS217:CH217"/>
    <mergeCell ref="CI217:CZ217"/>
    <mergeCell ref="A231:CZ231"/>
    <mergeCell ref="A232:G232"/>
    <mergeCell ref="H232:BB232"/>
    <mergeCell ref="BC232:BR232"/>
    <mergeCell ref="BS232:CH232"/>
    <mergeCell ref="CI232:CZ232"/>
    <mergeCell ref="A233:BB233"/>
    <mergeCell ref="BC233:BR233"/>
    <mergeCell ref="BS233:CH233"/>
    <mergeCell ref="CI233:CZ233"/>
    <mergeCell ref="A225:G225"/>
    <mergeCell ref="H225:BB225"/>
    <mergeCell ref="BC225:BR225"/>
    <mergeCell ref="BS225:CH225"/>
    <mergeCell ref="CI225:CZ225"/>
    <mergeCell ref="BC226:BR226"/>
    <mergeCell ref="BS226:CH226"/>
    <mergeCell ref="CI226:CZ226"/>
    <mergeCell ref="A226:G226"/>
    <mergeCell ref="H226:BB226"/>
    <mergeCell ref="A219:CZ219"/>
    <mergeCell ref="A221:CZ221"/>
    <mergeCell ref="W223:CZ223"/>
    <mergeCell ref="BC229:BR229"/>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H169:BU169"/>
    <mergeCell ref="BV169:CK169"/>
    <mergeCell ref="CL169:CZ169"/>
    <mergeCell ref="A170:F171"/>
    <mergeCell ref="H170:BU170"/>
    <mergeCell ref="BV170:CK171"/>
    <mergeCell ref="CL170:CZ171"/>
    <mergeCell ref="H171:BU171"/>
    <mergeCell ref="W147:CZ147"/>
    <mergeCell ref="G149:BU149"/>
    <mergeCell ref="CL143:CZ143"/>
    <mergeCell ref="A149:F149"/>
    <mergeCell ref="BV149:CK149"/>
    <mergeCell ref="CL149:CZ149"/>
    <mergeCell ref="A163:CZ163"/>
    <mergeCell ref="A164:F164"/>
    <mergeCell ref="H164:BU164"/>
    <mergeCell ref="BV164:CK164"/>
    <mergeCell ref="CL164:CZ164"/>
    <mergeCell ref="H141:BU141"/>
    <mergeCell ref="A143:F143"/>
    <mergeCell ref="BV143:CK143"/>
    <mergeCell ref="A150:F150"/>
    <mergeCell ref="G150:BU150"/>
    <mergeCell ref="BV150:CK150"/>
    <mergeCell ref="CL150:CZ150"/>
    <mergeCell ref="A151:CZ151"/>
    <mergeCell ref="A152:F152"/>
    <mergeCell ref="H152:BU152"/>
    <mergeCell ref="BV152:CK152"/>
    <mergeCell ref="CL152:CZ152"/>
    <mergeCell ref="CL162:CZ162"/>
    <mergeCell ref="A153:F154"/>
    <mergeCell ref="H153:BU153"/>
    <mergeCell ref="BV153:CK154"/>
    <mergeCell ref="CL153:CZ154"/>
    <mergeCell ref="H154:BU154"/>
    <mergeCell ref="A155:F155"/>
    <mergeCell ref="H155:BU155"/>
    <mergeCell ref="BV155:CK155"/>
    <mergeCell ref="CL135:CZ136"/>
    <mergeCell ref="H136:BU136"/>
    <mergeCell ref="H137:BU137"/>
    <mergeCell ref="H138:BU138"/>
    <mergeCell ref="A139:F139"/>
    <mergeCell ref="H139:BU139"/>
    <mergeCell ref="BV139:CK139"/>
    <mergeCell ref="CL139:CZ139"/>
    <mergeCell ref="A141:F141"/>
    <mergeCell ref="BV141:CK141"/>
    <mergeCell ref="CL141:CZ141"/>
    <mergeCell ref="A142:F142"/>
    <mergeCell ref="G142:BU142"/>
    <mergeCell ref="BV142:CK142"/>
    <mergeCell ref="CL142:CZ142"/>
    <mergeCell ref="G143:BU143"/>
    <mergeCell ref="A145:CZ145"/>
    <mergeCell ref="A123:F124"/>
    <mergeCell ref="H123:BU123"/>
    <mergeCell ref="BV123:CK124"/>
    <mergeCell ref="CL123:CZ124"/>
    <mergeCell ref="H124:BU124"/>
    <mergeCell ref="A125:F125"/>
    <mergeCell ref="H125:BU125"/>
    <mergeCell ref="BV125:CK125"/>
    <mergeCell ref="CL125:CZ125"/>
    <mergeCell ref="A126:F126"/>
    <mergeCell ref="H126:BU126"/>
    <mergeCell ref="BV126:CK126"/>
    <mergeCell ref="CL126:CZ126"/>
    <mergeCell ref="A127:F127"/>
    <mergeCell ref="G127:BU127"/>
    <mergeCell ref="BV127:CK127"/>
    <mergeCell ref="CL127:CZ12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98:CZ98"/>
    <mergeCell ref="W100:CZ100"/>
    <mergeCell ref="G102:BU102"/>
    <mergeCell ref="A103:F103"/>
    <mergeCell ref="G103:BU103"/>
    <mergeCell ref="BV103:CK103"/>
    <mergeCell ref="CL103:CZ103"/>
    <mergeCell ref="A104:CZ104"/>
    <mergeCell ref="A106:F107"/>
    <mergeCell ref="BV106:CK107"/>
    <mergeCell ref="CL106:CZ107"/>
    <mergeCell ref="A105:F105"/>
    <mergeCell ref="H105:BU105"/>
    <mergeCell ref="BV105:CK105"/>
    <mergeCell ref="CL105:CZ105"/>
    <mergeCell ref="A102:F102"/>
    <mergeCell ref="BV102:CK102"/>
    <mergeCell ref="CL102:CZ102"/>
    <mergeCell ref="A88:CZ88"/>
    <mergeCell ref="W89:CZ89"/>
    <mergeCell ref="A91:F91"/>
    <mergeCell ref="G91:AX91"/>
    <mergeCell ref="AY91:BP91"/>
    <mergeCell ref="BQ91:CH91"/>
    <mergeCell ref="CI91:CZ91"/>
    <mergeCell ref="A92:F92"/>
    <mergeCell ref="G92:AC92"/>
    <mergeCell ref="AD92:AX92"/>
    <mergeCell ref="AY92:BP92"/>
    <mergeCell ref="BQ92:CH92"/>
    <mergeCell ref="CI92:CZ92"/>
    <mergeCell ref="AY95:BP95"/>
    <mergeCell ref="BQ95:CH95"/>
    <mergeCell ref="CI95:CZ95"/>
    <mergeCell ref="A96:F96"/>
    <mergeCell ref="G96:AX96"/>
    <mergeCell ref="AY96:BP96"/>
    <mergeCell ref="BQ96:CH96"/>
    <mergeCell ref="CI96:CZ96"/>
    <mergeCell ref="A79:F79"/>
    <mergeCell ref="G79:AC79"/>
    <mergeCell ref="AD79:AX79"/>
    <mergeCell ref="AY79:BP79"/>
    <mergeCell ref="BQ79:CH79"/>
    <mergeCell ref="CI79:CZ79"/>
    <mergeCell ref="A67:AX67"/>
    <mergeCell ref="A68:CZ68"/>
    <mergeCell ref="A70:F70"/>
    <mergeCell ref="G70:AX70"/>
    <mergeCell ref="AY70:BP70"/>
    <mergeCell ref="BQ70:CH70"/>
    <mergeCell ref="CI70:CZ70"/>
    <mergeCell ref="A71:F71"/>
    <mergeCell ref="G71:AX71"/>
    <mergeCell ref="AY71:BP71"/>
    <mergeCell ref="BQ85:CH85"/>
    <mergeCell ref="CI85:CZ85"/>
    <mergeCell ref="A73:AX73"/>
    <mergeCell ref="AY73:BP73"/>
    <mergeCell ref="BQ73:CH73"/>
    <mergeCell ref="CI73:CZ73"/>
    <mergeCell ref="A74:F74"/>
    <mergeCell ref="G74:AX74"/>
    <mergeCell ref="AY74:BP74"/>
    <mergeCell ref="BQ74:CH74"/>
    <mergeCell ref="CI74:CZ74"/>
    <mergeCell ref="A75:CZ75"/>
    <mergeCell ref="W76:CZ76"/>
    <mergeCell ref="G78:AX78"/>
    <mergeCell ref="AY78:BP78"/>
    <mergeCell ref="A69:F69"/>
    <mergeCell ref="A63:F63"/>
    <mergeCell ref="G63:AC63"/>
    <mergeCell ref="AD63:AX63"/>
    <mergeCell ref="AY63:BP63"/>
    <mergeCell ref="BQ63:CH63"/>
    <mergeCell ref="CI63:CZ63"/>
    <mergeCell ref="W60:CZ60"/>
    <mergeCell ref="A62:F62"/>
    <mergeCell ref="A66:F66"/>
    <mergeCell ref="G66:AX66"/>
    <mergeCell ref="AY66:BP66"/>
    <mergeCell ref="BQ66:CH66"/>
    <mergeCell ref="CI66:CZ66"/>
    <mergeCell ref="AY67:BP67"/>
    <mergeCell ref="BQ67:CH67"/>
    <mergeCell ref="CI67:CZ67"/>
    <mergeCell ref="A64:CZ64"/>
    <mergeCell ref="A65:F65"/>
    <mergeCell ref="G65:AX65"/>
    <mergeCell ref="AY65:BP65"/>
    <mergeCell ref="BQ65:CH65"/>
    <mergeCell ref="CI65:CZ65"/>
    <mergeCell ref="A46:CZ46"/>
    <mergeCell ref="W47:CZ47"/>
    <mergeCell ref="A49:F49"/>
    <mergeCell ref="G49:AC49"/>
    <mergeCell ref="AD49:AX49"/>
    <mergeCell ref="AY49:BP49"/>
    <mergeCell ref="BQ49:CH49"/>
    <mergeCell ref="CI49:CZ49"/>
    <mergeCell ref="G50:AC50"/>
    <mergeCell ref="AD50:AX50"/>
    <mergeCell ref="A51:CZ51"/>
    <mergeCell ref="A52:F52"/>
    <mergeCell ref="G52:AC52"/>
    <mergeCell ref="AD52:AX52"/>
    <mergeCell ref="AY52:BP52"/>
    <mergeCell ref="BQ52:CH52"/>
    <mergeCell ref="CI52:CZ52"/>
    <mergeCell ref="BQ37:CH37"/>
    <mergeCell ref="CI37:CZ37"/>
    <mergeCell ref="G38:AC38"/>
    <mergeCell ref="AD38:AX38"/>
    <mergeCell ref="CI29:CZ29"/>
    <mergeCell ref="A29:F29"/>
    <mergeCell ref="G29:AC29"/>
    <mergeCell ref="AD29:AX29"/>
    <mergeCell ref="AY29:BP29"/>
    <mergeCell ref="A42:CZ42"/>
    <mergeCell ref="A44:AX44"/>
    <mergeCell ref="AY44:BP44"/>
    <mergeCell ref="BQ44:CH44"/>
    <mergeCell ref="CI44:CZ44"/>
    <mergeCell ref="A45:F45"/>
    <mergeCell ref="G45:AX45"/>
    <mergeCell ref="AY45:BP45"/>
    <mergeCell ref="BQ45:CH45"/>
    <mergeCell ref="CI45:CZ45"/>
    <mergeCell ref="A43:F43"/>
    <mergeCell ref="G43:AX43"/>
    <mergeCell ref="AY43:BP43"/>
    <mergeCell ref="BQ43:CH43"/>
    <mergeCell ref="CI43:CZ43"/>
    <mergeCell ref="AY41:BP41"/>
    <mergeCell ref="BQ41:CH41"/>
    <mergeCell ref="CI41:CZ41"/>
    <mergeCell ref="AY26:BP26"/>
    <mergeCell ref="BQ26:CH26"/>
    <mergeCell ref="CI26:CZ26"/>
    <mergeCell ref="A27:AC27"/>
    <mergeCell ref="A28:CZ28"/>
    <mergeCell ref="A30:AC30"/>
    <mergeCell ref="AD30:AX30"/>
    <mergeCell ref="AY30:BP30"/>
    <mergeCell ref="BQ30:CH30"/>
    <mergeCell ref="CI30:CZ30"/>
    <mergeCell ref="A31:F31"/>
    <mergeCell ref="G31:AC31"/>
    <mergeCell ref="AD31:AX31"/>
    <mergeCell ref="AY31:BP31"/>
    <mergeCell ref="BQ31:CH31"/>
    <mergeCell ref="CI31:CZ31"/>
    <mergeCell ref="BQ29:CH29"/>
    <mergeCell ref="AA913:AN913"/>
    <mergeCell ref="AO913:BB913"/>
    <mergeCell ref="BC913:BR913"/>
    <mergeCell ref="BS913:CH913"/>
    <mergeCell ref="BC908:CZ908"/>
    <mergeCell ref="A909:BB909"/>
    <mergeCell ref="BC909:CZ909"/>
    <mergeCell ref="BC905:CZ905"/>
    <mergeCell ref="A902:G902"/>
    <mergeCell ref="H902:BB902"/>
    <mergeCell ref="BC902:CZ902"/>
    <mergeCell ref="A868:G868"/>
    <mergeCell ref="BS868:CH868"/>
    <mergeCell ref="CI868:CZ868"/>
    <mergeCell ref="BC859:BR859"/>
    <mergeCell ref="BS859:CH859"/>
    <mergeCell ref="CI859:CZ859"/>
    <mergeCell ref="BS874:CH874"/>
    <mergeCell ref="CI874:CZ874"/>
    <mergeCell ref="BS877:CH877"/>
    <mergeCell ref="CI877:CZ877"/>
    <mergeCell ref="BS880:CH880"/>
    <mergeCell ref="CI880:CZ880"/>
    <mergeCell ref="A880:BR880"/>
    <mergeCell ref="A895:BB895"/>
    <mergeCell ref="BS881:CH881"/>
    <mergeCell ref="CI881:CZ881"/>
    <mergeCell ref="A888:G888"/>
    <mergeCell ref="A881:BR881"/>
    <mergeCell ref="A883:CZ883"/>
    <mergeCell ref="A860:BR860"/>
    <mergeCell ref="BS860:CH860"/>
    <mergeCell ref="BS857:CH857"/>
    <mergeCell ref="CI857:CZ857"/>
    <mergeCell ref="A856:G856"/>
    <mergeCell ref="H856:AT856"/>
    <mergeCell ref="AU856:BB856"/>
    <mergeCell ref="BC856:BR856"/>
    <mergeCell ref="BS856:CH856"/>
    <mergeCell ref="CI856:CZ856"/>
    <mergeCell ref="A857:BR857"/>
    <mergeCell ref="A858:CZ858"/>
    <mergeCell ref="A859:G859"/>
    <mergeCell ref="H859:AT859"/>
    <mergeCell ref="AU859:BB859"/>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CZ843"/>
    <mergeCell ref="BC841:BR841"/>
    <mergeCell ref="BS841:CH841"/>
    <mergeCell ref="CI841:CZ841"/>
    <mergeCell ref="A839:G839"/>
    <mergeCell ref="BC839:BR839"/>
    <mergeCell ref="BS839:CH839"/>
    <mergeCell ref="CI839:CZ839"/>
    <mergeCell ref="A840:G840"/>
    <mergeCell ref="BC840:BR840"/>
    <mergeCell ref="BS840:CH840"/>
    <mergeCell ref="CI840:CZ840"/>
    <mergeCell ref="H839:AT839"/>
    <mergeCell ref="AU839:BB839"/>
    <mergeCell ref="H840:AT840"/>
    <mergeCell ref="AU840:BB840"/>
    <mergeCell ref="A841:G841"/>
    <mergeCell ref="H841:AT841"/>
    <mergeCell ref="AU841:BB841"/>
    <mergeCell ref="A842:BB842"/>
    <mergeCell ref="BC842:BR842"/>
    <mergeCell ref="BS842:CH842"/>
    <mergeCell ref="CI842:CZ842"/>
    <mergeCell ref="A837:G837"/>
    <mergeCell ref="BC837:BR837"/>
    <mergeCell ref="BS837:CH837"/>
    <mergeCell ref="CI837:CZ837"/>
    <mergeCell ref="A838:G838"/>
    <mergeCell ref="BC838:BR838"/>
    <mergeCell ref="BS838:CH838"/>
    <mergeCell ref="CI838:CZ838"/>
    <mergeCell ref="A835:G835"/>
    <mergeCell ref="BC835:BR835"/>
    <mergeCell ref="BS835:CH835"/>
    <mergeCell ref="CI835:CZ835"/>
    <mergeCell ref="A836:G836"/>
    <mergeCell ref="BC836:BR836"/>
    <mergeCell ref="BS836:CH836"/>
    <mergeCell ref="CI836:CZ836"/>
    <mergeCell ref="H835:AT835"/>
    <mergeCell ref="AU835:BB835"/>
    <mergeCell ref="H836:AT836"/>
    <mergeCell ref="AU836:BB836"/>
    <mergeCell ref="H837:AT837"/>
    <mergeCell ref="AU837:BB837"/>
    <mergeCell ref="H838:AT838"/>
    <mergeCell ref="AU838:BB838"/>
    <mergeCell ref="A833:G833"/>
    <mergeCell ref="BC833:BR833"/>
    <mergeCell ref="BS833:CH833"/>
    <mergeCell ref="CI833:CZ833"/>
    <mergeCell ref="A834:G834"/>
    <mergeCell ref="BC834:BR834"/>
    <mergeCell ref="BS834:CH834"/>
    <mergeCell ref="CI834:CZ834"/>
    <mergeCell ref="A831:G831"/>
    <mergeCell ref="BC831:BR831"/>
    <mergeCell ref="BS831:CH831"/>
    <mergeCell ref="CI831:CZ831"/>
    <mergeCell ref="A832:G832"/>
    <mergeCell ref="BC832:BR832"/>
    <mergeCell ref="BS832:CH832"/>
    <mergeCell ref="CI832:CZ832"/>
    <mergeCell ref="H831:AT831"/>
    <mergeCell ref="AU831:BB831"/>
    <mergeCell ref="H832:AT832"/>
    <mergeCell ref="AU832:BB832"/>
    <mergeCell ref="H833:AT833"/>
    <mergeCell ref="AU833:BB833"/>
    <mergeCell ref="H834:AT834"/>
    <mergeCell ref="AU834:BB834"/>
    <mergeCell ref="A829:G829"/>
    <mergeCell ref="BC829:BR829"/>
    <mergeCell ref="BS829:CH829"/>
    <mergeCell ref="CI829:CZ829"/>
    <mergeCell ref="A830:G830"/>
    <mergeCell ref="BC830:BR830"/>
    <mergeCell ref="BS830:CH830"/>
    <mergeCell ref="CI830:CZ830"/>
    <mergeCell ref="A827:G827"/>
    <mergeCell ref="BC827:BR827"/>
    <mergeCell ref="BS827:CH827"/>
    <mergeCell ref="CI827:CZ827"/>
    <mergeCell ref="A828:G828"/>
    <mergeCell ref="BC828:BR828"/>
    <mergeCell ref="BS828:CH828"/>
    <mergeCell ref="CI828:CZ828"/>
    <mergeCell ref="H827:AT827"/>
    <mergeCell ref="AU827:BB827"/>
    <mergeCell ref="H828:AT828"/>
    <mergeCell ref="AU828:BB828"/>
    <mergeCell ref="H829:AT829"/>
    <mergeCell ref="AU829:BB829"/>
    <mergeCell ref="H830:AT830"/>
    <mergeCell ref="AU830:BB830"/>
    <mergeCell ref="A826:G826"/>
    <mergeCell ref="BC826:BR826"/>
    <mergeCell ref="BS826:CH826"/>
    <mergeCell ref="CI826:CZ826"/>
    <mergeCell ref="A823:G823"/>
    <mergeCell ref="BC823:BR823"/>
    <mergeCell ref="BS823:CH823"/>
    <mergeCell ref="CI823:CZ823"/>
    <mergeCell ref="BC824:BR824"/>
    <mergeCell ref="BS824:CH824"/>
    <mergeCell ref="CI824:CZ824"/>
    <mergeCell ref="H823:AT823"/>
    <mergeCell ref="AU823:BB823"/>
    <mergeCell ref="A824:G824"/>
    <mergeCell ref="H824:AT824"/>
    <mergeCell ref="AU824:BB824"/>
    <mergeCell ref="A825:G825"/>
    <mergeCell ref="H825:AT825"/>
    <mergeCell ref="AU825:BB825"/>
    <mergeCell ref="BC825:BR825"/>
    <mergeCell ref="BS825:CH825"/>
    <mergeCell ref="CI825:CZ825"/>
    <mergeCell ref="H826:AT826"/>
    <mergeCell ref="AU826:BB826"/>
    <mergeCell ref="A822:G822"/>
    <mergeCell ref="BC822:BR822"/>
    <mergeCell ref="BS822:CH822"/>
    <mergeCell ref="CI822:CZ822"/>
    <mergeCell ref="A821:G821"/>
    <mergeCell ref="BC821:BR821"/>
    <mergeCell ref="BS821:CH821"/>
    <mergeCell ref="CI821:CZ821"/>
    <mergeCell ref="A820:G820"/>
    <mergeCell ref="BC820:BR820"/>
    <mergeCell ref="BS820:CH820"/>
    <mergeCell ref="CI820:CZ820"/>
    <mergeCell ref="A819:G819"/>
    <mergeCell ref="BC819:BR819"/>
    <mergeCell ref="BS819:CH819"/>
    <mergeCell ref="CI819:CZ819"/>
    <mergeCell ref="H820:AT820"/>
    <mergeCell ref="AU820:BB820"/>
    <mergeCell ref="H821:AT821"/>
    <mergeCell ref="AU821:BB821"/>
    <mergeCell ref="H822:AT822"/>
    <mergeCell ref="AU822:BB822"/>
    <mergeCell ref="H819:AT819"/>
    <mergeCell ref="AU819:BB819"/>
    <mergeCell ref="A818:G818"/>
    <mergeCell ref="BC818:BR818"/>
    <mergeCell ref="BS818:CH818"/>
    <mergeCell ref="CI818:CZ818"/>
    <mergeCell ref="A817:G817"/>
    <mergeCell ref="BC817:BR817"/>
    <mergeCell ref="BS817:CH817"/>
    <mergeCell ref="CI817:CZ817"/>
    <mergeCell ref="A816:G816"/>
    <mergeCell ref="BC816:BR816"/>
    <mergeCell ref="BS816:CH816"/>
    <mergeCell ref="CI816:CZ816"/>
    <mergeCell ref="A814:G814"/>
    <mergeCell ref="BC814:BR814"/>
    <mergeCell ref="BS814:CH814"/>
    <mergeCell ref="CI814:CZ814"/>
    <mergeCell ref="A815:G815"/>
    <mergeCell ref="BC815:BR815"/>
    <mergeCell ref="BS815:CH815"/>
    <mergeCell ref="CI815:CZ815"/>
    <mergeCell ref="H814:AT814"/>
    <mergeCell ref="AU814:BB814"/>
    <mergeCell ref="H815:AT815"/>
    <mergeCell ref="AU815:BB815"/>
    <mergeCell ref="H816:AT816"/>
    <mergeCell ref="AU816:BB816"/>
    <mergeCell ref="H817:AT817"/>
    <mergeCell ref="AU817:BB817"/>
    <mergeCell ref="H818:AT818"/>
    <mergeCell ref="AU818:BB818"/>
    <mergeCell ref="A813:G813"/>
    <mergeCell ref="BC813:BR813"/>
    <mergeCell ref="BS813:CH813"/>
    <mergeCell ref="CI813:CZ813"/>
    <mergeCell ref="A810:G810"/>
    <mergeCell ref="BC810:BR810"/>
    <mergeCell ref="BS810:CH810"/>
    <mergeCell ref="CI810:CZ810"/>
    <mergeCell ref="BC811:BR811"/>
    <mergeCell ref="BS811:CH811"/>
    <mergeCell ref="CI811:CZ811"/>
    <mergeCell ref="H810:AT810"/>
    <mergeCell ref="AU810:BB810"/>
    <mergeCell ref="A811:G811"/>
    <mergeCell ref="H811:AT811"/>
    <mergeCell ref="AU811:BB811"/>
    <mergeCell ref="A812:G812"/>
    <mergeCell ref="H812:AT812"/>
    <mergeCell ref="AU812:BB812"/>
    <mergeCell ref="BC812:BR812"/>
    <mergeCell ref="BS812:CH812"/>
    <mergeCell ref="CI812:CZ812"/>
    <mergeCell ref="H813:AT813"/>
    <mergeCell ref="AU813:BB813"/>
    <mergeCell ref="A808:G808"/>
    <mergeCell ref="BC808:BR808"/>
    <mergeCell ref="BS808:CH808"/>
    <mergeCell ref="CI808:CZ808"/>
    <mergeCell ref="A809:G809"/>
    <mergeCell ref="BC809:BR809"/>
    <mergeCell ref="BS809:CH809"/>
    <mergeCell ref="CI809:CZ809"/>
    <mergeCell ref="A806:G806"/>
    <mergeCell ref="BC806:BR806"/>
    <mergeCell ref="BS806:CH806"/>
    <mergeCell ref="CI806:CZ806"/>
    <mergeCell ref="A807:G807"/>
    <mergeCell ref="BC807:BR807"/>
    <mergeCell ref="BS807:CH807"/>
    <mergeCell ref="CI807:CZ807"/>
    <mergeCell ref="H806:AT806"/>
    <mergeCell ref="AU806:BB806"/>
    <mergeCell ref="H807:AT807"/>
    <mergeCell ref="AU807:BB807"/>
    <mergeCell ref="H808:AT808"/>
    <mergeCell ref="AU808:BB808"/>
    <mergeCell ref="H809:AT809"/>
    <mergeCell ref="AU809:BB809"/>
    <mergeCell ref="A804:G804"/>
    <mergeCell ref="BC804:BR804"/>
    <mergeCell ref="BS804:CH804"/>
    <mergeCell ref="CI804:CZ804"/>
    <mergeCell ref="A805:G805"/>
    <mergeCell ref="BC805:BR805"/>
    <mergeCell ref="BS805:CH805"/>
    <mergeCell ref="CI805:CZ805"/>
    <mergeCell ref="A802:G802"/>
    <mergeCell ref="BC802:BR802"/>
    <mergeCell ref="BS802:CH802"/>
    <mergeCell ref="CI802:CZ802"/>
    <mergeCell ref="A803:G803"/>
    <mergeCell ref="BC803:BR803"/>
    <mergeCell ref="BS803:CH803"/>
    <mergeCell ref="CI803:CZ803"/>
    <mergeCell ref="H802:AT802"/>
    <mergeCell ref="AU802:BB802"/>
    <mergeCell ref="H803:AT803"/>
    <mergeCell ref="AU803:BB803"/>
    <mergeCell ref="H804:AT804"/>
    <mergeCell ref="AU804:BB804"/>
    <mergeCell ref="H805:AT805"/>
    <mergeCell ref="AU805:BB805"/>
    <mergeCell ref="BS787:CH787"/>
    <mergeCell ref="CI787:CZ787"/>
    <mergeCell ref="A789:G789"/>
    <mergeCell ref="BS789:CH789"/>
    <mergeCell ref="CI789:CZ789"/>
    <mergeCell ref="A787:G787"/>
    <mergeCell ref="H787:AT787"/>
    <mergeCell ref="AU787:BB787"/>
    <mergeCell ref="BC787:BR787"/>
    <mergeCell ref="A788:G788"/>
    <mergeCell ref="H788:AT788"/>
    <mergeCell ref="AU788:BB788"/>
    <mergeCell ref="BC788:BR788"/>
    <mergeCell ref="BS788:CH788"/>
    <mergeCell ref="CI788:CZ788"/>
    <mergeCell ref="H789:AT789"/>
    <mergeCell ref="AU789:BB789"/>
    <mergeCell ref="BC789:BR789"/>
    <mergeCell ref="BS784:CH784"/>
    <mergeCell ref="CI784:CZ784"/>
    <mergeCell ref="A786:G786"/>
    <mergeCell ref="BS786:CH786"/>
    <mergeCell ref="CI786:CZ786"/>
    <mergeCell ref="A784:G784"/>
    <mergeCell ref="H784:AT784"/>
    <mergeCell ref="AU784:BB784"/>
    <mergeCell ref="BC784:BR784"/>
    <mergeCell ref="A785:G785"/>
    <mergeCell ref="H785:AT785"/>
    <mergeCell ref="AU785:BB785"/>
    <mergeCell ref="BC785:BR785"/>
    <mergeCell ref="BS785:CH785"/>
    <mergeCell ref="CI785:CZ785"/>
    <mergeCell ref="BS781:CH781"/>
    <mergeCell ref="CI781:CZ781"/>
    <mergeCell ref="A783:G783"/>
    <mergeCell ref="BS783:CH783"/>
    <mergeCell ref="CI783:CZ783"/>
    <mergeCell ref="A782:G782"/>
    <mergeCell ref="H782:AT782"/>
    <mergeCell ref="AU782:BB782"/>
    <mergeCell ref="BC782:BR782"/>
    <mergeCell ref="BS782:CH782"/>
    <mergeCell ref="CI782:CZ782"/>
    <mergeCell ref="H783:AT783"/>
    <mergeCell ref="AU783:BB783"/>
    <mergeCell ref="BC783:BR783"/>
    <mergeCell ref="H786:AT786"/>
    <mergeCell ref="AU786:BB786"/>
    <mergeCell ref="BC786:BR786"/>
    <mergeCell ref="BS767:CH767"/>
    <mergeCell ref="CI767:CZ767"/>
    <mergeCell ref="A769:G769"/>
    <mergeCell ref="H769:AT769"/>
    <mergeCell ref="AU769:BB769"/>
    <mergeCell ref="BC769:BR769"/>
    <mergeCell ref="BS769:CH769"/>
    <mergeCell ref="CI769:CZ769"/>
    <mergeCell ref="A767:G767"/>
    <mergeCell ref="H767:AT767"/>
    <mergeCell ref="AU767:BB767"/>
    <mergeCell ref="BC767:BR767"/>
    <mergeCell ref="A768:G768"/>
    <mergeCell ref="H768:AT768"/>
    <mergeCell ref="AU768:BB768"/>
    <mergeCell ref="BC768:BR768"/>
    <mergeCell ref="BS768:CH768"/>
    <mergeCell ref="CI768:CZ768"/>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CI761:CZ761"/>
    <mergeCell ref="A762:G762"/>
    <mergeCell ref="H762:AT762"/>
    <mergeCell ref="AU762:BB762"/>
    <mergeCell ref="BC762:BR762"/>
    <mergeCell ref="BS762:CH762"/>
    <mergeCell ref="CI762:CZ762"/>
    <mergeCell ref="BC759:BR759"/>
    <mergeCell ref="BS759:CH759"/>
    <mergeCell ref="CI759:CZ759"/>
    <mergeCell ref="A761:G761"/>
    <mergeCell ref="H761:AT761"/>
    <mergeCell ref="AU761:BB761"/>
    <mergeCell ref="BC761:BR761"/>
    <mergeCell ref="BS761:CH761"/>
    <mergeCell ref="A759:G759"/>
    <mergeCell ref="H759:AT759"/>
    <mergeCell ref="AU759:BB759"/>
    <mergeCell ref="A760:G760"/>
    <mergeCell ref="H760:AT760"/>
    <mergeCell ref="AU760:BB760"/>
    <mergeCell ref="BC760:BR760"/>
    <mergeCell ref="BS760:CH760"/>
    <mergeCell ref="CI760:CZ760"/>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BC736:BR736"/>
    <mergeCell ref="BS736:CH736"/>
    <mergeCell ref="CI736:CZ736"/>
    <mergeCell ref="A735:G735"/>
    <mergeCell ref="H735:AT735"/>
    <mergeCell ref="AU735:BB735"/>
    <mergeCell ref="BC735:BR735"/>
    <mergeCell ref="BS735:CH735"/>
    <mergeCell ref="CI735:CZ735"/>
    <mergeCell ref="A736:BB736"/>
    <mergeCell ref="A737:CZ737"/>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CI661:CZ661"/>
    <mergeCell ref="A662:G662"/>
    <mergeCell ref="H662:AT662"/>
    <mergeCell ref="AU662:BB662"/>
    <mergeCell ref="BC662:BR662"/>
    <mergeCell ref="BS662:CH662"/>
    <mergeCell ref="CI662:CZ662"/>
    <mergeCell ref="BC659:BR659"/>
    <mergeCell ref="BS659:CH659"/>
    <mergeCell ref="CI659:CZ659"/>
    <mergeCell ref="A661:G661"/>
    <mergeCell ref="H661:AT661"/>
    <mergeCell ref="AU661:BB661"/>
    <mergeCell ref="BC661:BR661"/>
    <mergeCell ref="BS661:CH661"/>
    <mergeCell ref="A659:G659"/>
    <mergeCell ref="H659:AT659"/>
    <mergeCell ref="AU659:BB659"/>
    <mergeCell ref="A660:G660"/>
    <mergeCell ref="H660:AT660"/>
    <mergeCell ref="AU660:BB660"/>
    <mergeCell ref="BC660:BR660"/>
    <mergeCell ref="BS660:CH660"/>
    <mergeCell ref="CI660:CZ660"/>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55:G655"/>
    <mergeCell ref="H655:AT655"/>
    <mergeCell ref="AU655:BB655"/>
    <mergeCell ref="BC655:BR655"/>
    <mergeCell ref="BS655:CH655"/>
    <mergeCell ref="CI655:CZ655"/>
    <mergeCell ref="W653:CZ653"/>
    <mergeCell ref="BC650:BR650"/>
    <mergeCell ref="BS650:CH650"/>
    <mergeCell ref="CI650:CZ650"/>
    <mergeCell ref="A650:BB650"/>
    <mergeCell ref="A651:CZ651"/>
    <mergeCell ref="BC648:BR648"/>
    <mergeCell ref="BS648:CH648"/>
    <mergeCell ref="CI648:CZ648"/>
    <mergeCell ref="BC647:BR647"/>
    <mergeCell ref="BS647:CH647"/>
    <mergeCell ref="CI647:CZ647"/>
    <mergeCell ref="A647:BB647"/>
    <mergeCell ref="A648:BB648"/>
    <mergeCell ref="A646:G646"/>
    <mergeCell ref="BC646:BR646"/>
    <mergeCell ref="BS646:CH646"/>
    <mergeCell ref="CI646:CZ646"/>
    <mergeCell ref="BC644:BR644"/>
    <mergeCell ref="BS644:CH644"/>
    <mergeCell ref="CI644:CZ644"/>
    <mergeCell ref="A644:BB644"/>
    <mergeCell ref="A645:CZ645"/>
    <mergeCell ref="H646:BB646"/>
    <mergeCell ref="A643:G643"/>
    <mergeCell ref="BC643:BR643"/>
    <mergeCell ref="BS643:CH643"/>
    <mergeCell ref="CI643:CZ643"/>
    <mergeCell ref="BC642:BR642"/>
    <mergeCell ref="BS642:CH642"/>
    <mergeCell ref="CI642:CZ642"/>
    <mergeCell ref="A641:G641"/>
    <mergeCell ref="BC641:BR641"/>
    <mergeCell ref="BS641:CH641"/>
    <mergeCell ref="CI641:CZ641"/>
    <mergeCell ref="H641:BB641"/>
    <mergeCell ref="A642:BB642"/>
    <mergeCell ref="H643:BB643"/>
    <mergeCell ref="A640:G640"/>
    <mergeCell ref="BC640:BR640"/>
    <mergeCell ref="BS640:CH640"/>
    <mergeCell ref="CI640:CZ640"/>
    <mergeCell ref="A639:G639"/>
    <mergeCell ref="BC639:BR639"/>
    <mergeCell ref="BS639:CH639"/>
    <mergeCell ref="CI639:CZ639"/>
    <mergeCell ref="A638:G638"/>
    <mergeCell ref="BC638:BR638"/>
    <mergeCell ref="BS638:CH638"/>
    <mergeCell ref="CI638:CZ638"/>
    <mergeCell ref="H638:BB638"/>
    <mergeCell ref="H639:BB639"/>
    <mergeCell ref="H640:BB640"/>
    <mergeCell ref="A636:G636"/>
    <mergeCell ref="BC636:BR636"/>
    <mergeCell ref="BS636:CH636"/>
    <mergeCell ref="CI636:CZ636"/>
    <mergeCell ref="A635:G635"/>
    <mergeCell ref="BC635:BR635"/>
    <mergeCell ref="BS635:CH635"/>
    <mergeCell ref="CI635:CZ635"/>
    <mergeCell ref="A637:G637"/>
    <mergeCell ref="BC637:BR637"/>
    <mergeCell ref="BS637:CH637"/>
    <mergeCell ref="CI637:CZ637"/>
    <mergeCell ref="H635:BB635"/>
    <mergeCell ref="H636:BB636"/>
    <mergeCell ref="H637:BB637"/>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H632:BB632"/>
    <mergeCell ref="H633:BB633"/>
    <mergeCell ref="H634:BB634"/>
    <mergeCell ref="A631:G631"/>
    <mergeCell ref="BC631:BR631"/>
    <mergeCell ref="BS631:CH631"/>
    <mergeCell ref="CI631:CZ631"/>
    <mergeCell ref="A630:G630"/>
    <mergeCell ref="BC630:BR630"/>
    <mergeCell ref="BS630:CH630"/>
    <mergeCell ref="CI630:CZ630"/>
    <mergeCell ref="A629:G629"/>
    <mergeCell ref="BC629:BR629"/>
    <mergeCell ref="BS629:CH629"/>
    <mergeCell ref="CI629:CZ629"/>
    <mergeCell ref="H629:BB629"/>
    <mergeCell ref="H630:BB630"/>
    <mergeCell ref="H631:BB631"/>
    <mergeCell ref="A628:G628"/>
    <mergeCell ref="BC628:BR628"/>
    <mergeCell ref="BS628:CH628"/>
    <mergeCell ref="CI628:CZ628"/>
    <mergeCell ref="A627:G627"/>
    <mergeCell ref="BC627:BR627"/>
    <mergeCell ref="BS627:CH627"/>
    <mergeCell ref="CI627:CZ627"/>
    <mergeCell ref="A626:G626"/>
    <mergeCell ref="BC626:BR626"/>
    <mergeCell ref="BS626:CH626"/>
    <mergeCell ref="CI626:CZ626"/>
    <mergeCell ref="H626:BB626"/>
    <mergeCell ref="H627:BB627"/>
    <mergeCell ref="H628:BB628"/>
    <mergeCell ref="A625:G625"/>
    <mergeCell ref="BC625:BR625"/>
    <mergeCell ref="BS625:CH625"/>
    <mergeCell ref="CI625:CZ625"/>
    <mergeCell ref="A624:G624"/>
    <mergeCell ref="BC624:BR624"/>
    <mergeCell ref="BS624:CH624"/>
    <mergeCell ref="CI624:CZ624"/>
    <mergeCell ref="A623:G623"/>
    <mergeCell ref="BC623:BR623"/>
    <mergeCell ref="BS623:CH623"/>
    <mergeCell ref="CI623:CZ623"/>
    <mergeCell ref="H623:BB623"/>
    <mergeCell ref="H624:BB624"/>
    <mergeCell ref="H625:BB625"/>
    <mergeCell ref="A622:G622"/>
    <mergeCell ref="BC622:BR622"/>
    <mergeCell ref="BS622:CH622"/>
    <mergeCell ref="CI622:CZ622"/>
    <mergeCell ref="A621:G621"/>
    <mergeCell ref="BC621:BR621"/>
    <mergeCell ref="BS621:CH621"/>
    <mergeCell ref="CI621:CZ621"/>
    <mergeCell ref="A620:G620"/>
    <mergeCell ref="BC620:BR620"/>
    <mergeCell ref="BS620:CH620"/>
    <mergeCell ref="CI620:CZ620"/>
    <mergeCell ref="H620:BB620"/>
    <mergeCell ref="H621:BB621"/>
    <mergeCell ref="H622:BB622"/>
    <mergeCell ref="A619:G619"/>
    <mergeCell ref="BC619:BR619"/>
    <mergeCell ref="BS619:CH619"/>
    <mergeCell ref="CI619:CZ619"/>
    <mergeCell ref="BC617:BR617"/>
    <mergeCell ref="BS617:CH617"/>
    <mergeCell ref="CI617:CZ617"/>
    <mergeCell ref="A617:BB617"/>
    <mergeCell ref="A618:CZ618"/>
    <mergeCell ref="H619:BB619"/>
    <mergeCell ref="A616:G616"/>
    <mergeCell ref="BC616:BR616"/>
    <mergeCell ref="BS616:CH616"/>
    <mergeCell ref="CI616:CZ616"/>
    <mergeCell ref="A615:G615"/>
    <mergeCell ref="BC615:BR615"/>
    <mergeCell ref="BS615:CH615"/>
    <mergeCell ref="CI615:CZ615"/>
    <mergeCell ref="A614:G614"/>
    <mergeCell ref="BC614:BR614"/>
    <mergeCell ref="BS614:CH614"/>
    <mergeCell ref="CI614:CZ614"/>
    <mergeCell ref="H614:BB614"/>
    <mergeCell ref="H615:BB615"/>
    <mergeCell ref="H616:BB616"/>
    <mergeCell ref="A613:G613"/>
    <mergeCell ref="BC613:BR613"/>
    <mergeCell ref="BS613:CH613"/>
    <mergeCell ref="CI613:CZ613"/>
    <mergeCell ref="A612:G612"/>
    <mergeCell ref="BC612:BR612"/>
    <mergeCell ref="BS612:CH612"/>
    <mergeCell ref="CI612:CZ612"/>
    <mergeCell ref="A611:G611"/>
    <mergeCell ref="BC611:BR611"/>
    <mergeCell ref="BS611:CH611"/>
    <mergeCell ref="CI611:CZ611"/>
    <mergeCell ref="H611:BB611"/>
    <mergeCell ref="H612:BB612"/>
    <mergeCell ref="H613:BB613"/>
    <mergeCell ref="A610:G610"/>
    <mergeCell ref="BC610:BR610"/>
    <mergeCell ref="BS610:CH610"/>
    <mergeCell ref="CI610:CZ610"/>
    <mergeCell ref="A609:G609"/>
    <mergeCell ref="BC609:BR609"/>
    <mergeCell ref="BS609:CH609"/>
    <mergeCell ref="CI609:CZ609"/>
    <mergeCell ref="A608:G608"/>
    <mergeCell ref="BC608:BR608"/>
    <mergeCell ref="BS608:CH608"/>
    <mergeCell ref="CI608:CZ608"/>
    <mergeCell ref="H608:BB608"/>
    <mergeCell ref="H609:BB609"/>
    <mergeCell ref="H610:BB610"/>
    <mergeCell ref="A607:G607"/>
    <mergeCell ref="BC607:BR607"/>
    <mergeCell ref="BS607:CH607"/>
    <mergeCell ref="CI607:CZ607"/>
    <mergeCell ref="A606:G606"/>
    <mergeCell ref="BC606:BR606"/>
    <mergeCell ref="BS606:CH606"/>
    <mergeCell ref="CI606:CZ606"/>
    <mergeCell ref="A605:G605"/>
    <mergeCell ref="BC605:BR605"/>
    <mergeCell ref="BS605:CH605"/>
    <mergeCell ref="CI605:CZ605"/>
    <mergeCell ref="H605:BB605"/>
    <mergeCell ref="H606:BB606"/>
    <mergeCell ref="H607:BB607"/>
    <mergeCell ref="A604:G604"/>
    <mergeCell ref="BC604:BR604"/>
    <mergeCell ref="BS604:CH604"/>
    <mergeCell ref="CI604:CZ604"/>
    <mergeCell ref="A603:G603"/>
    <mergeCell ref="BC603:BR603"/>
    <mergeCell ref="BS603:CH603"/>
    <mergeCell ref="CI603:CZ603"/>
    <mergeCell ref="A602:G602"/>
    <mergeCell ref="BC602:BR602"/>
    <mergeCell ref="BS602:CH602"/>
    <mergeCell ref="CI602:CZ602"/>
    <mergeCell ref="H602:BB602"/>
    <mergeCell ref="H603:BB603"/>
    <mergeCell ref="H604:BB604"/>
    <mergeCell ref="A601:G601"/>
    <mergeCell ref="BC601:BR601"/>
    <mergeCell ref="BS601:CH601"/>
    <mergeCell ref="CI601:CZ601"/>
    <mergeCell ref="A600:G600"/>
    <mergeCell ref="BC600:BR600"/>
    <mergeCell ref="BS600:CH600"/>
    <mergeCell ref="CI600:CZ600"/>
    <mergeCell ref="A599:G599"/>
    <mergeCell ref="BC599:BR599"/>
    <mergeCell ref="BS599:CH599"/>
    <mergeCell ref="CI599:CZ599"/>
    <mergeCell ref="H599:BB599"/>
    <mergeCell ref="H600:BB600"/>
    <mergeCell ref="H601:BB601"/>
    <mergeCell ref="A598:G598"/>
    <mergeCell ref="BC598:BR598"/>
    <mergeCell ref="BS598:CH598"/>
    <mergeCell ref="CI598:CZ598"/>
    <mergeCell ref="A597:G597"/>
    <mergeCell ref="BC597:BR597"/>
    <mergeCell ref="BS597:CH597"/>
    <mergeCell ref="CI597:CZ597"/>
    <mergeCell ref="A596:G596"/>
    <mergeCell ref="BC596:BR596"/>
    <mergeCell ref="BS596:CH596"/>
    <mergeCell ref="CI596:CZ596"/>
    <mergeCell ref="H596:BB596"/>
    <mergeCell ref="H597:BB597"/>
    <mergeCell ref="H598:BB598"/>
    <mergeCell ref="A595:G595"/>
    <mergeCell ref="BC595:BR595"/>
    <mergeCell ref="BS595:CH595"/>
    <mergeCell ref="CI595:CZ595"/>
    <mergeCell ref="A594:G594"/>
    <mergeCell ref="BC594:BR594"/>
    <mergeCell ref="BS594:CH594"/>
    <mergeCell ref="CI594:CZ594"/>
    <mergeCell ref="A593:CZ593"/>
    <mergeCell ref="H594:BB594"/>
    <mergeCell ref="H595:BB595"/>
    <mergeCell ref="BS568:CH568"/>
    <mergeCell ref="CI568:CZ568"/>
    <mergeCell ref="A569:G569"/>
    <mergeCell ref="BC592:BR592"/>
    <mergeCell ref="BS592:CH592"/>
    <mergeCell ref="CI592:CZ592"/>
    <mergeCell ref="A591:G591"/>
    <mergeCell ref="BC591:BR591"/>
    <mergeCell ref="BS591:CH591"/>
    <mergeCell ref="CI591:CZ591"/>
    <mergeCell ref="A590:G590"/>
    <mergeCell ref="BC590:BR590"/>
    <mergeCell ref="BS590:CH590"/>
    <mergeCell ref="CI590:CZ590"/>
    <mergeCell ref="H590:BB590"/>
    <mergeCell ref="H591:BB591"/>
    <mergeCell ref="A592:BB592"/>
    <mergeCell ref="A589:G589"/>
    <mergeCell ref="BC589:BR589"/>
    <mergeCell ref="BS589:CH589"/>
    <mergeCell ref="CI589:CZ589"/>
    <mergeCell ref="A580:CZ580"/>
    <mergeCell ref="A581:G581"/>
    <mergeCell ref="H581:BB581"/>
    <mergeCell ref="BC581:BR581"/>
    <mergeCell ref="BS581:CH581"/>
    <mergeCell ref="CI581:CZ581"/>
    <mergeCell ref="A574:CZ574"/>
    <mergeCell ref="BS572:CH572"/>
    <mergeCell ref="CI572:CZ572"/>
    <mergeCell ref="H584:BB584"/>
    <mergeCell ref="BC584:BR584"/>
    <mergeCell ref="A571:BR571"/>
    <mergeCell ref="BS571:CH571"/>
    <mergeCell ref="CI571:CZ571"/>
    <mergeCell ref="A572:BR572"/>
    <mergeCell ref="W576:CZ576"/>
    <mergeCell ref="A579:G579"/>
    <mergeCell ref="H579:BB579"/>
    <mergeCell ref="CI564:CZ564"/>
    <mergeCell ref="BS561:CH561"/>
    <mergeCell ref="CI561:CZ561"/>
    <mergeCell ref="A560:G560"/>
    <mergeCell ref="H560:BR560"/>
    <mergeCell ref="BS560:CH560"/>
    <mergeCell ref="CI560:CZ560"/>
    <mergeCell ref="A561:BR561"/>
    <mergeCell ref="A562:CZ562"/>
    <mergeCell ref="BS559:CH559"/>
    <mergeCell ref="CI559:CZ559"/>
    <mergeCell ref="BS565:CH565"/>
    <mergeCell ref="CI565:CZ565"/>
    <mergeCell ref="BS566:CH566"/>
    <mergeCell ref="CI566:CZ566"/>
    <mergeCell ref="A565:G565"/>
    <mergeCell ref="H565:BR565"/>
    <mergeCell ref="A566:G566"/>
    <mergeCell ref="H566:BR566"/>
    <mergeCell ref="A567:G567"/>
    <mergeCell ref="H567:BR567"/>
    <mergeCell ref="BS567:CH567"/>
    <mergeCell ref="CI567:CZ567"/>
    <mergeCell ref="A568:G568"/>
    <mergeCell ref="H568:BR568"/>
    <mergeCell ref="A552:G552"/>
    <mergeCell ref="H552:BR552"/>
    <mergeCell ref="BS552:CH552"/>
    <mergeCell ref="CI552:CZ552"/>
    <mergeCell ref="BS548:CH548"/>
    <mergeCell ref="CI548:CZ548"/>
    <mergeCell ref="BS550:CH550"/>
    <mergeCell ref="CI550:CZ550"/>
    <mergeCell ref="A558:G558"/>
    <mergeCell ref="H558:BR558"/>
    <mergeCell ref="BS558:CH558"/>
    <mergeCell ref="CI558:CZ558"/>
    <mergeCell ref="A548:G548"/>
    <mergeCell ref="H548:BR548"/>
    <mergeCell ref="A549:G549"/>
    <mergeCell ref="H549:BR549"/>
    <mergeCell ref="BS549:CH549"/>
    <mergeCell ref="CI549:CZ549"/>
    <mergeCell ref="A550:BR550"/>
    <mergeCell ref="A551:CZ551"/>
    <mergeCell ref="BS556:CH556"/>
    <mergeCell ref="CI556:CZ556"/>
    <mergeCell ref="A553:G553"/>
    <mergeCell ref="H553:BR553"/>
    <mergeCell ref="BS553:CH553"/>
    <mergeCell ref="CI553:CZ553"/>
    <mergeCell ref="BS554:CH554"/>
    <mergeCell ref="CI554:CZ554"/>
    <mergeCell ref="A554:G554"/>
    <mergeCell ref="H554:BR554"/>
    <mergeCell ref="A555:G555"/>
    <mergeCell ref="H555:BR555"/>
    <mergeCell ref="A547:G547"/>
    <mergeCell ref="H547:BR547"/>
    <mergeCell ref="BS547:CH547"/>
    <mergeCell ref="CI547:CZ547"/>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7:G527"/>
    <mergeCell ref="H527:BR527"/>
    <mergeCell ref="BS527:CH527"/>
    <mergeCell ref="CI527:CZ527"/>
    <mergeCell ref="A528:G528"/>
    <mergeCell ref="H528:BR528"/>
    <mergeCell ref="BS528:CH528"/>
    <mergeCell ref="CI528:CZ528"/>
    <mergeCell ref="A525:G525"/>
    <mergeCell ref="H525:BR525"/>
    <mergeCell ref="BS525:CH525"/>
    <mergeCell ref="CI525:CZ525"/>
    <mergeCell ref="A526:G526"/>
    <mergeCell ref="H526:BR526"/>
    <mergeCell ref="BS526:CH526"/>
    <mergeCell ref="CI526:CZ526"/>
    <mergeCell ref="A524:G524"/>
    <mergeCell ref="H524:BR524"/>
    <mergeCell ref="BS524:CH524"/>
    <mergeCell ref="CI524:CZ524"/>
    <mergeCell ref="A521:G521"/>
    <mergeCell ref="H521:BR521"/>
    <mergeCell ref="BS521:CH521"/>
    <mergeCell ref="CI521:CZ521"/>
    <mergeCell ref="BS514:CH514"/>
    <mergeCell ref="CI514:CZ514"/>
    <mergeCell ref="BS515:CH515"/>
    <mergeCell ref="CI515:CZ515"/>
    <mergeCell ref="A514:G514"/>
    <mergeCell ref="H514:BR514"/>
    <mergeCell ref="A515:G515"/>
    <mergeCell ref="H515:BR515"/>
    <mergeCell ref="A516:G516"/>
    <mergeCell ref="H516:BR516"/>
    <mergeCell ref="BS516:CH516"/>
    <mergeCell ref="CI516:CZ516"/>
    <mergeCell ref="A517:G517"/>
    <mergeCell ref="H517:BR517"/>
    <mergeCell ref="BS517:CH517"/>
    <mergeCell ref="CI517:CZ517"/>
    <mergeCell ref="A518:G518"/>
    <mergeCell ref="H518:BR518"/>
    <mergeCell ref="BS518:CH518"/>
    <mergeCell ref="CI518:CZ518"/>
    <mergeCell ref="A519:G519"/>
    <mergeCell ref="H519:BR519"/>
    <mergeCell ref="BS519:CH519"/>
    <mergeCell ref="CI519:CZ519"/>
    <mergeCell ref="A512:G512"/>
    <mergeCell ref="BS512:CH512"/>
    <mergeCell ref="CI512:CZ512"/>
    <mergeCell ref="A513:G513"/>
    <mergeCell ref="BS513:CH513"/>
    <mergeCell ref="CI513:CZ513"/>
    <mergeCell ref="A511:G511"/>
    <mergeCell ref="BS511:CH511"/>
    <mergeCell ref="CI511:CZ511"/>
    <mergeCell ref="A510:CZ510"/>
    <mergeCell ref="H511:BR511"/>
    <mergeCell ref="H512:BR512"/>
    <mergeCell ref="H513:BR513"/>
    <mergeCell ref="A508:G508"/>
    <mergeCell ref="BS508:CH508"/>
    <mergeCell ref="CI508:CZ508"/>
    <mergeCell ref="A509:G509"/>
    <mergeCell ref="BS509:CH509"/>
    <mergeCell ref="CI509:CZ509"/>
    <mergeCell ref="W506:CZ506"/>
    <mergeCell ref="H508:BR508"/>
    <mergeCell ref="H509:BR509"/>
    <mergeCell ref="BC502:BR502"/>
    <mergeCell ref="BS502:CH502"/>
    <mergeCell ref="CI502:CZ502"/>
    <mergeCell ref="A502:BB502"/>
    <mergeCell ref="A504:CZ504"/>
    <mergeCell ref="BC501:BR501"/>
    <mergeCell ref="BS501:CH501"/>
    <mergeCell ref="CI501:CZ501"/>
    <mergeCell ref="A499:G499"/>
    <mergeCell ref="H499:BB499"/>
    <mergeCell ref="BC499:BR499"/>
    <mergeCell ref="BS499:CH499"/>
    <mergeCell ref="CI499:CZ499"/>
    <mergeCell ref="A496:G496"/>
    <mergeCell ref="H496:BB496"/>
    <mergeCell ref="BC496:BR496"/>
    <mergeCell ref="BS496:CH496"/>
    <mergeCell ref="CI496:CZ496"/>
    <mergeCell ref="BC497:BR497"/>
    <mergeCell ref="BS497:CH497"/>
    <mergeCell ref="CI497:CZ497"/>
    <mergeCell ref="A497:G497"/>
    <mergeCell ref="H497:BB497"/>
    <mergeCell ref="A498:G498"/>
    <mergeCell ref="H498:BB498"/>
    <mergeCell ref="BC498:BR498"/>
    <mergeCell ref="BS498:CH498"/>
    <mergeCell ref="CI498:CZ498"/>
    <mergeCell ref="A501:BB501"/>
    <mergeCell ref="A495:G495"/>
    <mergeCell ref="H495:BB495"/>
    <mergeCell ref="BC495:BR495"/>
    <mergeCell ref="BS495:CH495"/>
    <mergeCell ref="CI495:CZ495"/>
    <mergeCell ref="A492:G492"/>
    <mergeCell ref="H492:BB492"/>
    <mergeCell ref="BC492:BR492"/>
    <mergeCell ref="BS492:CH492"/>
    <mergeCell ref="CI492:CZ492"/>
    <mergeCell ref="A493:G493"/>
    <mergeCell ref="H493:BB493"/>
    <mergeCell ref="BC493:BR493"/>
    <mergeCell ref="BS493:CH493"/>
    <mergeCell ref="CI493:CZ493"/>
    <mergeCell ref="A500:G500"/>
    <mergeCell ref="H500:BB500"/>
    <mergeCell ref="BC500:BR500"/>
    <mergeCell ref="BS500:CH500"/>
    <mergeCell ref="CI500:CZ500"/>
    <mergeCell ref="A491:G491"/>
    <mergeCell ref="H491:BB491"/>
    <mergeCell ref="BC491:BR491"/>
    <mergeCell ref="BS491:CH491"/>
    <mergeCell ref="CI491:CZ491"/>
    <mergeCell ref="A487:G487"/>
    <mergeCell ref="H487:BB487"/>
    <mergeCell ref="BC487:BR487"/>
    <mergeCell ref="BS487:CH487"/>
    <mergeCell ref="CI487:CZ487"/>
    <mergeCell ref="BC488:BR488"/>
    <mergeCell ref="BS488:CH488"/>
    <mergeCell ref="CI488:CZ488"/>
    <mergeCell ref="A494:G494"/>
    <mergeCell ref="H494:BB494"/>
    <mergeCell ref="BC494:BR494"/>
    <mergeCell ref="BS494:CH494"/>
    <mergeCell ref="CI494:CZ494"/>
    <mergeCell ref="A488:BB488"/>
    <mergeCell ref="A489:CZ489"/>
    <mergeCell ref="A490:G490"/>
    <mergeCell ref="H490:BB490"/>
    <mergeCell ref="BC490:BR490"/>
    <mergeCell ref="BS490:CH490"/>
    <mergeCell ref="CI490:CZ490"/>
    <mergeCell ref="A486:G486"/>
    <mergeCell ref="H486:BB486"/>
    <mergeCell ref="BC486:BR486"/>
    <mergeCell ref="BS486:CH486"/>
    <mergeCell ref="CI486:CZ486"/>
    <mergeCell ref="A484:G484"/>
    <mergeCell ref="H484:BB484"/>
    <mergeCell ref="BC484:BR484"/>
    <mergeCell ref="BS484:CH484"/>
    <mergeCell ref="CI484:CZ484"/>
    <mergeCell ref="A482:CZ482"/>
    <mergeCell ref="A483:G483"/>
    <mergeCell ref="H483:BB483"/>
    <mergeCell ref="BC483:BR483"/>
    <mergeCell ref="BS483:CH483"/>
    <mergeCell ref="CI483:CZ483"/>
    <mergeCell ref="BC481:BR481"/>
    <mergeCell ref="BS481:CH481"/>
    <mergeCell ref="CI481:CZ481"/>
    <mergeCell ref="CI479:CZ479"/>
    <mergeCell ref="A476:G476"/>
    <mergeCell ref="H476:BB476"/>
    <mergeCell ref="BC476:BR476"/>
    <mergeCell ref="BS476:CH476"/>
    <mergeCell ref="CI476:CZ476"/>
    <mergeCell ref="A485:G485"/>
    <mergeCell ref="H485:BB485"/>
    <mergeCell ref="BC485:BR485"/>
    <mergeCell ref="BS485:CH485"/>
    <mergeCell ref="CI485:CZ485"/>
    <mergeCell ref="A481:BB481"/>
    <mergeCell ref="A477:G477"/>
    <mergeCell ref="H477:BB477"/>
    <mergeCell ref="BC477:BR477"/>
    <mergeCell ref="BS477:CH477"/>
    <mergeCell ref="CI477:CZ477"/>
    <mergeCell ref="A480:G480"/>
    <mergeCell ref="H480:BB480"/>
    <mergeCell ref="A474:G474"/>
    <mergeCell ref="H474:BB474"/>
    <mergeCell ref="BC474:BR474"/>
    <mergeCell ref="BS474:CH474"/>
    <mergeCell ref="CI474:CZ474"/>
    <mergeCell ref="A475:G475"/>
    <mergeCell ref="H475:BB475"/>
    <mergeCell ref="BC475:BR475"/>
    <mergeCell ref="BS475:CH475"/>
    <mergeCell ref="CI475:CZ475"/>
    <mergeCell ref="A472:G472"/>
    <mergeCell ref="H472:BB472"/>
    <mergeCell ref="BC472:BR472"/>
    <mergeCell ref="BS472:CH472"/>
    <mergeCell ref="CI472:CZ472"/>
    <mergeCell ref="BC480:BR480"/>
    <mergeCell ref="BS480:CH480"/>
    <mergeCell ref="CI480:CZ480"/>
    <mergeCell ref="A473:G473"/>
    <mergeCell ref="H473:BB473"/>
    <mergeCell ref="BC473:BR473"/>
    <mergeCell ref="BS473:CH473"/>
    <mergeCell ref="CI473:CZ473"/>
    <mergeCell ref="A478:G478"/>
    <mergeCell ref="H478:BB478"/>
    <mergeCell ref="BC478:BR478"/>
    <mergeCell ref="BS478:CH478"/>
    <mergeCell ref="CI478:CZ478"/>
    <mergeCell ref="A479:G479"/>
    <mergeCell ref="H479:BB479"/>
    <mergeCell ref="BC479:BR479"/>
    <mergeCell ref="BS479:CH479"/>
    <mergeCell ref="A470:G470"/>
    <mergeCell ref="H470:BB470"/>
    <mergeCell ref="BC470:BR470"/>
    <mergeCell ref="BS470:CH470"/>
    <mergeCell ref="CI470:CZ470"/>
    <mergeCell ref="A471:G471"/>
    <mergeCell ref="H471:BB471"/>
    <mergeCell ref="BC471:BR471"/>
    <mergeCell ref="BS471:CH471"/>
    <mergeCell ref="CI471:CZ471"/>
    <mergeCell ref="A468:G468"/>
    <mergeCell ref="H468:BB468"/>
    <mergeCell ref="BC468:BR468"/>
    <mergeCell ref="BS468:CH468"/>
    <mergeCell ref="CI468:CZ468"/>
    <mergeCell ref="A469:G469"/>
    <mergeCell ref="H469:BB469"/>
    <mergeCell ref="BC469:BR469"/>
    <mergeCell ref="BS469:CH469"/>
    <mergeCell ref="CI469:CZ469"/>
    <mergeCell ref="A466:G466"/>
    <mergeCell ref="H466:BB466"/>
    <mergeCell ref="BC466:BR466"/>
    <mergeCell ref="BS466:CH466"/>
    <mergeCell ref="CI466:CZ466"/>
    <mergeCell ref="A467:G467"/>
    <mergeCell ref="H467:BB467"/>
    <mergeCell ref="BC467:BR467"/>
    <mergeCell ref="BS467:CH467"/>
    <mergeCell ref="CI467:CZ467"/>
    <mergeCell ref="A464:G464"/>
    <mergeCell ref="H464:BB464"/>
    <mergeCell ref="BC464:BR464"/>
    <mergeCell ref="BS464:CH464"/>
    <mergeCell ref="CI464:CZ464"/>
    <mergeCell ref="A465:G465"/>
    <mergeCell ref="H465:BB465"/>
    <mergeCell ref="BC465:BR465"/>
    <mergeCell ref="BS465:CH465"/>
    <mergeCell ref="CI465:CZ465"/>
    <mergeCell ref="A462:G462"/>
    <mergeCell ref="H462:BB462"/>
    <mergeCell ref="BC462:BR462"/>
    <mergeCell ref="BS462:CH462"/>
    <mergeCell ref="CI462:CZ462"/>
    <mergeCell ref="A463:G463"/>
    <mergeCell ref="H463:BB463"/>
    <mergeCell ref="BC463:BR463"/>
    <mergeCell ref="BS463:CH463"/>
    <mergeCell ref="CI463:CZ463"/>
    <mergeCell ref="A460:G460"/>
    <mergeCell ref="H460:BB460"/>
    <mergeCell ref="BC460:BR460"/>
    <mergeCell ref="BS460:CH460"/>
    <mergeCell ref="CI460:CZ460"/>
    <mergeCell ref="A461:G461"/>
    <mergeCell ref="H461:BB461"/>
    <mergeCell ref="BC461:BR461"/>
    <mergeCell ref="BS461:CH461"/>
    <mergeCell ref="CI461:CZ461"/>
    <mergeCell ref="A458:G458"/>
    <mergeCell ref="H458:BB458"/>
    <mergeCell ref="BC458:BR458"/>
    <mergeCell ref="BS458:CH458"/>
    <mergeCell ref="CI458:CZ458"/>
    <mergeCell ref="A459:G459"/>
    <mergeCell ref="H459:BB459"/>
    <mergeCell ref="BC459:BR459"/>
    <mergeCell ref="BS459:CH459"/>
    <mergeCell ref="CI459:CZ459"/>
    <mergeCell ref="A456:G456"/>
    <mergeCell ref="H456:BB456"/>
    <mergeCell ref="BC456:BR456"/>
    <mergeCell ref="BS456:CH456"/>
    <mergeCell ref="CI456:CZ456"/>
    <mergeCell ref="A457:G457"/>
    <mergeCell ref="H457:BB457"/>
    <mergeCell ref="BC457:BR457"/>
    <mergeCell ref="BS457:CH457"/>
    <mergeCell ref="CI457:CZ457"/>
    <mergeCell ref="A454:G454"/>
    <mergeCell ref="H454:BB454"/>
    <mergeCell ref="BC454:BR454"/>
    <mergeCell ref="BS454:CH454"/>
    <mergeCell ref="CI454:CZ454"/>
    <mergeCell ref="A455:G455"/>
    <mergeCell ref="H455:BB455"/>
    <mergeCell ref="BC455:BR455"/>
    <mergeCell ref="BS455:CH455"/>
    <mergeCell ref="CI455:CZ455"/>
    <mergeCell ref="H446:BB446"/>
    <mergeCell ref="BC446:BR446"/>
    <mergeCell ref="BS446:CH446"/>
    <mergeCell ref="CI446:CZ446"/>
    <mergeCell ref="A447:G447"/>
    <mergeCell ref="H447:BB447"/>
    <mergeCell ref="BC447:BR447"/>
    <mergeCell ref="BS447:CH447"/>
    <mergeCell ref="CI447:CZ447"/>
    <mergeCell ref="A452:G452"/>
    <mergeCell ref="H452:BB452"/>
    <mergeCell ref="BC452:BR452"/>
    <mergeCell ref="BS452:CH452"/>
    <mergeCell ref="CI452:CZ452"/>
    <mergeCell ref="A453:G453"/>
    <mergeCell ref="H453:BB453"/>
    <mergeCell ref="BC453:BR453"/>
    <mergeCell ref="BS453:CH453"/>
    <mergeCell ref="CI453:CZ453"/>
    <mergeCell ref="A450:G450"/>
    <mergeCell ref="H450:BB450"/>
    <mergeCell ref="BC450:BR450"/>
    <mergeCell ref="BS450:CH450"/>
    <mergeCell ref="CI450:CZ450"/>
    <mergeCell ref="A451:G451"/>
    <mergeCell ref="H451:BB451"/>
    <mergeCell ref="BC451:BR451"/>
    <mergeCell ref="BS451:CH451"/>
    <mergeCell ref="CI451:CZ451"/>
    <mergeCell ref="A441:G441"/>
    <mergeCell ref="H441:BB441"/>
    <mergeCell ref="BC441:BR441"/>
    <mergeCell ref="BS441:CH441"/>
    <mergeCell ref="CI441:CZ441"/>
    <mergeCell ref="A448:G448"/>
    <mergeCell ref="H448:BB448"/>
    <mergeCell ref="BC448:BR448"/>
    <mergeCell ref="BS448:CH448"/>
    <mergeCell ref="CI448:CZ448"/>
    <mergeCell ref="A446:G446"/>
    <mergeCell ref="A449:G449"/>
    <mergeCell ref="H449:BB449"/>
    <mergeCell ref="BC449:BR449"/>
    <mergeCell ref="BS449:CH449"/>
    <mergeCell ref="CI449:CZ449"/>
    <mergeCell ref="A439:G439"/>
    <mergeCell ref="H439:BB439"/>
    <mergeCell ref="BC439:BR439"/>
    <mergeCell ref="BS439:CH439"/>
    <mergeCell ref="CI439:CZ439"/>
    <mergeCell ref="A440:CZ440"/>
    <mergeCell ref="A443:G443"/>
    <mergeCell ref="H443:BB443"/>
    <mergeCell ref="BC443:BR443"/>
    <mergeCell ref="BS443:CH443"/>
    <mergeCell ref="CI443:CZ443"/>
    <mergeCell ref="A444:G444"/>
    <mergeCell ref="H444:BB444"/>
    <mergeCell ref="BC444:BR444"/>
    <mergeCell ref="BS444:CH444"/>
    <mergeCell ref="CI444:CZ444"/>
    <mergeCell ref="A445:G445"/>
    <mergeCell ref="H445:BB445"/>
    <mergeCell ref="BC445:BR445"/>
    <mergeCell ref="BS445:CH445"/>
    <mergeCell ref="CI445:CZ445"/>
    <mergeCell ref="A442:G442"/>
    <mergeCell ref="H442:BB442"/>
    <mergeCell ref="BC442:BR442"/>
    <mergeCell ref="BS442:CH442"/>
    <mergeCell ref="CI442:CZ442"/>
    <mergeCell ref="AO409:BD409"/>
    <mergeCell ref="BE409:BT409"/>
    <mergeCell ref="BU409:CJ409"/>
    <mergeCell ref="CK409:CZ409"/>
    <mergeCell ref="AO407:BD407"/>
    <mergeCell ref="BE407:BT407"/>
    <mergeCell ref="BU407:CJ407"/>
    <mergeCell ref="CK407:CZ407"/>
    <mergeCell ref="A406:G406"/>
    <mergeCell ref="H406:AN406"/>
    <mergeCell ref="AO406:BD406"/>
    <mergeCell ref="BE406:BT406"/>
    <mergeCell ref="BU406:CJ406"/>
    <mergeCell ref="CK406:CZ406"/>
    <mergeCell ref="A407:AN407"/>
    <mergeCell ref="A408:CZ408"/>
    <mergeCell ref="A409:G409"/>
    <mergeCell ref="H409:AN409"/>
    <mergeCell ref="A405:G405"/>
    <mergeCell ref="H405:AN405"/>
    <mergeCell ref="AO405:BD405"/>
    <mergeCell ref="BE405:BT405"/>
    <mergeCell ref="BU405:CJ405"/>
    <mergeCell ref="CK405:CZ405"/>
    <mergeCell ref="AO403:BD403"/>
    <mergeCell ref="BE403:BT403"/>
    <mergeCell ref="BU403:CJ403"/>
    <mergeCell ref="CK403:CZ403"/>
    <mergeCell ref="A402:CZ402"/>
    <mergeCell ref="A403:G403"/>
    <mergeCell ref="H403:AN403"/>
    <mergeCell ref="A404:G404"/>
    <mergeCell ref="H404:AN404"/>
    <mergeCell ref="AO404:BD404"/>
    <mergeCell ref="BE404:BT404"/>
    <mergeCell ref="BU404:CJ404"/>
    <mergeCell ref="CK404:CZ404"/>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394:AN394"/>
    <mergeCell ref="AO394:BD394"/>
    <mergeCell ref="BE394:BT394"/>
    <mergeCell ref="BU394:CJ394"/>
    <mergeCell ref="CK394:CZ394"/>
    <mergeCell ref="A396:CZ396"/>
    <mergeCell ref="W398:CZ398"/>
    <mergeCell ref="A363:G363"/>
    <mergeCell ref="H363:AN363"/>
    <mergeCell ref="AO363:BD363"/>
    <mergeCell ref="BE363:BT363"/>
    <mergeCell ref="BU363:CJ363"/>
    <mergeCell ref="CK363:CZ363"/>
    <mergeCell ref="A387:BB387"/>
    <mergeCell ref="BC387:BR387"/>
    <mergeCell ref="BS387:CH387"/>
    <mergeCell ref="CI387:CZ387"/>
    <mergeCell ref="A388:AN388"/>
    <mergeCell ref="AO388:BD388"/>
    <mergeCell ref="BE388:BT388"/>
    <mergeCell ref="BU388:CJ388"/>
    <mergeCell ref="CK388:CZ388"/>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AO364:BD364"/>
    <mergeCell ref="BE364:BT364"/>
    <mergeCell ref="A378:G378"/>
    <mergeCell ref="H378:AN378"/>
    <mergeCell ref="AO378:BD378"/>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BU364:CJ364"/>
    <mergeCell ref="CK364:CZ364"/>
    <mergeCell ref="A360:G360"/>
    <mergeCell ref="H360:AN360"/>
    <mergeCell ref="AO360:BD360"/>
    <mergeCell ref="BE360:BT360"/>
    <mergeCell ref="BU360:CJ360"/>
    <mergeCell ref="CK360:CZ360"/>
    <mergeCell ref="A361:AN361"/>
    <mergeCell ref="A362:CZ362"/>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O361:BD361"/>
    <mergeCell ref="BE361:BT361"/>
    <mergeCell ref="BU361:CJ361"/>
    <mergeCell ref="CK361:CZ361"/>
    <mergeCell ref="A356:G356"/>
    <mergeCell ref="H356:AN356"/>
    <mergeCell ref="AO356:BD356"/>
    <mergeCell ref="BE356:BT356"/>
    <mergeCell ref="BU356:CJ356"/>
    <mergeCell ref="CK356:CZ356"/>
    <mergeCell ref="A357:G357"/>
    <mergeCell ref="H357:AN357"/>
    <mergeCell ref="AO357:BD357"/>
    <mergeCell ref="BE357:BT357"/>
    <mergeCell ref="BU357:CJ357"/>
    <mergeCell ref="CK357:CZ357"/>
    <mergeCell ref="A355:G355"/>
    <mergeCell ref="H355:AN355"/>
    <mergeCell ref="AO355:BD355"/>
    <mergeCell ref="BE355:BT355"/>
    <mergeCell ref="BU355:CJ355"/>
    <mergeCell ref="CK355:CZ355"/>
    <mergeCell ref="A351:G351"/>
    <mergeCell ref="H351:AN351"/>
    <mergeCell ref="AO351:BD351"/>
    <mergeCell ref="BE351:BT351"/>
    <mergeCell ref="BU351:CJ351"/>
    <mergeCell ref="CK351:CZ351"/>
    <mergeCell ref="A352:CZ352"/>
    <mergeCell ref="A353:G353"/>
    <mergeCell ref="H353:AN353"/>
    <mergeCell ref="AO353:BD353"/>
    <mergeCell ref="BE353:BT353"/>
    <mergeCell ref="BU353:CJ353"/>
    <mergeCell ref="CK353:CZ353"/>
    <mergeCell ref="A354:G354"/>
    <mergeCell ref="H354:AN354"/>
    <mergeCell ref="AO354:BD354"/>
    <mergeCell ref="BE354:BT354"/>
    <mergeCell ref="BU354:CJ354"/>
    <mergeCell ref="CK354:CZ354"/>
    <mergeCell ref="CI339:CZ339"/>
    <mergeCell ref="A340:G340"/>
    <mergeCell ref="H340:BB340"/>
    <mergeCell ref="BC340:BR340"/>
    <mergeCell ref="BS340:CH340"/>
    <mergeCell ref="CI340:CZ340"/>
    <mergeCell ref="BC333:BR333"/>
    <mergeCell ref="BS333:CH333"/>
    <mergeCell ref="CI333:CZ333"/>
    <mergeCell ref="A331:G331"/>
    <mergeCell ref="H331:BB331"/>
    <mergeCell ref="BC331:BR331"/>
    <mergeCell ref="BS331:CH331"/>
    <mergeCell ref="CI331:CZ331"/>
    <mergeCell ref="A330:CZ330"/>
    <mergeCell ref="A332:BB332"/>
    <mergeCell ref="BC332:BR332"/>
    <mergeCell ref="BS332:CH332"/>
    <mergeCell ref="CI332:CZ332"/>
    <mergeCell ref="A333:BB333"/>
    <mergeCell ref="A319:AN319"/>
    <mergeCell ref="AO319:BD319"/>
    <mergeCell ref="BE319:BT319"/>
    <mergeCell ref="BU319:CJ319"/>
    <mergeCell ref="CK319:CZ319"/>
    <mergeCell ref="AO318:BD318"/>
    <mergeCell ref="BE318:BT318"/>
    <mergeCell ref="BU318:CJ318"/>
    <mergeCell ref="CK318:CZ318"/>
    <mergeCell ref="A317:G317"/>
    <mergeCell ref="H317:AN317"/>
    <mergeCell ref="AO317:BD317"/>
    <mergeCell ref="BE317:BT317"/>
    <mergeCell ref="BU317:CJ317"/>
    <mergeCell ref="CK317:CZ317"/>
    <mergeCell ref="A316:G316"/>
    <mergeCell ref="H316:AN316"/>
    <mergeCell ref="AO316:BD316"/>
    <mergeCell ref="BE316:BT316"/>
    <mergeCell ref="BU316:CJ316"/>
    <mergeCell ref="CK316:CZ316"/>
    <mergeCell ref="A318:AN318"/>
    <mergeCell ref="BC290:BR290"/>
    <mergeCell ref="BS290:CH290"/>
    <mergeCell ref="CI290:CZ290"/>
    <mergeCell ref="A289:G289"/>
    <mergeCell ref="H289:BB289"/>
    <mergeCell ref="BC289:BR289"/>
    <mergeCell ref="BS289:CH289"/>
    <mergeCell ref="CI289:CZ289"/>
    <mergeCell ref="W287:CZ287"/>
    <mergeCell ref="A290:G290"/>
    <mergeCell ref="H290:BB290"/>
    <mergeCell ref="A291:CZ291"/>
    <mergeCell ref="A292:G292"/>
    <mergeCell ref="H292:BB292"/>
    <mergeCell ref="BC292:BR292"/>
    <mergeCell ref="BS292:CH292"/>
    <mergeCell ref="CI292:CZ292"/>
    <mergeCell ref="A282:BB282"/>
    <mergeCell ref="A268:BB268"/>
    <mergeCell ref="BC268:BR268"/>
    <mergeCell ref="BS268:CH268"/>
    <mergeCell ref="CI268:CZ268"/>
    <mergeCell ref="A267:G267"/>
    <mergeCell ref="H267:BB267"/>
    <mergeCell ref="BC267:BR267"/>
    <mergeCell ref="BS267:CH267"/>
    <mergeCell ref="CI267:CZ267"/>
    <mergeCell ref="A293:BB293"/>
    <mergeCell ref="BC293:BR293"/>
    <mergeCell ref="BS293:CH293"/>
    <mergeCell ref="CI293:CZ293"/>
    <mergeCell ref="A294:CZ294"/>
    <mergeCell ref="A295:G295"/>
    <mergeCell ref="H295:BB295"/>
    <mergeCell ref="BC295:BR295"/>
    <mergeCell ref="BS295:CH295"/>
    <mergeCell ref="BC283:BR283"/>
    <mergeCell ref="BS283:CH283"/>
    <mergeCell ref="CI283:CZ283"/>
    <mergeCell ref="A283:BB283"/>
    <mergeCell ref="A285:CZ285"/>
    <mergeCell ref="A281:G281"/>
    <mergeCell ref="H281:BB281"/>
    <mergeCell ref="BC281:BR281"/>
    <mergeCell ref="BS281:CH281"/>
    <mergeCell ref="CI281:CZ281"/>
    <mergeCell ref="BC282:BR282"/>
    <mergeCell ref="BS282:CH282"/>
    <mergeCell ref="CI282:CZ282"/>
    <mergeCell ref="BC279:BR279"/>
    <mergeCell ref="BS279:CH279"/>
    <mergeCell ref="CI279:CZ279"/>
    <mergeCell ref="A280:CZ280"/>
    <mergeCell ref="A278:G278"/>
    <mergeCell ref="H278:BB278"/>
    <mergeCell ref="BC278:BR278"/>
    <mergeCell ref="BS278:CH278"/>
    <mergeCell ref="CI278:CZ278"/>
    <mergeCell ref="A277:CZ277"/>
    <mergeCell ref="A279:BB279"/>
    <mergeCell ref="W259:CZ259"/>
    <mergeCell ref="A261:G261"/>
    <mergeCell ref="H261:BB261"/>
    <mergeCell ref="BC261:BR261"/>
    <mergeCell ref="BS261:CH261"/>
    <mergeCell ref="CI261:CZ261"/>
    <mergeCell ref="A276:G276"/>
    <mergeCell ref="H276:BB276"/>
    <mergeCell ref="BC276:BR276"/>
    <mergeCell ref="BS276:CH276"/>
    <mergeCell ref="CI276:CZ276"/>
    <mergeCell ref="A264:G264"/>
    <mergeCell ref="H264:BB264"/>
    <mergeCell ref="BC264:BR264"/>
    <mergeCell ref="BS264:CH264"/>
    <mergeCell ref="CI264:CZ264"/>
    <mergeCell ref="A262:G262"/>
    <mergeCell ref="H262:BB262"/>
    <mergeCell ref="BC262:BR262"/>
    <mergeCell ref="BS262:CH262"/>
    <mergeCell ref="CI262:CZ262"/>
    <mergeCell ref="A253:G253"/>
    <mergeCell ref="BS185:CH185"/>
    <mergeCell ref="CI185:CZ185"/>
    <mergeCell ref="A186:BB186"/>
    <mergeCell ref="BC186:BR186"/>
    <mergeCell ref="BS186:CH186"/>
    <mergeCell ref="BC230:BR230"/>
    <mergeCell ref="BS230:CH230"/>
    <mergeCell ref="CI230:CZ230"/>
    <mergeCell ref="A227:CZ227"/>
    <mergeCell ref="A228:G228"/>
    <mergeCell ref="H228:BB228"/>
    <mergeCell ref="BC228:BR228"/>
    <mergeCell ref="BS228:CH228"/>
    <mergeCell ref="CI228:CZ228"/>
    <mergeCell ref="A229:G229"/>
    <mergeCell ref="H229:BB229"/>
    <mergeCell ref="CI186:CZ186"/>
    <mergeCell ref="A187:CZ187"/>
    <mergeCell ref="A188:G188"/>
    <mergeCell ref="BS199:CH199"/>
    <mergeCell ref="CI199:CZ199"/>
    <mergeCell ref="A200:CZ200"/>
    <mergeCell ref="A201:G201"/>
    <mergeCell ref="H201:BB201"/>
    <mergeCell ref="BC201:BR201"/>
    <mergeCell ref="BS201:CH201"/>
    <mergeCell ref="CI209:CZ209"/>
    <mergeCell ref="A210:G210"/>
    <mergeCell ref="H210:BB210"/>
    <mergeCell ref="BC210:BR210"/>
    <mergeCell ref="BS210:CH210"/>
    <mergeCell ref="A198:G198"/>
    <mergeCell ref="H198:BB198"/>
    <mergeCell ref="BC198:BR198"/>
    <mergeCell ref="BS198:CH198"/>
    <mergeCell ref="CI198:CZ198"/>
    <mergeCell ref="A199:G199"/>
    <mergeCell ref="H199:BB199"/>
    <mergeCell ref="BC199:BR199"/>
    <mergeCell ref="A234:BB234"/>
    <mergeCell ref="BC234:BR234"/>
    <mergeCell ref="BS234:CH234"/>
    <mergeCell ref="CI234:CZ234"/>
    <mergeCell ref="H209:BB209"/>
    <mergeCell ref="BC209:BR209"/>
    <mergeCell ref="BS209:CH209"/>
    <mergeCell ref="A205:CZ205"/>
    <mergeCell ref="W207:CZ207"/>
    <mergeCell ref="A209:G209"/>
    <mergeCell ref="BS229:CH229"/>
    <mergeCell ref="CI229:CZ229"/>
    <mergeCell ref="A230:BB230"/>
    <mergeCell ref="CI210:CZ210"/>
    <mergeCell ref="BC213:BR213"/>
    <mergeCell ref="BS213:CH213"/>
    <mergeCell ref="CI213:CZ213"/>
    <mergeCell ref="A214:CZ214"/>
    <mergeCell ref="A211:CZ211"/>
    <mergeCell ref="A212:G212"/>
    <mergeCell ref="H212:BB212"/>
    <mergeCell ref="BC212:BR212"/>
    <mergeCell ref="BS212:CH212"/>
    <mergeCell ref="CI212:CZ212"/>
    <mergeCell ref="BS250:CH250"/>
    <mergeCell ref="CI250:CZ250"/>
    <mergeCell ref="A252:G252"/>
    <mergeCell ref="H252:BB252"/>
    <mergeCell ref="A248:G248"/>
    <mergeCell ref="H248:BB248"/>
    <mergeCell ref="BC248:BR248"/>
    <mergeCell ref="BS248:CH248"/>
    <mergeCell ref="A215:G215"/>
    <mergeCell ref="H215:BB215"/>
    <mergeCell ref="BC215:BR215"/>
    <mergeCell ref="BS215:CH215"/>
    <mergeCell ref="CI215:CZ215"/>
    <mergeCell ref="A216:BB216"/>
    <mergeCell ref="BC216:BR216"/>
    <mergeCell ref="BS216:CH216"/>
    <mergeCell ref="CI216:CZ216"/>
    <mergeCell ref="A217:BB217"/>
    <mergeCell ref="BC217:BR217"/>
    <mergeCell ref="CI248:CZ248"/>
    <mergeCell ref="A249:G249"/>
    <mergeCell ref="H249:BB249"/>
    <mergeCell ref="BC249:BR249"/>
    <mergeCell ref="BS249:CH249"/>
    <mergeCell ref="CI249:CZ249"/>
    <mergeCell ref="A250:BB250"/>
    <mergeCell ref="A251:CZ251"/>
    <mergeCell ref="BC250:BR250"/>
    <mergeCell ref="BC252:BR252"/>
    <mergeCell ref="BS252:CH252"/>
    <mergeCell ref="CI252:CZ252"/>
    <mergeCell ref="A241:G241"/>
    <mergeCell ref="BV172:CK172"/>
    <mergeCell ref="CL172:CZ172"/>
    <mergeCell ref="A173:F173"/>
    <mergeCell ref="H173:BU173"/>
    <mergeCell ref="BV173:CK173"/>
    <mergeCell ref="CL173:CZ173"/>
    <mergeCell ref="A174:F174"/>
    <mergeCell ref="G174:BU174"/>
    <mergeCell ref="BV174:CK174"/>
    <mergeCell ref="CL174:CZ174"/>
    <mergeCell ref="A175:F175"/>
    <mergeCell ref="G175:BU175"/>
    <mergeCell ref="BV175:CK175"/>
    <mergeCell ref="A203:BB203"/>
    <mergeCell ref="BC203:BR203"/>
    <mergeCell ref="BS203:CH203"/>
    <mergeCell ref="CI203:CZ203"/>
    <mergeCell ref="CI182:CZ182"/>
    <mergeCell ref="H188:BB188"/>
    <mergeCell ref="BC188:BR188"/>
    <mergeCell ref="BS188:CH188"/>
    <mergeCell ref="CI188:CZ188"/>
    <mergeCell ref="BS182:CH182"/>
    <mergeCell ref="A183:CZ183"/>
    <mergeCell ref="A184:G184"/>
    <mergeCell ref="H184:BB184"/>
    <mergeCell ref="BC184:BR184"/>
    <mergeCell ref="BS184:CH184"/>
    <mergeCell ref="CI184:CZ184"/>
    <mergeCell ref="A185:G185"/>
    <mergeCell ref="H185:BB185"/>
    <mergeCell ref="BC185:BR185"/>
    <mergeCell ref="A128:CZ128"/>
    <mergeCell ref="A129:F129"/>
    <mergeCell ref="H129:BU129"/>
    <mergeCell ref="BV129:CK129"/>
    <mergeCell ref="CL129:CZ129"/>
    <mergeCell ref="A130:F131"/>
    <mergeCell ref="H130:BU130"/>
    <mergeCell ref="BV130:CK131"/>
    <mergeCell ref="CL130:CZ131"/>
    <mergeCell ref="H131:BU131"/>
    <mergeCell ref="A138:F138"/>
    <mergeCell ref="BV138:CK138"/>
    <mergeCell ref="CL138:CZ138"/>
    <mergeCell ref="A140:F140"/>
    <mergeCell ref="H140:BU140"/>
    <mergeCell ref="BV140:CK140"/>
    <mergeCell ref="CL140:CZ140"/>
    <mergeCell ref="A132:F132"/>
    <mergeCell ref="H132:BU132"/>
    <mergeCell ref="BV132:CK132"/>
    <mergeCell ref="CL132:CZ132"/>
    <mergeCell ref="A133:F133"/>
    <mergeCell ref="H133:BU133"/>
    <mergeCell ref="BV133:CK133"/>
    <mergeCell ref="CL133:CZ133"/>
    <mergeCell ref="A134:F134"/>
    <mergeCell ref="H134:BU134"/>
    <mergeCell ref="BV134:CK134"/>
    <mergeCell ref="CL134:CZ134"/>
    <mergeCell ref="A135:F136"/>
    <mergeCell ref="H135:BU135"/>
    <mergeCell ref="BV135:CK136"/>
    <mergeCell ref="H112:BU112"/>
    <mergeCell ref="A111:F112"/>
    <mergeCell ref="BV111:CK112"/>
    <mergeCell ref="CL111:CZ112"/>
    <mergeCell ref="A116:CZ116"/>
    <mergeCell ref="A117:F117"/>
    <mergeCell ref="A110:F110"/>
    <mergeCell ref="H110:BU110"/>
    <mergeCell ref="BV110:CK110"/>
    <mergeCell ref="CL110:CZ110"/>
    <mergeCell ref="H106:BU106"/>
    <mergeCell ref="H107:BU107"/>
    <mergeCell ref="A115:F115"/>
    <mergeCell ref="G115:BU115"/>
    <mergeCell ref="BV115:CK115"/>
    <mergeCell ref="CL115:CZ115"/>
    <mergeCell ref="A113:F113"/>
    <mergeCell ref="H113:BU113"/>
    <mergeCell ref="BV113:CK113"/>
    <mergeCell ref="CL113:CZ113"/>
    <mergeCell ref="A114:F114"/>
    <mergeCell ref="H114:BU114"/>
    <mergeCell ref="BV114:CK114"/>
    <mergeCell ref="CL114:CZ114"/>
    <mergeCell ref="H111:BU111"/>
    <mergeCell ref="H108:BU108"/>
    <mergeCell ref="H109:BU109"/>
    <mergeCell ref="A108:F108"/>
    <mergeCell ref="BV108:CK108"/>
    <mergeCell ref="CL108:CZ108"/>
    <mergeCell ref="A109:F109"/>
    <mergeCell ref="BV109:CK109"/>
    <mergeCell ref="CL109:CZ109"/>
    <mergeCell ref="A94:F94"/>
    <mergeCell ref="A93:CZ93"/>
    <mergeCell ref="G94:AX94"/>
    <mergeCell ref="AY94:BP94"/>
    <mergeCell ref="BQ94:CH94"/>
    <mergeCell ref="CI94:CZ94"/>
    <mergeCell ref="A95:AX95"/>
    <mergeCell ref="A83:F83"/>
    <mergeCell ref="A81:F81"/>
    <mergeCell ref="G83:AX83"/>
    <mergeCell ref="AY83:BP83"/>
    <mergeCell ref="BQ83:CH83"/>
    <mergeCell ref="CI83:CZ83"/>
    <mergeCell ref="A84:AX84"/>
    <mergeCell ref="AY84:BP84"/>
    <mergeCell ref="A78:F78"/>
    <mergeCell ref="A82:F82"/>
    <mergeCell ref="A80:CZ80"/>
    <mergeCell ref="G81:AX81"/>
    <mergeCell ref="AY81:BP81"/>
    <mergeCell ref="BQ81:CH81"/>
    <mergeCell ref="CI81:CZ81"/>
    <mergeCell ref="G82:AX82"/>
    <mergeCell ref="AY82:BP82"/>
    <mergeCell ref="BQ82:CH82"/>
    <mergeCell ref="CI82:CZ82"/>
    <mergeCell ref="BQ84:CH84"/>
    <mergeCell ref="CI84:CZ84"/>
    <mergeCell ref="A85:F85"/>
    <mergeCell ref="G85:AX85"/>
    <mergeCell ref="AY85:BP85"/>
    <mergeCell ref="G69:AX69"/>
    <mergeCell ref="AY69:BP69"/>
    <mergeCell ref="BQ69:CH69"/>
    <mergeCell ref="CI69:CZ69"/>
    <mergeCell ref="BQ71:CH71"/>
    <mergeCell ref="CI71:CZ71"/>
    <mergeCell ref="A72:F72"/>
    <mergeCell ref="G72:AX72"/>
    <mergeCell ref="AY72:BP72"/>
    <mergeCell ref="BQ72:CH72"/>
    <mergeCell ref="CI72:CZ72"/>
    <mergeCell ref="BQ78:CH78"/>
    <mergeCell ref="CI78:CZ78"/>
    <mergeCell ref="BQ38:CH38"/>
    <mergeCell ref="CI38:CZ38"/>
    <mergeCell ref="G62:AX62"/>
    <mergeCell ref="AY62:BP62"/>
    <mergeCell ref="BQ62:CH62"/>
    <mergeCell ref="CI62:CZ62"/>
    <mergeCell ref="A59:CZ59"/>
    <mergeCell ref="AY56:BP56"/>
    <mergeCell ref="BQ56:CH56"/>
    <mergeCell ref="CI56:CZ56"/>
    <mergeCell ref="AY57:BP57"/>
    <mergeCell ref="BQ57:CH57"/>
    <mergeCell ref="CI57:CZ57"/>
    <mergeCell ref="AD57:AX57"/>
    <mergeCell ref="A55:F55"/>
    <mergeCell ref="AY55:BP55"/>
    <mergeCell ref="BQ55:CH55"/>
    <mergeCell ref="CI55:CZ55"/>
    <mergeCell ref="A54:CZ54"/>
    <mergeCell ref="G55:AC55"/>
    <mergeCell ref="AD55:AX55"/>
    <mergeCell ref="A56:AC56"/>
    <mergeCell ref="AD56:AX56"/>
    <mergeCell ref="A57:F57"/>
    <mergeCell ref="G57:AC57"/>
    <mergeCell ref="A39:CZ39"/>
    <mergeCell ref="A40:F40"/>
    <mergeCell ref="G40:AX40"/>
    <mergeCell ref="AY40:BP40"/>
    <mergeCell ref="BQ40:CH40"/>
    <mergeCell ref="CI40:CZ40"/>
    <mergeCell ref="A41:AX41"/>
    <mergeCell ref="A22:F22"/>
    <mergeCell ref="G22:AC22"/>
    <mergeCell ref="AD22:AX22"/>
    <mergeCell ref="AY22:BP22"/>
    <mergeCell ref="BQ22:CH22"/>
    <mergeCell ref="CI22:CZ22"/>
    <mergeCell ref="AD27:AX27"/>
    <mergeCell ref="AY27:BP27"/>
    <mergeCell ref="BQ27:CH27"/>
    <mergeCell ref="CI27:CZ27"/>
    <mergeCell ref="AD25:AX25"/>
    <mergeCell ref="AY25:BP25"/>
    <mergeCell ref="BQ25:CH25"/>
    <mergeCell ref="CI25:CZ25"/>
    <mergeCell ref="A23:F23"/>
    <mergeCell ref="G23:AC23"/>
    <mergeCell ref="AD23:AX23"/>
    <mergeCell ref="AY23:BP23"/>
    <mergeCell ref="BQ23:CH23"/>
    <mergeCell ref="A15:F15"/>
    <mergeCell ref="G15:AC15"/>
    <mergeCell ref="AY53:BP53"/>
    <mergeCell ref="BQ53:CH53"/>
    <mergeCell ref="CI53:CZ53"/>
    <mergeCell ref="A50:F50"/>
    <mergeCell ref="AY50:BP50"/>
    <mergeCell ref="BQ50:CH50"/>
    <mergeCell ref="CI50:CZ50"/>
    <mergeCell ref="A53:AC53"/>
    <mergeCell ref="AD53:AX53"/>
    <mergeCell ref="A33:CZ33"/>
    <mergeCell ref="W35:CZ35"/>
    <mergeCell ref="A37:F37"/>
    <mergeCell ref="G37:AX37"/>
    <mergeCell ref="AY37:BP37"/>
    <mergeCell ref="A38:F38"/>
    <mergeCell ref="AY38:BP38"/>
    <mergeCell ref="A17:AC17"/>
    <mergeCell ref="AD17:BB17"/>
    <mergeCell ref="BC17:BR17"/>
    <mergeCell ref="BS17:CH17"/>
    <mergeCell ref="CI17:CZ17"/>
    <mergeCell ref="A19:CZ19"/>
    <mergeCell ref="W20:CZ20"/>
    <mergeCell ref="CI23:CZ23"/>
    <mergeCell ref="A24:CZ24"/>
    <mergeCell ref="A25:F25"/>
    <mergeCell ref="G25:AC25"/>
    <mergeCell ref="A26:F26"/>
    <mergeCell ref="G26:AC26"/>
    <mergeCell ref="AD26:AX26"/>
    <mergeCell ref="A1:CZ1"/>
    <mergeCell ref="A2:CZ2"/>
    <mergeCell ref="W4:CZ4"/>
    <mergeCell ref="A6:F6"/>
    <mergeCell ref="G6:AC6"/>
    <mergeCell ref="AD6:BB6"/>
    <mergeCell ref="BC6:BR6"/>
    <mergeCell ref="BS6:CH6"/>
    <mergeCell ref="CI6:CZ6"/>
    <mergeCell ref="A137:F137"/>
    <mergeCell ref="BV137:CK137"/>
    <mergeCell ref="CL137:CZ137"/>
    <mergeCell ref="AD15:BB15"/>
    <mergeCell ref="BC15:BR15"/>
    <mergeCell ref="BS15:CH15"/>
    <mergeCell ref="CI15:CZ15"/>
    <mergeCell ref="A16:AC16"/>
    <mergeCell ref="AD16:BB16"/>
    <mergeCell ref="BC16:BR16"/>
    <mergeCell ref="BS16:CH16"/>
    <mergeCell ref="CI16:CZ16"/>
    <mergeCell ref="A7:F7"/>
    <mergeCell ref="G7:AC7"/>
    <mergeCell ref="AD7:BB7"/>
    <mergeCell ref="BC7:BR7"/>
    <mergeCell ref="BS7:CH7"/>
    <mergeCell ref="CI7:CZ7"/>
    <mergeCell ref="A14:F14"/>
    <mergeCell ref="A10:F10"/>
    <mergeCell ref="G10:AC10"/>
    <mergeCell ref="AD10:BB10"/>
    <mergeCell ref="BC10:BR10"/>
    <mergeCell ref="BS10:CH10"/>
    <mergeCell ref="CI10:CZ10"/>
    <mergeCell ref="A8:CZ8"/>
    <mergeCell ref="A9:F9"/>
    <mergeCell ref="G9:AC9"/>
    <mergeCell ref="AD9:BB9"/>
    <mergeCell ref="BC9:BR9"/>
    <mergeCell ref="BS9:CH9"/>
    <mergeCell ref="CI9:CZ9"/>
    <mergeCell ref="BS11:CH11"/>
    <mergeCell ref="CI11:CZ11"/>
    <mergeCell ref="G14:AC14"/>
    <mergeCell ref="AD14:BB14"/>
    <mergeCell ref="BC14:BR14"/>
    <mergeCell ref="BS14:CH14"/>
    <mergeCell ref="CI14:CZ14"/>
    <mergeCell ref="A12:AC12"/>
    <mergeCell ref="AD12:BB12"/>
    <mergeCell ref="BC12:BR12"/>
    <mergeCell ref="BS12:CH12"/>
    <mergeCell ref="CI12:CZ12"/>
    <mergeCell ref="A13:CZ13"/>
    <mergeCell ref="A11:F11"/>
    <mergeCell ref="G11:AC11"/>
    <mergeCell ref="AD11:BB11"/>
    <mergeCell ref="BC11:BR11"/>
    <mergeCell ref="A415:CZ415"/>
    <mergeCell ref="A413:AN413"/>
    <mergeCell ref="W417:CZ417"/>
    <mergeCell ref="A194:CZ194"/>
    <mergeCell ref="W196:CZ196"/>
    <mergeCell ref="A189:BB189"/>
    <mergeCell ref="BC189:BR189"/>
    <mergeCell ref="BS189:CH189"/>
    <mergeCell ref="A158:F159"/>
    <mergeCell ref="H158:BU158"/>
    <mergeCell ref="BV158:CK159"/>
    <mergeCell ref="CL158:CZ159"/>
    <mergeCell ref="H159:BU159"/>
    <mergeCell ref="A160:F160"/>
    <mergeCell ref="H160:BU160"/>
    <mergeCell ref="CI189:CZ189"/>
    <mergeCell ref="A190:BB190"/>
    <mergeCell ref="BC190:BR190"/>
    <mergeCell ref="BS190:CH190"/>
    <mergeCell ref="CI190:CZ190"/>
    <mergeCell ref="A192:CZ192"/>
    <mergeCell ref="A169:F169"/>
    <mergeCell ref="A172:F172"/>
    <mergeCell ref="H172:BU172"/>
    <mergeCell ref="BV160:CK160"/>
    <mergeCell ref="CL160:CZ160"/>
    <mergeCell ref="A161:F161"/>
    <mergeCell ref="H161:BU161"/>
    <mergeCell ref="A236:CZ236"/>
    <mergeCell ref="W238:CZ238"/>
    <mergeCell ref="A240:G240"/>
    <mergeCell ref="H240:BB240"/>
    <mergeCell ref="BV161:CK161"/>
    <mergeCell ref="CL161:CZ161"/>
    <mergeCell ref="A162:F162"/>
    <mergeCell ref="G162:BU162"/>
    <mergeCell ref="BV162:CK162"/>
    <mergeCell ref="CL155:CZ155"/>
    <mergeCell ref="A156:F156"/>
    <mergeCell ref="H156:BU156"/>
    <mergeCell ref="BV156:CK156"/>
    <mergeCell ref="CL156:CZ156"/>
    <mergeCell ref="A157:F157"/>
    <mergeCell ref="H157:BU157"/>
    <mergeCell ref="BV157:CK157"/>
    <mergeCell ref="CL157:CZ157"/>
    <mergeCell ref="AO413:BD413"/>
    <mergeCell ref="BE413:BT413"/>
    <mergeCell ref="BU413:CJ413"/>
    <mergeCell ref="CK413:CZ413"/>
    <mergeCell ref="BC240:BR240"/>
    <mergeCell ref="BS240:CH240"/>
    <mergeCell ref="CI240:CZ240"/>
    <mergeCell ref="CL175:CZ175"/>
    <mergeCell ref="A177:CZ177"/>
    <mergeCell ref="W179:CZ179"/>
    <mergeCell ref="A181:G181"/>
    <mergeCell ref="H181:BB181"/>
    <mergeCell ref="BC181:BR181"/>
    <mergeCell ref="BS181:CH181"/>
    <mergeCell ref="CI181:CZ181"/>
    <mergeCell ref="A182:G182"/>
    <mergeCell ref="H182:BB182"/>
    <mergeCell ref="BC182:BR182"/>
  </mergeCells>
  <pageMargins left="0.70866141732283472" right="0.70866141732283472" top="0.55118110236220474" bottom="0" header="0.11811023622047245" footer="0"/>
  <pageSetup paperSize="9" scale="8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Стр.1</vt:lpstr>
      <vt:lpstr>Раздел 1</vt:lpstr>
      <vt:lpstr>Раздел 2</vt:lpstr>
      <vt:lpstr>Раздел 3</vt:lpstr>
      <vt:lpstr>Раздел 4</vt:lpstr>
      <vt:lpstr> доходов 2024</vt:lpstr>
      <vt:lpstr> доходов 2025</vt:lpstr>
      <vt:lpstr> доходов 2026</vt:lpstr>
      <vt:lpstr> расходов ФОТ 2024</vt:lpstr>
      <vt:lpstr> расходов ФОТ 2025</vt:lpstr>
      <vt:lpstr> расходов ФОТ 2026</vt:lpstr>
      <vt:lpstr> расходов 2024</vt:lpstr>
      <vt:lpstr> расходов 2025</vt:lpstr>
      <vt:lpstr> расходов 2026</vt:lpstr>
      <vt:lpstr>' доходов 2024'!Область_печати</vt:lpstr>
      <vt:lpstr>' доходов 2025'!Область_печати</vt:lpstr>
      <vt:lpstr>' доходов 2026'!Область_печати</vt:lpstr>
      <vt:lpstr>' расходов 2024'!Область_печати</vt:lpstr>
      <vt:lpstr>' расходов 2025'!Область_печати</vt:lpstr>
      <vt:lpstr>' расходов 2026'!Область_печати</vt:lpstr>
      <vt:lpstr>' расходов ФОТ 2024'!Область_печати</vt:lpstr>
      <vt:lpstr>' расходов ФОТ 2025'!Область_печати</vt:lpstr>
      <vt:lpstr>' расходов ФОТ 2026'!Область_печати</vt:lpstr>
      <vt:lpstr>'Раздел 1'!Область_печати</vt:lpstr>
      <vt:lpstr>'Раздел 2'!Область_печати</vt:lpstr>
      <vt:lpstr>'Раздел 3'!Область_печати</vt:lpstr>
      <vt:lpstr>'Раздел 4'!Область_печати</vt:lpstr>
      <vt:lpstr>Стр.1!Область_печати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Офис КЦСОН</cp:lastModifiedBy>
  <cp:lastPrinted>2024-07-25T12:44:28Z</cp:lastPrinted>
  <dcterms:created xsi:type="dcterms:W3CDTF">2015-12-03T07:22:45Z</dcterms:created>
  <dcterms:modified xsi:type="dcterms:W3CDTF">2024-07-25T12:50:09Z</dcterms:modified>
</cp:coreProperties>
</file>